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DLB\ZB - COURLEON (49) - DU PUY\Dossier à déposer\"/>
    </mc:Choice>
  </mc:AlternateContent>
  <xr:revisionPtr revIDLastSave="0" documentId="13_ncr:1_{8D74ECBF-96CF-4674-A013-BBB4DE8B6A29}" xr6:coauthVersionLast="36" xr6:coauthVersionMax="36" xr10:uidLastSave="{00000000-0000-0000-0000-000000000000}"/>
  <bookViews>
    <workbookView xWindow="0" yWindow="0" windowWidth="28800" windowHeight="12612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C68" i="2" l="1" a="1"/>
  <c r="BC68" i="2" s="1"/>
  <c r="BC58" i="2" a="1"/>
  <c r="BC58" i="2" s="1"/>
  <c r="BX107" i="2" a="1"/>
  <c r="BX107" i="2" s="1"/>
  <c r="BC34" i="2" a="1"/>
  <c r="BC34" i="2" s="1"/>
  <c r="AH151" i="2" a="1"/>
  <c r="AH151" i="2" s="1"/>
  <c r="AH199" i="2" a="1"/>
  <c r="AH199" i="2" s="1"/>
  <c r="AH163" i="2" a="1"/>
  <c r="AH163" i="2" s="1"/>
  <c r="AH62" i="2" a="1"/>
  <c r="AH62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<sst xmlns="http://schemas.openxmlformats.org/spreadsheetml/2006/main" count="1172" uniqueCount="325">
  <si>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</si>
  <si>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</si>
  <si>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</si>
  <si>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</si>
  <si>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</si>
  <si>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</si>
  <si>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</si>
  <si>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</si>
  <si>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</si>
  <si>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</si>
  <si>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</si>
  <si>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</si>
  <si>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</si>
  <si>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</si>
  <si>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</si>
  <si>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</si>
  <si>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</si>
  <si>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</si>
  <si>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</si>
  <si>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</si>
  <si>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</si>
  <si>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</si>
  <si>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</si>
  <si>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</si>
  <si>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</si>
  <si>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</si>
  <si>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</si>
  <si>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</si>
  <si>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</si>
  <si>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</si>
  <si>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</si>
  <si>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</si>
  <si>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</si>
  <si>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</si>
  <si>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</si>
  <si>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</si>
  <si>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</si>
  <si>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</si>
  <si>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</si>
  <si>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</si>
  <si>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</si>
  <si>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</si>
  <si>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</si>
  <si>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</si>
  <si>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</si>
  <si>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</si>
  <si>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</si>
  <si>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</si>
  <si>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</si>
  <si>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</si>
  <si>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</si>
  <si>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</si>
  <si>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</si>
  <si>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</si>
  <si>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</si>
  <si>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</si>
  <si>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</si>
  <si>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</si>
  <si>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</si>
  <si>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</si>
  <si>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</si>
  <si>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</si>
  <si>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</si>
  <si>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</si>
  <si>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</si>
  <si>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</si>
  <si>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</si>
  <si>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</si>
  <si>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</si>
  <si>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</si>
  <si>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</si>
  <si>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</si>
  <si>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</si>
  <si>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</si>
  <si>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</si>
  <si>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</si>
  <si>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</si>
  <si>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</si>
  <si>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</si>
  <si>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</si>
  <si>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</si>
  <si>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</si>
  <si>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</si>
  <si>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</si>
  <si>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</si>
  <si>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</si>
  <si>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</si>
  <si>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</si>
  <si>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</si>
  <si>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</si>
  <si>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</si>
  <si>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</si>
  <si>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</si>
  <si>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</si>
  <si>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</si>
  <si>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</si>
  <si>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</si>
  <si>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</si>
  <si>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</si>
  <si>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</si>
  <si>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</si>
  <si>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</si>
  <si>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</si>
  <si>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</si>
  <si>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</si>
  <si>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</si>
  <si>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</si>
  <si>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</si>
  <si>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</si>
  <si>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</si>
  <si>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</si>
  <si>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</si>
  <si>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</si>
  <si>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</si>
  <si>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</si>
  <si>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</si>
  <si>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</si>
  <si>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</si>
  <si>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</si>
  <si>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</si>
  <si>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</si>
  <si>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</si>
  <si>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</si>
  <si>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</si>
  <si>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</si>
  <si>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</si>
  <si>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</si>
  <si>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</si>
  <si>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</si>
  <si>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</si>
  <si>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</si>
  <si>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</si>
  <si>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</si>
  <si>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</si>
  <si>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</si>
  <si>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</si>
  <si>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</si>
  <si>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</si>
  <si>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</si>
  <si>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</si>
  <si>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</si>
  <si>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</si>
  <si>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</si>
  <si>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</si>
  <si>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</si>
  <si>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</si>
  <si>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</si>
  <si>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</si>
  <si>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</si>
  <si>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</si>
  <si>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</si>
  <si>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</si>
  <si>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</si>
  <si>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</si>
  <si>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</si>
  <si>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</si>
  <si>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</si>
  <si>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</si>
  <si>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</si>
  <si>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</si>
  <si>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</si>
  <si>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</si>
  <si>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</si>
  <si>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</si>
  <si>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</si>
  <si>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</si>
  <si>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</si>
  <si>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</si>
  <si>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</si>
  <si>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</si>
  <si>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</si>
  <si>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</si>
  <si>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</si>
  <si>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</si>
  <si>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</si>
  <si>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</si>
  <si>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</si>
  <si>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</si>
  <si>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</si>
  <si>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</si>
  <si>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</si>
  <si>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</si>
  <si>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</si>
  <si>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</si>
  <si>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</si>
  <si>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</si>
  <si>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</si>
  <si>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</si>
  <si>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</si>
  <si>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</si>
  <si>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</si>
  <si>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</si>
  <si>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</si>
  <si>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</si>
  <si>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</si>
  <si>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</si>
  <si>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</si>
  <si>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</si>
  <si>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</si>
  <si>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</si>
  <si>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</si>
  <si>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</si>
  <si>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</si>
  <si>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</si>
  <si>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</si>
  <si>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</si>
  <si>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</si>
  <si>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</si>
  <si>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</si>
  <si>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</si>
  <si>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</si>
  <si>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</si>
  <si>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</si>
  <si>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</si>
  <si>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</si>
  <si>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</si>
  <si>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</si>
  <si>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</si>
  <si>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</si>
  <si>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</si>
  <si>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</si>
  <si>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</si>
  <si>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</si>
  <si>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</si>
  <si>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</si>
  <si>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</si>
  <si>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</si>
  <si>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</si>
  <si>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</si>
  <si>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</si>
  <si>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</si>
  <si>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</si>
  <si>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</si>
  <si>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</si>
  <si>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</si>
  <si>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</si>
  <si>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</si>
  <si>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</si>
  <si>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</si>
  <si>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</si>
  <si>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</si>
  <si>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</si>
  <si>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</si>
  <si>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</si>
  <si>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</si>
  <si>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</si>
  <si>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</si>
  <si>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</si>
  <si>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</si>
  <si>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</si>
  <si>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</si>
  <si>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</si>
  <si>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</si>
  <si>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</si>
  <si>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</si>
  <si>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</si>
  <si>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</si>
  <si>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</si>
  <si>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</si>
  <si>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</si>
  <si>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</si>
  <si>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</si>
  <si>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</si>
  <si>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</si>
  <si>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</si>
  <si>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</si>
  <si>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</si>
  <si>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</si>
  <si>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</si>
  <si>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</si>
  <si>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</si>
  <si>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</si>
  <si>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</si>
  <si>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</si>
  <si>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</si>
  <si>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</si>
  <si>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</si>
  <si>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</si>
  <si>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</si>
  <si>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</si>
  <si>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</si>
  <si>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</si>
  <si>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</si>
  <si>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</si>
  <si>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</si>
  <si>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</si>
  <si>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</si>
  <si>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</si>
  <si>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</si>
  <si>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</si>
  <si>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</si>
  <si>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</si>
  <si>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</si>
  <si>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</si>
  <si>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</si>
  <si>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</si>
  <si>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</si>
  <si>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</si>
  <si>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</si>
  <si>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</si>
  <si>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</si>
  <si>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</si>
  <si>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</si>
  <si>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</si>
  <si>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</si>
  <si>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</si>
  <si>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</si>
  <si>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</si>
  <si>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</si>
  <si>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</si>
  <si>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</si>
  <si>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</si>
  <si>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</si>
  <si>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</si>
  <si>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</si>
  <si>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</si>
  <si>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</si>
  <si>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</si>
  <si>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</si>
  <si>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</si>
  <si>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</si>
  <si>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</si>
  <si>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</si>
  <si>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</si>
  <si>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chêne pubescent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</si>
</sst>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1.9951072854316962</c:v>
                </c:pt>
                <c:pt idx="2">
                  <c:v>2.5667422007919742</c:v>
                </c:pt>
                <c:pt idx="3">
                  <c:v>3.3028222138236161</c:v>
                </c:pt>
                <c:pt idx="4">
                  <c:v>4.2508335717683972</c:v>
                </c:pt>
                <c:pt idx="5">
                  <c:v>5.4720234962282985</c:v>
                </c:pt>
                <c:pt idx="6">
                  <c:v>7.0454010302000478</c:v>
                </c:pt>
                <c:pt idx="7">
                  <c:v>9.0729045949774356</c:v>
                </c:pt>
                <c:pt idx="8">
                  <c:v>11.686077426646891</c:v>
                </c:pt>
                <c:pt idx="9">
                  <c:v>15.054692077283761</c:v>
                </c:pt>
                <c:pt idx="10">
                  <c:v>19.397894567888933</c:v>
                </c:pt>
                <c:pt idx="11">
                  <c:v>24.998606220625785</c:v>
                </c:pt>
                <c:pt idx="12">
                  <c:v>32.222137881090447</c:v>
                </c:pt>
                <c:pt idx="13">
                  <c:v>41.54025167725414</c:v>
                </c:pt>
                <c:pt idx="14">
                  <c:v>53.56226844352517</c:v>
                </c:pt>
                <c:pt idx="15">
                  <c:v>69.075288808613962</c:v>
                </c:pt>
                <c:pt idx="16">
                  <c:v>89.096204237561849</c:v>
                </c:pt>
                <c:pt idx="17">
                  <c:v>114.93896188205872</c:v>
                </c:pt>
                <c:pt idx="18">
                  <c:v>148.30156685454077</c:v>
                </c:pt>
                <c:pt idx="19">
                  <c:v>130.91926315364825</c:v>
                </c:pt>
                <c:pt idx="20">
                  <c:v>148.73547386114751</c:v>
                </c:pt>
                <c:pt idx="21">
                  <c:v>166.50072957530213</c:v>
                </c:pt>
                <c:pt idx="22">
                  <c:v>184.22123662819629</c:v>
                </c:pt>
                <c:pt idx="23">
                  <c:v>201.90190730491364</c:v>
                </c:pt>
                <c:pt idx="24">
                  <c:v>219.54672196983498</c:v>
                </c:pt>
                <c:pt idx="25">
                  <c:v>187.0268148001596</c:v>
                </c:pt>
                <c:pt idx="26">
                  <c:v>203.62487343629971</c:v>
                </c:pt>
                <c:pt idx="27">
                  <c:v>220.19162819449528</c:v>
                </c:pt>
                <c:pt idx="28">
                  <c:v>236.72976621924911</c:v>
                </c:pt>
                <c:pt idx="29">
                  <c:v>253.24156826986064</c:v>
                </c:pt>
                <c:pt idx="30">
                  <c:v>269.72899324208112</c:v>
                </c:pt>
                <c:pt idx="31">
                  <c:v>223.02870207461862</c:v>
                </c:pt>
                <c:pt idx="32">
                  <c:v>236.81560804160608</c:v>
                </c:pt>
                <c:pt idx="33">
                  <c:v>250.58421937612471</c:v>
                </c:pt>
                <c:pt idx="34">
                  <c:v>264.33568316091396</c:v>
                </c:pt>
                <c:pt idx="35">
                  <c:v>278.0710173254069</c:v>
                </c:pt>
                <c:pt idx="36">
                  <c:v>291.79113098496725</c:v>
                </c:pt>
                <c:pt idx="37">
                  <c:v>305.49684075132535</c:v>
                </c:pt>
                <c:pt idx="38">
                  <c:v>319.18888396087686</c:v>
                </c:pt>
                <c:pt idx="39">
                  <c:v>332.86792951319143</c:v>
                </c:pt>
                <c:pt idx="40">
                  <c:v>346.53458683392802</c:v>
                </c:pt>
                <c:pt idx="41">
                  <c:v>292.68819813988773</c:v>
                </c:pt>
                <c:pt idx="42">
                  <c:v>302.80803515574286</c:v>
                </c:pt>
                <c:pt idx="43">
                  <c:v>312.92034803081702</c:v>
                </c:pt>
                <c:pt idx="44">
                  <c:v>323.02541433745813</c:v>
                </c:pt>
                <c:pt idx="45">
                  <c:v>333.12349285380191</c:v>
                </c:pt>
                <c:pt idx="46">
                  <c:v>343.21482537977403</c:v>
                </c:pt>
                <c:pt idx="47">
                  <c:v>353.29963832825234</c:v>
                </c:pt>
                <c:pt idx="48">
                  <c:v>363.37814412498386</c:v>
                </c:pt>
                <c:pt idx="49">
                  <c:v>373.45054244501836</c:v>
                </c:pt>
                <c:pt idx="50">
                  <c:v>383.51702130873815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3.0373846637923445</c:v>
                </c:pt>
                <c:pt idx="2">
                  <c:v>3.5780906624925897</c:v>
                </c:pt>
                <c:pt idx="3">
                  <c:v>4.215402172997206</c:v>
                </c:pt>
                <c:pt idx="4">
                  <c:v>4.9666383866319377</c:v>
                </c:pt>
                <c:pt idx="5">
                  <c:v>5.8522333658713634</c:v>
                </c:pt>
                <c:pt idx="6">
                  <c:v>6.8962979189055469</c:v>
                </c:pt>
                <c:pt idx="7">
                  <c:v>8.1272831050814656</c:v>
                </c:pt>
                <c:pt idx="8">
                  <c:v>9.578763800182891</c:v>
                </c:pt>
                <c:pt idx="9">
                  <c:v>11.290364099936896</c:v>
                </c:pt>
                <c:pt idx="10">
                  <c:v>13.308850299577585</c:v>
                </c:pt>
                <c:pt idx="11">
                  <c:v>15.689421868067676</c:v>
                </c:pt>
                <c:pt idx="12">
                  <c:v>18.497236369330697</c:v>
                </c:pt>
                <c:pt idx="13">
                  <c:v>21.809210825304934</c:v>
                </c:pt>
                <c:pt idx="14">
                  <c:v>25.71614975099514</c:v>
                </c:pt>
                <c:pt idx="15">
                  <c:v>30.325259237860919</c:v>
                </c:pt>
                <c:pt idx="16">
                  <c:v>35.763117276597228</c:v>
                </c:pt>
                <c:pt idx="17">
                  <c:v>42.179183298551266</c:v>
                </c:pt>
                <c:pt idx="18">
                  <c:v>49.749945037412488</c:v>
                </c:pt>
                <c:pt idx="19">
                  <c:v>58.683818696173859</c:v>
                </c:pt>
                <c:pt idx="20">
                  <c:v>69.226939553605035</c:v>
                </c:pt>
                <c:pt idx="21">
                  <c:v>81.670005156979485</c:v>
                </c:pt>
                <c:pt idx="22">
                  <c:v>96.356362830373712</c:v>
                </c:pt>
                <c:pt idx="23">
                  <c:v>113.69156821680933</c:v>
                </c:pt>
                <c:pt idx="24">
                  <c:v>134.15468295741289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249.9076676355476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472.76708100439259</c:v>
                </c:pt>
                <c:pt idx="67">
                  <c:v>487.38463458913128</c:v>
                </c:pt>
                <c:pt idx="68">
                  <c:v>501.99288641186791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499.41562163511867</c:v>
                </c:pt>
                <c:pt idx="72">
                  <c:v>512.72849407236004</c:v>
                </c:pt>
                <c:pt idx="73">
                  <c:v>526.034069299154</c:v>
                </c:pt>
                <c:pt idx="74">
                  <c:v>539.33255785121992</c:v>
                </c:pt>
                <c:pt idx="75">
                  <c:v>552.62415903802309</c:v>
                </c:pt>
                <c:pt idx="76">
                  <c:v>520.45518659727634</c:v>
                </c:pt>
                <c:pt idx="77">
                  <c:v>533.32765337796286</c:v>
                </c:pt>
                <c:pt idx="78">
                  <c:v>546.193586977059</c:v>
                </c:pt>
                <c:pt idx="79">
                  <c:v>559.05316293312762</c:v>
                </c:pt>
                <c:pt idx="80">
                  <c:v>571.90654805285897</c:v>
                </c:pt>
                <c:pt idx="81">
                  <c:v>539.3325578512198</c:v>
                </c:pt>
                <c:pt idx="82">
                  <c:v>551.7668404903385</c:v>
                </c:pt>
                <c:pt idx="83">
                  <c:v>564.19525081895074</c:v>
                </c:pt>
                <c:pt idx="84">
                  <c:v>576.61793639178723</c:v>
                </c:pt>
                <c:pt idx="85">
                  <c:v>589.03503788906914</c:v>
                </c:pt>
                <c:pt idx="86">
                  <c:v>555.62455474096134</c:v>
                </c:pt>
                <c:pt idx="87">
                  <c:v>567.19434879973289</c:v>
                </c:pt>
                <c:pt idx="88">
                  <c:v>578.75921052572812</c:v>
                </c:pt>
                <c:pt idx="89">
                  <c:v>590.3192523477727</c:v>
                </c:pt>
                <c:pt idx="90">
                  <c:v>601.87458193334112</c:v>
                </c:pt>
                <c:pt idx="91">
                  <c:v>567.62276426035044</c:v>
                </c:pt>
                <c:pt idx="92">
                  <c:v>578.33096894357766</c:v>
                </c:pt>
                <c:pt idx="93">
                  <c:v>589.03503788906892</c:v>
                </c:pt>
                <c:pt idx="94">
                  <c:v>599.73505683441078</c:v>
                </c:pt>
                <c:pt idx="95">
                  <c:v>610.43110820893151</c:v>
                </c:pt>
                <c:pt idx="96">
                  <c:v>575.76138030334926</c:v>
                </c:pt>
                <c:pt idx="97">
                  <c:v>586.03831044894537</c:v>
                </c:pt>
                <c:pt idx="98">
                  <c:v>596.31148632519455</c:v>
                </c:pt>
                <c:pt idx="99">
                  <c:v>606.58098171901759</c:v>
                </c:pt>
                <c:pt idx="100">
                  <c:v>616.84686771553959</c:v>
                </c:pt>
                <c:pt idx="101">
                  <c:v>581.75671680137077</c:v>
                </c:pt>
                <c:pt idx="102">
                  <c:v>591.6034086352571</c:v>
                </c:pt>
                <c:pt idx="103">
                  <c:v>601.44668957799445</c:v>
                </c:pt>
                <c:pt idx="104">
                  <c:v>611.28662331597241</c:v>
                </c:pt>
                <c:pt idx="105">
                  <c:v>621.12327131831159</c:v>
                </c:pt>
                <c:pt idx="106">
                  <c:v>587.322661205072</c:v>
                </c:pt>
                <c:pt idx="107">
                  <c:v>596.31148632519489</c:v>
                </c:pt>
                <c:pt idx="108">
                  <c:v>605.29749361634447</c:v>
                </c:pt>
                <c:pt idx="109">
                  <c:v>614.28073080742217</c:v>
                </c:pt>
                <c:pt idx="110">
                  <c:v>623.26124411759065</c:v>
                </c:pt>
                <c:pt idx="111">
                  <c:v>590.74731089993531</c:v>
                </c:pt>
                <c:pt idx="112">
                  <c:v>598.87920239707967</c:v>
                </c:pt>
                <c:pt idx="113">
                  <c:v>607.00879854794766</c:v>
                </c:pt>
                <c:pt idx="114">
                  <c:v>615.1361344298515</c:v>
                </c:pt>
                <c:pt idx="115">
                  <c:v>623.26124411759076</c:v>
                </c:pt>
                <c:pt idx="116">
                  <c:v>592.45948058080216</c:v>
                </c:pt>
                <c:pt idx="117">
                  <c:v>600.16297452894207</c:v>
                </c:pt>
                <c:pt idx="118">
                  <c:v>607.86441342813634</c:v>
                </c:pt>
                <c:pt idx="119">
                  <c:v>615.56382698883374</c:v>
                </c:pt>
                <c:pt idx="120">
                  <c:v>623.26124411759099</c:v>
                </c:pt>
                <c:pt idx="121">
                  <c:v>3.1675048597887374E-12</c:v>
                </c:pt>
                <c:pt idx="122">
                  <c:v>3.1675048597887374E-12</c:v>
                </c:pt>
                <c:pt idx="123">
                  <c:v>3.1675048597887374E-12</c:v>
                </c:pt>
                <c:pt idx="124">
                  <c:v>3.1675048597887374E-12</c:v>
                </c:pt>
                <c:pt idx="125">
                  <c:v>3.1675048597887374E-12</c:v>
                </c:pt>
                <c:pt idx="126">
                  <c:v>3.1675048597887374E-12</c:v>
                </c:pt>
                <c:pt idx="127">
                  <c:v>3.1675048597887374E-12</c:v>
                </c:pt>
                <c:pt idx="128">
                  <c:v>3.1675048597887374E-12</c:v>
                </c:pt>
                <c:pt idx="129">
                  <c:v>3.1675048597887374E-12</c:v>
                </c:pt>
                <c:pt idx="130">
                  <c:v>3.1675048597887374E-12</c:v>
                </c:pt>
                <c:pt idx="131">
                  <c:v>3.1675048597887374E-12</c:v>
                </c:pt>
                <c:pt idx="132">
                  <c:v>3.1675048597887374E-12</c:v>
                </c:pt>
                <c:pt idx="133">
                  <c:v>3.1675048597887374E-12</c:v>
                </c:pt>
                <c:pt idx="134">
                  <c:v>3.1675048597887374E-12</c:v>
                </c:pt>
                <c:pt idx="135">
                  <c:v>3.1675048597887374E-12</c:v>
                </c:pt>
                <c:pt idx="136">
                  <c:v>3.1675048597887374E-12</c:v>
                </c:pt>
                <c:pt idx="137">
                  <c:v>3.1675048597887374E-12</c:v>
                </c:pt>
                <c:pt idx="138">
                  <c:v>3.1675048597887374E-12</c:v>
                </c:pt>
                <c:pt idx="139">
                  <c:v>3.1675048597887374E-12</c:v>
                </c:pt>
                <c:pt idx="140">
                  <c:v>3.1675048597887374E-12</c:v>
                </c:pt>
                <c:pt idx="141">
                  <c:v>3.1675048597887374E-12</c:v>
                </c:pt>
                <c:pt idx="142">
                  <c:v>3.1675048597887374E-12</c:v>
                </c:pt>
                <c:pt idx="143">
                  <c:v>3.1675048597887374E-12</c:v>
                </c:pt>
                <c:pt idx="144">
                  <c:v>3.1675048597887374E-12</c:v>
                </c:pt>
                <c:pt idx="145">
                  <c:v>3.1675048597887374E-12</c:v>
                </c:pt>
                <c:pt idx="146">
                  <c:v>3.1675048597887374E-12</c:v>
                </c:pt>
                <c:pt idx="147">
                  <c:v>3.1675048597887374E-12</c:v>
                </c:pt>
                <c:pt idx="148">
                  <c:v>3.1675048597887374E-12</c:v>
                </c:pt>
                <c:pt idx="149">
                  <c:v>3.1675048597887374E-12</c:v>
                </c:pt>
                <c:pt idx="150">
                  <c:v>3.1675048597887374E-12</c:v>
                </c:pt>
                <c:pt idx="151">
                  <c:v>3.1675048597887374E-12</c:v>
                </c:pt>
                <c:pt idx="152">
                  <c:v>3.1675048597887374E-12</c:v>
                </c:pt>
                <c:pt idx="153">
                  <c:v>3.1675048597887374E-12</c:v>
                </c:pt>
                <c:pt idx="154">
                  <c:v>3.1675048597887374E-12</c:v>
                </c:pt>
                <c:pt idx="155">
                  <c:v>3.1675048597887374E-12</c:v>
                </c:pt>
                <c:pt idx="156">
                  <c:v>3.1675048597887374E-12</c:v>
                </c:pt>
                <c:pt idx="157">
                  <c:v>3.1675048597887374E-12</c:v>
                </c:pt>
                <c:pt idx="158">
                  <c:v>3.1675048597887374E-12</c:v>
                </c:pt>
                <c:pt idx="159">
                  <c:v>3.1675048597887374E-12</c:v>
                </c:pt>
                <c:pt idx="160">
                  <c:v>3.1675048597887374E-12</c:v>
                </c:pt>
                <c:pt idx="161">
                  <c:v>3.1675048597887374E-12</c:v>
                </c:pt>
                <c:pt idx="162">
                  <c:v>3.1675048597887374E-12</c:v>
                </c:pt>
                <c:pt idx="163">
                  <c:v>3.1675048597887374E-12</c:v>
                </c:pt>
                <c:pt idx="164">
                  <c:v>3.1675048597887374E-12</c:v>
                </c:pt>
                <c:pt idx="165">
                  <c:v>3.1675048597887374E-12</c:v>
                </c:pt>
                <c:pt idx="166">
                  <c:v>3.1675048597887374E-12</c:v>
                </c:pt>
                <c:pt idx="167">
                  <c:v>3.1675048597887374E-12</c:v>
                </c:pt>
                <c:pt idx="168">
                  <c:v>3.1675048597887374E-12</c:v>
                </c:pt>
                <c:pt idx="169">
                  <c:v>3.1675048597887374E-12</c:v>
                </c:pt>
                <c:pt idx="170">
                  <c:v>3.1675048597887374E-12</c:v>
                </c:pt>
                <c:pt idx="171">
                  <c:v>3.1675048597887374E-12</c:v>
                </c:pt>
                <c:pt idx="172">
                  <c:v>3.1675048597887374E-12</c:v>
                </c:pt>
                <c:pt idx="173">
                  <c:v>3.1675048597887374E-12</c:v>
                </c:pt>
                <c:pt idx="174">
                  <c:v>3.1675048597887374E-12</c:v>
                </c:pt>
                <c:pt idx="175">
                  <c:v>3.1675048597887374E-12</c:v>
                </c:pt>
                <c:pt idx="176">
                  <c:v>3.1675048597887374E-12</c:v>
                </c:pt>
                <c:pt idx="177">
                  <c:v>3.1675048597887374E-12</c:v>
                </c:pt>
                <c:pt idx="178">
                  <c:v>3.1675048597887374E-12</c:v>
                </c:pt>
                <c:pt idx="179">
                  <c:v>3.1675048597887374E-12</c:v>
                </c:pt>
                <c:pt idx="180">
                  <c:v>3.1675048597887374E-12</c:v>
                </c:pt>
                <c:pt idx="181">
                  <c:v>3.1675048597887374E-12</c:v>
                </c:pt>
                <c:pt idx="182">
                  <c:v>3.1675048597887374E-12</c:v>
                </c:pt>
                <c:pt idx="183">
                  <c:v>3.1675048597887374E-12</c:v>
                </c:pt>
                <c:pt idx="184">
                  <c:v>3.1675048597887374E-12</c:v>
                </c:pt>
                <c:pt idx="185">
                  <c:v>3.1675048597887374E-12</c:v>
                </c:pt>
                <c:pt idx="186">
                  <c:v>3.1675048597887374E-12</c:v>
                </c:pt>
                <c:pt idx="187">
                  <c:v>3.1675048597887374E-12</c:v>
                </c:pt>
                <c:pt idx="188">
                  <c:v>3.1675048597887374E-12</c:v>
                </c:pt>
                <c:pt idx="189">
                  <c:v>3.1675048597887374E-12</c:v>
                </c:pt>
                <c:pt idx="190">
                  <c:v>3.1675048597887374E-12</c:v>
                </c:pt>
                <c:pt idx="191">
                  <c:v>3.1675048597887374E-12</c:v>
                </c:pt>
                <c:pt idx="192">
                  <c:v>3.1675048597887374E-12</c:v>
                </c:pt>
                <c:pt idx="193">
                  <c:v>3.1675048597887374E-12</c:v>
                </c:pt>
                <c:pt idx="194">
                  <c:v>3.1675048597887374E-12</c:v>
                </c:pt>
                <c:pt idx="195">
                  <c:v>3.1675048597887374E-12</c:v>
                </c:pt>
                <c:pt idx="196">
                  <c:v>3.1675048597887374E-12</c:v>
                </c:pt>
                <c:pt idx="197">
                  <c:v>3.1675048597887374E-12</c:v>
                </c:pt>
                <c:pt idx="198">
                  <c:v>3.1675048597887374E-12</c:v>
                </c:pt>
                <c:pt idx="199">
                  <c:v>3.1675048597887374E-12</c:v>
                </c:pt>
                <c:pt idx="200">
                  <c:v>3.1675048597887374E-12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1.7261808274585617</c:v>
                </c:pt>
                <c:pt idx="2">
                  <c:v>2.2453403907392566</c:v>
                </c:pt>
                <c:pt idx="3">
                  <c:v>2.9212817631984254</c:v>
                </c:pt>
                <c:pt idx="4">
                  <c:v>3.8015346317848171</c:v>
                </c:pt>
                <c:pt idx="5">
                  <c:v>4.9480896435298112</c:v>
                </c:pt>
                <c:pt idx="6">
                  <c:v>6.4418128656175506</c:v>
                </c:pt>
                <c:pt idx="7">
                  <c:v>8.3882119794424881</c:v>
                </c:pt>
                <c:pt idx="8">
                  <c:v>10.92496928173572</c:v>
                </c:pt>
                <c:pt idx="9">
                  <c:v>14.231784347206622</c:v>
                </c:pt>
                <c:pt idx="10">
                  <c:v>18.543236417424495</c:v>
                </c:pt>
                <c:pt idx="11">
                  <c:v>24.165595411630562</c:v>
                </c:pt>
                <c:pt idx="12">
                  <c:v>31.498796875456858</c:v>
                </c:pt>
                <c:pt idx="13">
                  <c:v>41.065171110608858</c:v>
                </c:pt>
                <c:pt idx="14">
                  <c:v>53.54700756494902</c:v>
                </c:pt>
                <c:pt idx="15">
                  <c:v>69.835678209381555</c:v>
                </c:pt>
                <c:pt idx="16">
                  <c:v>91.095885125480777</c:v>
                </c:pt>
                <c:pt idx="17">
                  <c:v>118.84969951572798</c:v>
                </c:pt>
                <c:pt idx="18">
                  <c:v>155.08650260412784</c:v>
                </c:pt>
                <c:pt idx="19">
                  <c:v>202.4068292846047</c:v>
                </c:pt>
                <c:pt idx="20">
                  <c:v>264.21059165459314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1.7414612979594863</c:v>
                </c:pt>
                <c:pt idx="2">
                  <c:v>2.2652333273409933</c:v>
                </c:pt>
                <c:pt idx="3">
                  <c:v>2.9471848742535118</c:v>
                </c:pt>
                <c:pt idx="4">
                  <c:v>3.8352707106523511</c:v>
                </c:pt>
                <c:pt idx="5">
                  <c:v>4.9920362854512925</c:v>
                </c:pt>
                <c:pt idx="6">
                  <c:v>6.4990718912627559</c:v>
                </c:pt>
                <c:pt idx="7">
                  <c:v>8.4628307539824004</c:v>
                </c:pt>
                <c:pt idx="8">
                  <c:v>11.022229869622691</c:v>
                </c:pt>
                <c:pt idx="9">
                  <c:v>14.358581351401584</c:v>
                </c:pt>
                <c:pt idx="10">
                  <c:v>18.708570775353564</c:v>
                </c:pt>
                <c:pt idx="11">
                  <c:v>24.381219827228506</c:v>
                </c:pt>
                <c:pt idx="12">
                  <c:v>31.780059570991472</c:v>
                </c:pt>
                <c:pt idx="13">
                  <c:v>41.432118987544548</c:v>
                </c:pt>
                <c:pt idx="14">
                  <c:v>54.025828723165979</c:v>
                </c:pt>
                <c:pt idx="15">
                  <c:v>70.460588468610837</c:v>
                </c:pt>
                <c:pt idx="16">
                  <c:v>91.911595530068794</c:v>
                </c:pt>
                <c:pt idx="17">
                  <c:v>119.91464415334686</c:v>
                </c:pt>
                <c:pt idx="18">
                  <c:v>156.47706153615198</c:v>
                </c:pt>
                <c:pt idx="19">
                  <c:v>204.2228540405608</c:v>
                </c:pt>
                <c:pt idx="20">
                  <c:v>266.58263592003124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4" t="s">
        <v>291</v>
      </c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</row>
    <row r="13" spans="2:13" ht="15" customHeight="1" x14ac:dyDescent="0.3">
      <c r="B13" s="294"/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</row>
    <row r="14" spans="2:13" ht="15" customHeight="1" x14ac:dyDescent="0.3"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/>
    </row>
    <row r="15" spans="2:13" ht="18.75" customHeight="1" x14ac:dyDescent="0.3">
      <c r="B15" s="294"/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</row>
    <row r="16" spans="2:13" ht="18.75" customHeight="1" x14ac:dyDescent="0.3"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</row>
    <row r="18" spans="2:13" ht="12" customHeight="1" x14ac:dyDescent="0.3">
      <c r="B18" s="294" t="s">
        <v>292</v>
      </c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</row>
    <row r="19" spans="2:13" ht="12" customHeight="1" x14ac:dyDescent="0.3">
      <c r="B19" s="294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</row>
    <row r="20" spans="2:13" ht="12" customHeight="1" x14ac:dyDescent="0.3">
      <c r="B20" s="294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</row>
    <row r="21" spans="2:13" ht="12" customHeight="1" x14ac:dyDescent="0.3">
      <c r="B21" s="294"/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</row>
    <row r="22" spans="2:13" ht="12" customHeight="1" x14ac:dyDescent="0.3">
      <c r="B22" s="294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</row>
    <row r="23" spans="2:13" ht="12" customHeight="1" x14ac:dyDescent="0.3">
      <c r="B23" s="294"/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</row>
    <row r="24" spans="2:13" ht="12" customHeight="1" x14ac:dyDescent="0.3"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</row>
    <row r="25" spans="2:13" ht="12" customHeight="1" x14ac:dyDescent="0.3"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</row>
    <row r="26" spans="2:13" ht="12" customHeight="1" x14ac:dyDescent="0.3"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</row>
    <row r="27" spans="2:13" ht="12" customHeight="1" x14ac:dyDescent="0.3">
      <c r="B27" s="294"/>
      <c r="C27" s="294"/>
      <c r="D27" s="294"/>
      <c r="E27" s="294"/>
      <c r="F27" s="294"/>
      <c r="G27" s="294"/>
      <c r="H27" s="294"/>
      <c r="I27" s="294"/>
      <c r="J27" s="294"/>
      <c r="K27" s="294"/>
      <c r="L27" s="294"/>
      <c r="M27" s="294"/>
    </row>
    <row r="28" spans="2:13" ht="12" customHeight="1" x14ac:dyDescent="0.3"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</row>
    <row r="29" spans="2:13" ht="12" customHeight="1" x14ac:dyDescent="0.3">
      <c r="B29" s="294"/>
      <c r="C29" s="294"/>
      <c r="D29" s="294"/>
      <c r="E29" s="294"/>
      <c r="F29" s="294"/>
      <c r="G29" s="294"/>
      <c r="H29" s="294"/>
      <c r="I29" s="294"/>
      <c r="J29" s="294"/>
      <c r="K29" s="294"/>
      <c r="L29" s="294"/>
      <c r="M29" s="294"/>
    </row>
    <row r="30" spans="2:13" ht="12" customHeight="1" x14ac:dyDescent="0.3">
      <c r="B30" s="294"/>
      <c r="C30" s="294"/>
      <c r="D30" s="294"/>
      <c r="E30" s="294"/>
      <c r="F30" s="294"/>
      <c r="G30" s="294"/>
      <c r="H30" s="294"/>
      <c r="I30" s="294"/>
      <c r="J30" s="294"/>
      <c r="K30" s="294"/>
      <c r="L30" s="294"/>
      <c r="M30" s="294"/>
    </row>
    <row r="31" spans="2:13" ht="12" customHeight="1" x14ac:dyDescent="0.3">
      <c r="B31" s="294"/>
      <c r="C31" s="294"/>
      <c r="D31" s="294"/>
      <c r="E31" s="294"/>
      <c r="F31" s="294"/>
      <c r="G31" s="294"/>
      <c r="H31" s="294"/>
      <c r="I31" s="294"/>
      <c r="J31" s="294"/>
      <c r="K31" s="294"/>
      <c r="L31" s="294"/>
      <c r="M31" s="29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90" zoomScaleNormal="90" workbookViewId="0">
      <selection activeCell="C30" sqref="C30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5" t="s">
        <v>190</v>
      </c>
      <c r="D1" s="295"/>
      <c r="E1" s="29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300" t="s">
        <v>192</v>
      </c>
      <c r="C3" s="301"/>
      <c r="D3" s="301"/>
      <c r="E3" s="301"/>
      <c r="F3" s="302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6" t="s">
        <v>231</v>
      </c>
      <c r="B5" s="306"/>
      <c r="C5" s="26">
        <v>3.45</v>
      </c>
      <c r="D5" s="307" t="s">
        <v>229</v>
      </c>
      <c r="E5" s="308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4" t="s">
        <v>226</v>
      </c>
      <c r="B7" s="304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0.24</v>
      </c>
      <c r="D9" s="36">
        <f t="shared" ref="D9:D18" si="0">C9*$C$5</f>
        <v>0.82799999999999996</v>
      </c>
      <c r="E9" s="37">
        <v>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324</v>
      </c>
      <c r="C10" s="35">
        <v>0.20399999999999999</v>
      </c>
      <c r="D10" s="36">
        <f t="shared" si="0"/>
        <v>0.70379999999999998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112</v>
      </c>
      <c r="C11" s="35">
        <v>0.39500000000000002</v>
      </c>
      <c r="D11" s="36">
        <f t="shared" si="0"/>
        <v>1.3627500000000001</v>
      </c>
      <c r="E11" s="37">
        <v>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110</v>
      </c>
      <c r="C12" s="35">
        <v>0.16</v>
      </c>
      <c r="D12" s="36">
        <f t="shared" si="0"/>
        <v>0.55200000000000005</v>
      </c>
      <c r="E12" s="37">
        <v>20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0.999</v>
      </c>
      <c r="D19" s="41">
        <f>SUM(D9:D18)</f>
        <v>3.4465500000000002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3" t="s">
        <v>232</v>
      </c>
      <c r="B22" s="303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5" t="s">
        <v>227</v>
      </c>
      <c r="B30" s="305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6" t="s">
        <v>186</v>
      </c>
      <c r="D34" s="296"/>
      <c r="E34" s="297" t="s">
        <v>187</v>
      </c>
      <c r="F34" s="298"/>
      <c r="G34" s="298"/>
      <c r="H34" s="299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18</v>
      </c>
      <c r="B36" s="63">
        <v>111</v>
      </c>
      <c r="C36" s="63">
        <v>1</v>
      </c>
      <c r="D36" s="63">
        <v>27</v>
      </c>
      <c r="E36" s="292"/>
      <c r="F36" s="292"/>
      <c r="G36" s="292">
        <v>1</v>
      </c>
      <c r="H36" s="54"/>
      <c r="I36" s="52">
        <f>IFERROR(B36/A36,"")</f>
        <v>6.166666666666667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24</v>
      </c>
      <c r="B37" s="63">
        <v>166</v>
      </c>
      <c r="C37" s="63">
        <v>2</v>
      </c>
      <c r="D37" s="63">
        <v>38</v>
      </c>
      <c r="E37" s="292">
        <v>0.2</v>
      </c>
      <c r="F37" s="292"/>
      <c r="G37" s="292">
        <v>0.8</v>
      </c>
      <c r="H37" s="54"/>
      <c r="I37" s="56">
        <f t="shared" ref="I37:I55" si="1">IF(A37&lt;&gt;0,(B37-(B36-D36))/(A37-A36),"")</f>
        <v>13.666666666666666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3">
        <v>205</v>
      </c>
      <c r="C38" s="63">
        <v>3</v>
      </c>
      <c r="D38" s="63">
        <v>47</v>
      </c>
      <c r="E38" s="292">
        <v>0.35</v>
      </c>
      <c r="F38" s="292"/>
      <c r="G38" s="292">
        <v>0.65</v>
      </c>
      <c r="H38" s="54"/>
      <c r="I38" s="56">
        <f t="shared" si="1"/>
        <v>12.833333333333334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40</v>
      </c>
      <c r="B39" s="63">
        <v>265</v>
      </c>
      <c r="C39" s="63">
        <v>4</v>
      </c>
      <c r="D39" s="63">
        <v>50</v>
      </c>
      <c r="E39" s="54"/>
      <c r="F39" s="54"/>
      <c r="G39" s="54"/>
      <c r="H39" s="54"/>
      <c r="I39" s="52">
        <f t="shared" si="1"/>
        <v>10.7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50</v>
      </c>
      <c r="B40" s="63">
        <v>294</v>
      </c>
      <c r="C40" s="63">
        <v>5</v>
      </c>
      <c r="D40" s="63">
        <v>294</v>
      </c>
      <c r="E40" s="54"/>
      <c r="F40" s="54"/>
      <c r="G40" s="54"/>
      <c r="H40" s="54"/>
      <c r="I40" s="52">
        <f t="shared" si="1"/>
        <v>7.9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pubescent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6" t="s">
        <v>186</v>
      </c>
      <c r="D60" s="296"/>
      <c r="E60" s="297" t="s">
        <v>187</v>
      </c>
      <c r="F60" s="298"/>
      <c r="G60" s="298"/>
      <c r="H60" s="299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25</v>
      </c>
      <c r="B62" s="63">
        <v>70</v>
      </c>
      <c r="C62" s="63">
        <v>1</v>
      </c>
      <c r="D62" s="63">
        <v>8</v>
      </c>
      <c r="E62" s="54"/>
      <c r="F62" s="54"/>
      <c r="G62" s="54"/>
      <c r="H62" s="54">
        <v>1</v>
      </c>
      <c r="I62" s="56">
        <f>IFERROR(B62/A62,"")</f>
        <v>2.8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30</v>
      </c>
      <c r="B63" s="63">
        <v>97</v>
      </c>
      <c r="C63" s="63">
        <v>2</v>
      </c>
      <c r="D63" s="63">
        <v>21</v>
      </c>
      <c r="E63" s="54"/>
      <c r="F63" s="54">
        <v>0.3</v>
      </c>
      <c r="G63" s="54">
        <v>0.7</v>
      </c>
      <c r="H63" s="54"/>
      <c r="I63" s="52">
        <f>IF(A63&lt;&gt;0,(B63-(B62-D62))/(A63-A62),"")</f>
        <v>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35</v>
      </c>
      <c r="B64" s="63">
        <v>116</v>
      </c>
      <c r="C64" s="63">
        <v>3</v>
      </c>
      <c r="D64" s="63">
        <v>21</v>
      </c>
      <c r="E64" s="54"/>
      <c r="F64" s="54"/>
      <c r="G64" s="54"/>
      <c r="H64" s="54"/>
      <c r="I64" s="52">
        <f>IF(A64&lt;&gt;0,(B64-(B63-D63))/(A64-A63),"")</f>
        <v>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40</v>
      </c>
      <c r="B65" s="63">
        <v>137</v>
      </c>
      <c r="C65" s="63">
        <v>4</v>
      </c>
      <c r="D65" s="63">
        <v>21</v>
      </c>
      <c r="E65" s="54"/>
      <c r="F65" s="54"/>
      <c r="G65" s="54"/>
      <c r="H65" s="54"/>
      <c r="I65" s="52">
        <f>IF(A65&lt;&gt;0,(B65-(B64-D64))/(A65-A64),"")</f>
        <v>8.4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45</v>
      </c>
      <c r="B66" s="63">
        <v>158</v>
      </c>
      <c r="C66" s="63">
        <v>5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50</v>
      </c>
      <c r="B67" s="63">
        <v>178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8.1999999999999993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55</v>
      </c>
      <c r="B68" s="63">
        <v>197</v>
      </c>
      <c r="C68" s="63">
        <v>7</v>
      </c>
      <c r="D68" s="63">
        <v>21</v>
      </c>
      <c r="E68" s="54"/>
      <c r="F68" s="54"/>
      <c r="G68" s="54"/>
      <c r="H68" s="54"/>
      <c r="I68" s="52">
        <f t="shared" si="2"/>
        <v>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60</v>
      </c>
      <c r="B69" s="53">
        <v>214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7.6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65</v>
      </c>
      <c r="B70" s="53">
        <v>229</v>
      </c>
      <c r="C70" s="53">
        <v>9</v>
      </c>
      <c r="D70" s="53">
        <v>21</v>
      </c>
      <c r="E70" s="54"/>
      <c r="F70" s="54"/>
      <c r="G70" s="54"/>
      <c r="H70" s="54"/>
      <c r="I70" s="52">
        <f t="shared" si="2"/>
        <v>7.2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70</v>
      </c>
      <c r="B71" s="53">
        <v>242</v>
      </c>
      <c r="C71" s="53">
        <v>10</v>
      </c>
      <c r="D71" s="53">
        <v>21</v>
      </c>
      <c r="E71" s="54"/>
      <c r="F71" s="54"/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75</v>
      </c>
      <c r="B72" s="53">
        <v>252</v>
      </c>
      <c r="C72" s="53">
        <v>11</v>
      </c>
      <c r="D72" s="53">
        <v>21</v>
      </c>
      <c r="E72" s="54"/>
      <c r="F72" s="54"/>
      <c r="G72" s="54"/>
      <c r="H72" s="54"/>
      <c r="I72" s="52">
        <f t="shared" si="2"/>
        <v>6.2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80</v>
      </c>
      <c r="B73" s="53">
        <v>261</v>
      </c>
      <c r="C73" s="53">
        <v>12</v>
      </c>
      <c r="D73" s="53">
        <v>21</v>
      </c>
      <c r="E73" s="54"/>
      <c r="F73" s="54"/>
      <c r="G73" s="54"/>
      <c r="H73" s="54"/>
      <c r="I73" s="52">
        <f t="shared" si="2"/>
        <v>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85</v>
      </c>
      <c r="B74" s="53">
        <v>269</v>
      </c>
      <c r="C74" s="53">
        <v>13</v>
      </c>
      <c r="D74" s="53">
        <v>21</v>
      </c>
      <c r="E74" s="54"/>
      <c r="F74" s="54"/>
      <c r="G74" s="54"/>
      <c r="H74" s="54"/>
      <c r="I74" s="52">
        <f t="shared" si="2"/>
        <v>5.8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90</v>
      </c>
      <c r="B75" s="53">
        <v>275</v>
      </c>
      <c r="C75" s="53">
        <v>14</v>
      </c>
      <c r="D75" s="53">
        <v>21</v>
      </c>
      <c r="E75" s="54"/>
      <c r="F75" s="54"/>
      <c r="G75" s="54"/>
      <c r="H75" s="54"/>
      <c r="I75" s="52">
        <f t="shared" si="2"/>
        <v>5.4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95</v>
      </c>
      <c r="B76" s="53">
        <v>279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100</v>
      </c>
      <c r="B77" s="53">
        <v>282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4.8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105</v>
      </c>
      <c r="B78" s="53">
        <v>284</v>
      </c>
      <c r="C78" s="53">
        <v>17</v>
      </c>
      <c r="D78" s="53">
        <v>20</v>
      </c>
      <c r="E78" s="54"/>
      <c r="F78" s="54"/>
      <c r="G78" s="54"/>
      <c r="H78" s="54"/>
      <c r="I78" s="52">
        <f t="shared" si="2"/>
        <v>4.5999999999999996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110</v>
      </c>
      <c r="B79" s="53">
        <v>285</v>
      </c>
      <c r="C79" s="53">
        <v>18</v>
      </c>
      <c r="D79" s="53">
        <v>19</v>
      </c>
      <c r="E79" s="54"/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115</v>
      </c>
      <c r="B80" s="53">
        <v>285</v>
      </c>
      <c r="C80" s="53">
        <v>19</v>
      </c>
      <c r="D80" s="53">
        <v>18</v>
      </c>
      <c r="E80" s="54"/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120</v>
      </c>
      <c r="B81" s="53">
        <v>285</v>
      </c>
      <c r="C81" s="53">
        <v>20</v>
      </c>
      <c r="D81" s="53">
        <v>285</v>
      </c>
      <c r="E81" s="54"/>
      <c r="F81" s="54"/>
      <c r="G81" s="54"/>
      <c r="H81" s="54"/>
      <c r="I81" s="52">
        <f t="shared" si="2"/>
        <v>3.6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Peuplier Koster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6" t="s">
        <v>186</v>
      </c>
      <c r="D86" s="296"/>
      <c r="E86" s="297" t="s">
        <v>187</v>
      </c>
      <c r="F86" s="298"/>
      <c r="G86" s="298"/>
      <c r="H86" s="299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20</v>
      </c>
      <c r="B88" s="63">
        <v>236</v>
      </c>
      <c r="C88" s="63">
        <v>1</v>
      </c>
      <c r="D88" s="63">
        <v>236</v>
      </c>
      <c r="E88" s="54">
        <v>0.7</v>
      </c>
      <c r="F88" s="54"/>
      <c r="G88" s="54">
        <v>0.3</v>
      </c>
      <c r="H88" s="93"/>
      <c r="I88" s="56">
        <f>IFERROR(B88/A88,"")</f>
        <v>11.8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Peuplier Dvena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6" t="s">
        <v>186</v>
      </c>
      <c r="D112" s="296"/>
      <c r="E112" s="297" t="s">
        <v>187</v>
      </c>
      <c r="F112" s="298"/>
      <c r="G112" s="298"/>
      <c r="H112" s="299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20</v>
      </c>
      <c r="B114" s="63">
        <v>236</v>
      </c>
      <c r="C114" s="53">
        <v>1</v>
      </c>
      <c r="D114" s="63">
        <v>236</v>
      </c>
      <c r="E114" s="54">
        <v>0.7</v>
      </c>
      <c r="F114" s="54"/>
      <c r="G114" s="54">
        <v>0.3</v>
      </c>
      <c r="H114" s="54"/>
      <c r="I114" s="56">
        <f>IFERROR(B114/A114,"")</f>
        <v>11.8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6" t="s">
        <v>186</v>
      </c>
      <c r="D138" s="296"/>
      <c r="E138" s="297" t="s">
        <v>187</v>
      </c>
      <c r="F138" s="298"/>
      <c r="G138" s="298"/>
      <c r="H138" s="299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6" t="s">
        <v>186</v>
      </c>
      <c r="D164" s="296"/>
      <c r="E164" s="297" t="s">
        <v>187</v>
      </c>
      <c r="F164" s="298"/>
      <c r="G164" s="298"/>
      <c r="H164" s="299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6" t="s">
        <v>186</v>
      </c>
      <c r="D190" s="296"/>
      <c r="E190" s="297" t="s">
        <v>187</v>
      </c>
      <c r="F190" s="298"/>
      <c r="G190" s="298"/>
      <c r="H190" s="299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6" t="s">
        <v>186</v>
      </c>
      <c r="D216" s="296"/>
      <c r="E216" s="297" t="s">
        <v>187</v>
      </c>
      <c r="F216" s="298"/>
      <c r="G216" s="298"/>
      <c r="H216" s="299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6" t="s">
        <v>186</v>
      </c>
      <c r="D242" s="296"/>
      <c r="E242" s="297" t="s">
        <v>187</v>
      </c>
      <c r="F242" s="298"/>
      <c r="G242" s="298"/>
      <c r="H242" s="299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6" t="s">
        <v>186</v>
      </c>
      <c r="D268" s="296"/>
      <c r="E268" s="297" t="s">
        <v>187</v>
      </c>
      <c r="F268" s="298"/>
      <c r="G268" s="298"/>
      <c r="H268" s="299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19" sqref="F19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10" t="s">
        <v>191</v>
      </c>
      <c r="C2" s="311"/>
      <c r="D2" s="311"/>
      <c r="E2" s="311"/>
      <c r="F2" s="311"/>
      <c r="G2" s="312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9"/>
      <c r="C4" s="309"/>
      <c r="D4" s="309"/>
      <c r="E4" s="309"/>
      <c r="F4" s="309"/>
      <c r="G4" s="309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6" t="s">
        <v>176</v>
      </c>
      <c r="C1" s="317"/>
      <c r="D1" s="317"/>
      <c r="E1" s="317"/>
      <c r="F1" s="317"/>
      <c r="G1" s="317"/>
      <c r="H1" s="318"/>
      <c r="I1" s="313" t="str">
        <f>IF('Données projet'!$B$9="","",'Données projet'!$B$9)</f>
        <v>Pin maritime</v>
      </c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5"/>
      <c r="AD1" s="314" t="str">
        <f>IF('Données projet'!$B$10="","",'Données projet'!$B$10)</f>
        <v>chêne pubescent</v>
      </c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  <c r="AV1" s="314"/>
      <c r="AW1" s="314"/>
      <c r="AX1" s="315"/>
      <c r="AY1" s="313" t="str">
        <f>IF('Données projet'!$B$11="","",'Données projet'!$B$11)</f>
        <v>Peuplier Koster</v>
      </c>
      <c r="AZ1" s="314"/>
      <c r="BA1" s="314"/>
      <c r="BB1" s="314"/>
      <c r="BC1" s="314"/>
      <c r="BD1" s="314"/>
      <c r="BE1" s="314"/>
      <c r="BF1" s="314"/>
      <c r="BG1" s="314"/>
      <c r="BH1" s="314"/>
      <c r="BI1" s="314"/>
      <c r="BJ1" s="314"/>
      <c r="BK1" s="314"/>
      <c r="BL1" s="314"/>
      <c r="BM1" s="314"/>
      <c r="BN1" s="314"/>
      <c r="BO1" s="314"/>
      <c r="BP1" s="314"/>
      <c r="BQ1" s="314"/>
      <c r="BR1" s="314"/>
      <c r="BS1" s="315"/>
      <c r="BT1" s="313" t="str">
        <f>IF('Données projet'!$B$12="","",'Données projet'!$B$12)</f>
        <v>Peuplier Dvena</v>
      </c>
      <c r="BU1" s="314"/>
      <c r="BV1" s="314"/>
      <c r="BW1" s="314"/>
      <c r="BX1" s="314"/>
      <c r="BY1" s="314"/>
      <c r="BZ1" s="314"/>
      <c r="CA1" s="314"/>
      <c r="CB1" s="314"/>
      <c r="CC1" s="314"/>
      <c r="CD1" s="314"/>
      <c r="CE1" s="314"/>
      <c r="CF1" s="314"/>
      <c r="CG1" s="314"/>
      <c r="CH1" s="314"/>
      <c r="CI1" s="314"/>
      <c r="CJ1" s="314"/>
      <c r="CK1" s="314"/>
      <c r="CL1" s="314"/>
      <c r="CM1" s="314"/>
      <c r="CN1" s="315"/>
      <c r="CO1" s="313" t="str">
        <f>IF('Données projet'!$B$13="","",'Données projet'!$B$13)</f>
        <v/>
      </c>
      <c r="CP1" s="314"/>
      <c r="CQ1" s="314"/>
      <c r="CR1" s="314"/>
      <c r="CS1" s="314"/>
      <c r="CT1" s="314"/>
      <c r="CU1" s="314"/>
      <c r="CV1" s="314"/>
      <c r="CW1" s="314"/>
      <c r="CX1" s="314"/>
      <c r="CY1" s="314"/>
      <c r="CZ1" s="314"/>
      <c r="DA1" s="314"/>
      <c r="DB1" s="314"/>
      <c r="DC1" s="314"/>
      <c r="DD1" s="314"/>
      <c r="DE1" s="314"/>
      <c r="DF1" s="314"/>
      <c r="DG1" s="314"/>
      <c r="DH1" s="314"/>
      <c r="DI1" s="315"/>
      <c r="DJ1" s="313" t="str">
        <f>IF('Données projet'!$B$14="","",'Données projet'!$B$14)</f>
        <v/>
      </c>
      <c r="DK1" s="314"/>
      <c r="DL1" s="314"/>
      <c r="DM1" s="314"/>
      <c r="DN1" s="314"/>
      <c r="DO1" s="314"/>
      <c r="DP1" s="314"/>
      <c r="DQ1" s="314"/>
      <c r="DR1" s="314"/>
      <c r="DS1" s="314"/>
      <c r="DT1" s="314"/>
      <c r="DU1" s="314"/>
      <c r="DV1" s="314"/>
      <c r="DW1" s="314"/>
      <c r="DX1" s="314"/>
      <c r="DY1" s="314"/>
      <c r="DZ1" s="314"/>
      <c r="EA1" s="314"/>
      <c r="EB1" s="314"/>
      <c r="EC1" s="314"/>
      <c r="ED1" s="315"/>
      <c r="EE1" s="313" t="str">
        <f>IF('Données projet'!$B$15="","",'Données projet'!$B$15)</f>
        <v/>
      </c>
      <c r="EF1" s="314"/>
      <c r="EG1" s="314"/>
      <c r="EH1" s="314"/>
      <c r="EI1" s="314"/>
      <c r="EJ1" s="314"/>
      <c r="EK1" s="314"/>
      <c r="EL1" s="314"/>
      <c r="EM1" s="314"/>
      <c r="EN1" s="314"/>
      <c r="EO1" s="314"/>
      <c r="EP1" s="314"/>
      <c r="EQ1" s="314"/>
      <c r="ER1" s="314"/>
      <c r="ES1" s="314"/>
      <c r="ET1" s="314"/>
      <c r="EU1" s="314"/>
      <c r="EV1" s="314"/>
      <c r="EW1" s="314"/>
      <c r="EX1" s="314"/>
      <c r="EY1" s="315"/>
      <c r="EZ1" s="313" t="str">
        <f>IF('Données projet'!$B$16="","",'Données projet'!$B$16)</f>
        <v/>
      </c>
      <c r="FA1" s="314"/>
      <c r="FB1" s="314"/>
      <c r="FC1" s="314"/>
      <c r="FD1" s="314"/>
      <c r="FE1" s="314"/>
      <c r="FF1" s="314"/>
      <c r="FG1" s="314"/>
      <c r="FH1" s="314"/>
      <c r="FI1" s="314"/>
      <c r="FJ1" s="314"/>
      <c r="FK1" s="314"/>
      <c r="FL1" s="314"/>
      <c r="FM1" s="314"/>
      <c r="FN1" s="314"/>
      <c r="FO1" s="314"/>
      <c r="FP1" s="314"/>
      <c r="FQ1" s="314"/>
      <c r="FR1" s="314"/>
      <c r="FS1" s="314"/>
      <c r="FT1" s="315"/>
      <c r="FU1" s="313" t="str">
        <f>IF('Données projet'!$B$17="","",'Données projet'!$B$17)</f>
        <v/>
      </c>
      <c r="FV1" s="314"/>
      <c r="FW1" s="314"/>
      <c r="FX1" s="314"/>
      <c r="FY1" s="314"/>
      <c r="FZ1" s="314"/>
      <c r="GA1" s="314"/>
      <c r="GB1" s="314"/>
      <c r="GC1" s="314"/>
      <c r="GD1" s="314"/>
      <c r="GE1" s="314"/>
      <c r="GF1" s="314"/>
      <c r="GG1" s="314"/>
      <c r="GH1" s="314"/>
      <c r="GI1" s="314"/>
      <c r="GJ1" s="314"/>
      <c r="GK1" s="314"/>
      <c r="GL1" s="314"/>
      <c r="GM1" s="314"/>
      <c r="GN1" s="314"/>
      <c r="GO1" s="315"/>
      <c r="GP1" s="313" t="str">
        <f>IF('Données projet'!$B$18="","",'Données projet'!$B$18)</f>
        <v/>
      </c>
      <c r="GQ1" s="314"/>
      <c r="GR1" s="314"/>
      <c r="GS1" s="314"/>
      <c r="GT1" s="314"/>
      <c r="GU1" s="314"/>
      <c r="GV1" s="314"/>
      <c r="GW1" s="314"/>
      <c r="GX1" s="314"/>
      <c r="GY1" s="314"/>
      <c r="GZ1" s="314"/>
      <c r="HA1" s="314"/>
      <c r="HB1" s="314"/>
      <c r="HC1" s="314"/>
      <c r="HD1" s="314"/>
      <c r="HE1" s="314"/>
      <c r="HF1" s="314"/>
      <c r="HG1" s="314"/>
      <c r="HH1" s="314"/>
      <c r="HI1" s="314"/>
      <c r="HJ1" s="315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150.79185880109804</v>
      </c>
      <c r="T3" s="62">
        <f>IF('Données projet'!E9&gt;30,$R$33-$H$33,LOOKUP('Données projet'!$E$9,$A$3:$A$203,R3:R203)-LOOKUP('Données projet'!$E$9,$A$3:$A$203,$H$3:$H$203))</f>
        <v>231.70571415193996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305.55480846093275</v>
      </c>
      <c r="AO3" s="62">
        <f>IF('Données projet'!E10&gt;30,$AM$33-$H$33,LOOKUP('Données projet'!$E$10,$A$3:$A$203,AM3:AM203)-LOOKUP('Données projet'!$E$10,$A$3:$A$203,$H$3:$H$203))</f>
        <v>179.56041631665812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40.594438615105105</v>
      </c>
      <c r="BJ3" s="62">
        <f>IF('Données projet'!E11&gt;30,$BH$33-$H$33,LOOKUP('Données projet'!$E$11,$A$3:$A$203,BH3:BH203)-LOOKUP('Données projet'!$E$11,$A$3:$A$203,$H$3:$H$203))</f>
        <v>238.55583229663102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41.074766157499596</v>
      </c>
      <c r="CE3" s="62">
        <f>IF('Données projet'!E12&gt;30,$CC$33-$H$33,LOOKUP('Données projet'!$E$12,$A$3:$A$203,CC3:CC203)-LOOKUP('Données projet'!$E$12,$A$3:$A$203,$H$3:$H$203))</f>
        <v>240.92787656206917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6.166666666666667</v>
      </c>
      <c r="N4" s="14">
        <f>IF('Données projet'!$A$36&gt;35,N3+M4-V3,IF(A4&lt;'Données projet'!$A$36,$K$205^A4,IF(A4='Données projet'!$A$36,'Données projet'!$B$36,N3+M4-V3)))</f>
        <v>1.2990595333015609</v>
      </c>
      <c r="O4" s="14">
        <f>N4*VLOOKUP('Données projet'!$B$9,Paramètres!$A$1:$I$89,3,0)*VLOOKUP('Données projet'!$B$9,Paramètres!$A$1:$I$89,5,0)</f>
        <v>0.7768376009143334</v>
      </c>
      <c r="P4" s="14">
        <f>EXP(-1.0587+0.8836*LN(O4)+0.284)</f>
        <v>0.36867854383113818</v>
      </c>
      <c r="Q4" s="22">
        <f t="shared" ref="Q4:Q34" si="2">(O4+P4)*0.475*44/12</f>
        <v>1.9951072854316962</v>
      </c>
      <c r="R4" s="62">
        <f t="shared" si="0"/>
        <v>295.328440618765</v>
      </c>
      <c r="S4" s="62">
        <f ca="1">AVERAGE(OFFSET($R$3,0,0,'Données projet'!$E$9+1,1))-AVERAGE(OFFSET($H$3,0,0,'Données projet'!$E$9+1,1))</f>
        <v>150.79185880109804</v>
      </c>
      <c r="T4" s="62">
        <f>$T$3</f>
        <v>231.70571415193996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</v>
      </c>
      <c r="AI4" s="14">
        <f>IF('Données projet'!$A$62&gt;35,AI3+AH4-AQ3,IF(A4&lt;'Données projet'!$A$62,$AF$205^A4,IF(A4='Données projet'!$A$62,'Données projet'!$B$62,AI3+AH4-AQ3)))</f>
        <v>1.1852335095914694</v>
      </c>
      <c r="AJ4" s="14">
        <f>AI4*VLOOKUP('Données projet'!$B$10,Paramètres!$A$1:$I$89,3,0)*VLOOKUP('Données projet'!$B$10,Paramètres!$A$1:$I$89,5,0)</f>
        <v>1.2018267787257499</v>
      </c>
      <c r="AK4" s="14">
        <f>EXP(-1.0587+0.8836*LN(AJ4)+0.284)</f>
        <v>0.5421261382842083</v>
      </c>
      <c r="AL4" s="22">
        <f t="shared" ref="AL4:AL67" si="4">(AJ4+AK4)*0.475*44/12</f>
        <v>3.0373846637923445</v>
      </c>
      <c r="AM4" s="62">
        <f t="shared" ref="AM4:AM67" si="5">AL4+(AD4+AE4)*44/12</f>
        <v>296.37071799712567</v>
      </c>
      <c r="AN4" s="62">
        <f ca="1">AVERAGE(OFFSET($AM$3,0,0,'Données projet'!$E$10+1,1))-AVERAGE(OFFSET($H$3,0,0,'Données projet'!$E$10+1,1))</f>
        <v>305.55480846093275</v>
      </c>
      <c r="AO4" s="62">
        <f>$AO$3</f>
        <v>179.56041631665812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11.8</v>
      </c>
      <c r="BD4" s="13">
        <f>IF('Données projet'!$A$88&gt;35,BD3+BC4-BL3,IF(A4&lt;'Données projet'!$A$88,$BA$205^A4,IF(A4='Données projet'!$A$88,'Données projet'!$B$88,BD3+BC4-BL3)))</f>
        <v>1.3141519994188957</v>
      </c>
      <c r="BE4" s="14">
        <f>BD4*VLOOKUP('Données projet'!$B$11,Paramètres!$A$1:$I$89,3,0)*VLOOKUP('Données projet'!$B$11,Paramètres!$A$1:$I$89,5,0)</f>
        <v>0.6683251408244737</v>
      </c>
      <c r="BF4" s="14">
        <f>EXP(-1.0587+0.8836*LN(BE4)+0.284)</f>
        <v>0.3227834682426432</v>
      </c>
      <c r="BG4" s="22">
        <f t="shared" ref="BG4:BG67" si="7">(BE4+BF4)*0.475*44/12</f>
        <v>1.7261808274585617</v>
      </c>
      <c r="BH4" s="62">
        <f t="shared" ref="BH4:BH67" si="8">BG4+(AY4+AZ4)*44/12</f>
        <v>295.05951416079188</v>
      </c>
      <c r="BI4" s="62">
        <f ca="1">AVERAGE(OFFSET($BH$3,0,0,'Données projet'!$E$11+1,1))-AVERAGE(OFFSET($H$3,0,0,'Données projet'!$E$11+1,1))</f>
        <v>40.594438615105105</v>
      </c>
      <c r="BJ4" s="62">
        <f>$BJ$3</f>
        <v>238.55583229663102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11.8</v>
      </c>
      <c r="BY4" s="13">
        <f>IF('Données projet'!$A$114&gt;35,BY3+BX4-CG3,IF(A4&lt;'Données projet'!$A$114,$BV$205^A4,IF(A4='Données projet'!$A$114,'Données projet'!$B$114,BY3+BX4-CG3)))</f>
        <v>1.3141519994188957</v>
      </c>
      <c r="BZ4" s="14">
        <f>BY4*VLOOKUP('Données projet'!$B$12,Paramètres!$A$1:$I$89,3,0)*VLOOKUP('Données projet'!$B$12,Paramètres!$A$1:$I$89,5,0)</f>
        <v>0.67447537218175413</v>
      </c>
      <c r="CA4" s="14">
        <f>EXP(-1.0587+0.8836*LN(BZ4)+0.284)</f>
        <v>0.32540671277106098</v>
      </c>
      <c r="CB4" s="22">
        <f t="shared" ref="CB4:CB67" si="10">(BZ4+CA4)*0.475*44/12</f>
        <v>1.7414612979594863</v>
      </c>
      <c r="CC4" s="62">
        <f t="shared" ref="CC4:CC67" si="11">CB4+(BT4+BU4)*44/12</f>
        <v>295.07479463129278</v>
      </c>
      <c r="CD4" s="62">
        <f ca="1">AVERAGE(OFFSET($CC$3,0,0,'Données projet'!$E$12+1,1))-AVERAGE(OFFSET($H$3,0,0,'Données projet'!$E$12+1,1))</f>
        <v>41.074766157499596</v>
      </c>
      <c r="CE4" s="62">
        <f>$CE$3</f>
        <v>240.92787656206917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6.166666666666667</v>
      </c>
      <c r="N5" s="14">
        <f>IF('Données projet'!$A$36&gt;35,N4+M5-V4,IF(A5&lt;'Données projet'!$A$36,$K$205^A5,IF(A5='Données projet'!$A$36,'Données projet'!$B$36,N4+M5-V4)))</f>
        <v>1.6875556710616693</v>
      </c>
      <c r="O5" s="14">
        <f>N5*VLOOKUP('Données projet'!$B$9,Paramètres!$A$1:$I$89,3,0)*VLOOKUP('Données projet'!$B$9,Paramètres!$A$1:$I$89,5,0)</f>
        <v>1.0091582912948782</v>
      </c>
      <c r="P5" s="14">
        <f t="shared" ref="P5:P68" si="33">EXP(-1.0587+0.8836*LN(O5)+0.284)</f>
        <v>0.46456928810721226</v>
      </c>
      <c r="Q5" s="22">
        <f t="shared" si="2"/>
        <v>2.5667422007919742</v>
      </c>
      <c r="R5" s="62">
        <f t="shared" si="0"/>
        <v>295.90007553412528</v>
      </c>
      <c r="S5" s="62">
        <f ca="1">AVERAGE(OFFSET($R$3,0,0,'Données projet'!$E$9+1,1))-AVERAGE(OFFSET($H$3,0,0,'Données projet'!$E$9+1,1))</f>
        <v>150.79185880109804</v>
      </c>
      <c r="T5" s="62">
        <f t="shared" ref="T5:T68" si="34">$T$3</f>
        <v>231.70571415193996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</v>
      </c>
      <c r="AI5" s="14">
        <f>IF('Données projet'!$A$62&gt;35,AI4+AH5-AQ4,IF(A5&lt;'Données projet'!$A$62,$AF$205^A5,IF(A5='Données projet'!$A$62,'Données projet'!$B$62,AI4+AH5-AQ4)))</f>
        <v>1.4047784722585119</v>
      </c>
      <c r="AJ5" s="14">
        <f>AI5*VLOOKUP('Données projet'!$B$10,Paramètres!$A$1:$I$89,3,0)*VLOOKUP('Données projet'!$B$10,Paramètres!$A$1:$I$89,5,0)</f>
        <v>1.4244453708701312</v>
      </c>
      <c r="AK5" s="14">
        <f t="shared" ref="AK5:AK68" si="35">EXP(-1.0587+0.8836*LN(AJ5)+0.284)</f>
        <v>0.62996075113518346</v>
      </c>
      <c r="AL5" s="22">
        <f t="shared" si="4"/>
        <v>3.5780906624925897</v>
      </c>
      <c r="AM5" s="62">
        <f t="shared" si="5"/>
        <v>296.91142399582588</v>
      </c>
      <c r="AN5" s="62">
        <f ca="1">AVERAGE(OFFSET($AM$3,0,0,'Données projet'!$E$10+1,1))-AVERAGE(OFFSET($H$3,0,0,'Données projet'!$E$10+1,1))</f>
        <v>305.55480846093275</v>
      </c>
      <c r="AO5" s="62">
        <f t="shared" ref="AO5:AO68" si="36">$AO$3</f>
        <v>179.56041631665812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11.8</v>
      </c>
      <c r="BD5" s="13">
        <f>IF('Données projet'!$A$88&gt;35,BD4+BC5-BL4,IF(A5&lt;'Données projet'!$A$88,$BA$205^A5,IF(A5='Données projet'!$A$88,'Données projet'!$B$88,BD4+BC5-BL4)))</f>
        <v>1.7269954775766814</v>
      </c>
      <c r="BE5" s="14">
        <f>BD5*VLOOKUP('Données projet'!$B$11,Paramètres!$A$1:$I$89,3,0)*VLOOKUP('Données projet'!$B$11,Paramètres!$A$1:$I$89,5,0)</f>
        <v>0.87828082007639718</v>
      </c>
      <c r="BF5" s="14">
        <f t="shared" ref="BF5:BF68" si="37">EXP(-1.0587+0.8836*LN(BE5)+0.284)</f>
        <v>0.41090983489351096</v>
      </c>
      <c r="BG5" s="22">
        <f t="shared" si="7"/>
        <v>2.2453403907392566</v>
      </c>
      <c r="BH5" s="62">
        <f t="shared" si="8"/>
        <v>295.57867372407259</v>
      </c>
      <c r="BI5" s="62">
        <f ca="1">AVERAGE(OFFSET($BH$3,0,0,'Données projet'!$E$11+1,1))-AVERAGE(OFFSET($H$3,0,0,'Données projet'!$E$11+1,1))</f>
        <v>40.594438615105105</v>
      </c>
      <c r="BJ5" s="62">
        <f t="shared" ref="BJ5:BJ68" si="38">$BJ$3</f>
        <v>238.55583229663102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11.8</v>
      </c>
      <c r="BY5" s="13">
        <f>IF('Données projet'!$A$114&gt;35,BY4+BX5-CG4,IF(A5&lt;'Données projet'!$A$114,$BV$205^A5,IF(A5='Données projet'!$A$114,'Données projet'!$B$114,BY4+BX5-CG4)))</f>
        <v>1.7269954775766814</v>
      </c>
      <c r="BZ5" s="14">
        <f>BY5*VLOOKUP('Données projet'!$B$12,Paramètres!$A$1:$I$89,3,0)*VLOOKUP('Données projet'!$B$12,Paramètres!$A$1:$I$89,5,0)</f>
        <v>0.88636315891145601</v>
      </c>
      <c r="CA5" s="14">
        <f t="shared" ref="CA5:CA68" si="39">EXP(-1.0587+0.8836*LN(BZ5)+0.284)</f>
        <v>0.41424927783935328</v>
      </c>
      <c r="CB5" s="22">
        <f t="shared" si="10"/>
        <v>2.2652333273409933</v>
      </c>
      <c r="CC5" s="62">
        <f t="shared" si="11"/>
        <v>295.59856666067429</v>
      </c>
      <c r="CD5" s="62">
        <f ca="1">AVERAGE(OFFSET($CC$3,0,0,'Données projet'!$E$12+1,1))-AVERAGE(OFFSET($H$3,0,0,'Données projet'!$E$12+1,1))</f>
        <v>41.074766157499596</v>
      </c>
      <c r="CE5" s="62">
        <f t="shared" ref="CE5:CE68" si="40">$CE$3</f>
        <v>240.92787656206917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6.166666666666667</v>
      </c>
      <c r="N6" s="14">
        <f>IF('Données projet'!$A$36&gt;35,N5+M6-V5,IF(A6&lt;'Données projet'!$A$36,$K$205^A6,IF(A6='Données projet'!$A$36,'Données projet'!$B$36,N5+M6-V5)))</f>
        <v>2.1922352824697744</v>
      </c>
      <c r="O6" s="14">
        <f>N6*VLOOKUP('Données projet'!$B$9,Paramètres!$A$1:$I$89,3,0)*VLOOKUP('Données projet'!$B$9,Paramètres!$A$1:$I$89,5,0)</f>
        <v>1.3109566989169252</v>
      </c>
      <c r="P6" s="14">
        <f t="shared" si="33"/>
        <v>0.58540055303921845</v>
      </c>
      <c r="Q6" s="22">
        <f t="shared" si="2"/>
        <v>3.3028222138236161</v>
      </c>
      <c r="R6" s="62">
        <f t="shared" si="0"/>
        <v>296.63615554715693</v>
      </c>
      <c r="S6" s="62">
        <f ca="1">AVERAGE(OFFSET($R$3,0,0,'Données projet'!$E$9+1,1))-AVERAGE(OFFSET($H$3,0,0,'Données projet'!$E$9+1,1))</f>
        <v>150.79185880109804</v>
      </c>
      <c r="T6" s="62">
        <f t="shared" si="34"/>
        <v>231.70571415193996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</v>
      </c>
      <c r="AI6" s="14">
        <f>IF('Données projet'!$A$62&gt;35,AI5+AH6-AQ5,IF(A6&lt;'Données projet'!$A$62,$AF$205^A6,IF(A6='Données projet'!$A$62,'Données projet'!$B$62,AI5+AH6-AQ5)))</f>
        <v>1.6649905188734988</v>
      </c>
      <c r="AJ6" s="14">
        <f>AI6*VLOOKUP('Données projet'!$B$10,Paramètres!$A$1:$I$89,3,0)*VLOOKUP('Données projet'!$B$10,Paramètres!$A$1:$I$89,5,0)</f>
        <v>1.6883003861377279</v>
      </c>
      <c r="AK6" s="14">
        <f t="shared" si="35"/>
        <v>0.7320262203678447</v>
      </c>
      <c r="AL6" s="22">
        <f t="shared" si="4"/>
        <v>4.215402172997206</v>
      </c>
      <c r="AM6" s="62">
        <f t="shared" si="5"/>
        <v>297.5487355063305</v>
      </c>
      <c r="AN6" s="62">
        <f ca="1">AVERAGE(OFFSET($AM$3,0,0,'Données projet'!$E$10+1,1))-AVERAGE(OFFSET($H$3,0,0,'Données projet'!$E$10+1,1))</f>
        <v>305.55480846093275</v>
      </c>
      <c r="AO6" s="62">
        <f t="shared" si="36"/>
        <v>179.56041631665812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11.8</v>
      </c>
      <c r="BD6" s="13">
        <f>IF('Données projet'!$A$88&gt;35,BD5+BC6-BL5,IF(A6&lt;'Données projet'!$A$88,$BA$205^A6,IF(A6='Données projet'!$A$88,'Données projet'!$B$88,BD5+BC6-BL5)))</f>
        <v>2.2695345598447867</v>
      </c>
      <c r="BE6" s="14">
        <f>BD6*VLOOKUP('Données projet'!$B$11,Paramètres!$A$1:$I$89,3,0)*VLOOKUP('Données projet'!$B$11,Paramètres!$A$1:$I$89,5,0)</f>
        <v>1.1541944957546648</v>
      </c>
      <c r="BF6" s="14">
        <f t="shared" si="37"/>
        <v>0.52309646876117766</v>
      </c>
      <c r="BG6" s="22">
        <f t="shared" si="7"/>
        <v>2.9212817631984254</v>
      </c>
      <c r="BH6" s="62">
        <f t="shared" si="8"/>
        <v>296.25461509653172</v>
      </c>
      <c r="BI6" s="62">
        <f ca="1">AVERAGE(OFFSET($BH$3,0,0,'Données projet'!$E$11+1,1))-AVERAGE(OFFSET($H$3,0,0,'Données projet'!$E$11+1,1))</f>
        <v>40.594438615105105</v>
      </c>
      <c r="BJ6" s="62">
        <f t="shared" si="38"/>
        <v>238.55583229663102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11.8</v>
      </c>
      <c r="BY6" s="13">
        <f>IF('Données projet'!$A$114&gt;35,BY5+BX6-CG5,IF(A6&lt;'Données projet'!$A$114,$BV$205^A6,IF(A6='Données projet'!$A$114,'Données projet'!$B$114,BY5+BX6-CG5)))</f>
        <v>2.2695345598447867</v>
      </c>
      <c r="BZ6" s="14">
        <f>BY6*VLOOKUP('Données projet'!$B$12,Paramètres!$A$1:$I$89,3,0)*VLOOKUP('Données projet'!$B$12,Paramètres!$A$1:$I$89,5,0)</f>
        <v>1.1648159174947383</v>
      </c>
      <c r="CA6" s="14">
        <f t="shared" si="39"/>
        <v>0.52734764666995726</v>
      </c>
      <c r="CB6" s="22">
        <f t="shared" si="10"/>
        <v>2.9471848742535118</v>
      </c>
      <c r="CC6" s="62">
        <f t="shared" si="11"/>
        <v>296.28051820758685</v>
      </c>
      <c r="CD6" s="62">
        <f ca="1">AVERAGE(OFFSET($CC$3,0,0,'Données projet'!$E$12+1,1))-AVERAGE(OFFSET($H$3,0,0,'Données projet'!$E$12+1,1))</f>
        <v>41.074766157499596</v>
      </c>
      <c r="CE6" s="62">
        <f t="shared" si="40"/>
        <v>240.92787656206917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6.166666666666667</v>
      </c>
      <c r="N7" s="14">
        <f>IF('Données projet'!$A$36&gt;35,N6+M7-V6,IF(A7&lt;'Données projet'!$A$36,$K$205^A7,IF(A7='Données projet'!$A$36,'Données projet'!$B$36,N6+M7-V6)))</f>
        <v>2.8478441429324008</v>
      </c>
      <c r="O7" s="14">
        <f>N7*VLOOKUP('Données projet'!$B$9,Paramètres!$A$1:$I$89,3,0)*VLOOKUP('Données projet'!$B$9,Paramètres!$A$1:$I$89,5,0)</f>
        <v>1.703010797473576</v>
      </c>
      <c r="P7" s="14">
        <f t="shared" si="33"/>
        <v>0.73765919588626938</v>
      </c>
      <c r="Q7" s="22">
        <f t="shared" si="2"/>
        <v>4.2508335717683972</v>
      </c>
      <c r="R7" s="62">
        <f t="shared" si="0"/>
        <v>297.58416690510171</v>
      </c>
      <c r="S7" s="62">
        <f ca="1">AVERAGE(OFFSET($R$3,0,0,'Données projet'!$E$9+1,1))-AVERAGE(OFFSET($H$3,0,0,'Données projet'!$E$9+1,1))</f>
        <v>150.79185880109804</v>
      </c>
      <c r="T7" s="62">
        <f t="shared" si="34"/>
        <v>231.70571415193996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</v>
      </c>
      <c r="AI7" s="14">
        <f>IF('Données projet'!$A$62&gt;35,AI6+AH7-AQ6,IF(A7&lt;'Données projet'!$A$62,$AF$205^A7,IF(A7='Données projet'!$A$62,'Données projet'!$B$62,AI6+AH7-AQ6)))</f>
        <v>1.9734025561209587</v>
      </c>
      <c r="AJ7" s="14">
        <f>AI7*VLOOKUP('Données projet'!$B$10,Paramètres!$A$1:$I$89,3,0)*VLOOKUP('Données projet'!$B$10,Paramètres!$A$1:$I$89,5,0)</f>
        <v>2.001030191906652</v>
      </c>
      <c r="AK7" s="14">
        <f t="shared" si="35"/>
        <v>0.85062821190115911</v>
      </c>
      <c r="AL7" s="22">
        <f t="shared" si="4"/>
        <v>4.9666383866319377</v>
      </c>
      <c r="AM7" s="62">
        <f t="shared" si="5"/>
        <v>298.29997171996524</v>
      </c>
      <c r="AN7" s="62">
        <f ca="1">AVERAGE(OFFSET($AM$3,0,0,'Données projet'!$E$10+1,1))-AVERAGE(OFFSET($H$3,0,0,'Données projet'!$E$10+1,1))</f>
        <v>305.55480846093275</v>
      </c>
      <c r="AO7" s="62">
        <f t="shared" si="36"/>
        <v>179.56041631665812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11.8</v>
      </c>
      <c r="BD7" s="13">
        <f>IF('Données projet'!$A$88&gt;35,BD6+BC7-BL6,IF(A7&lt;'Données projet'!$A$88,$BA$205^A7,IF(A7='Données projet'!$A$88,'Données projet'!$B$88,BD6+BC7-BL6)))</f>
        <v>2.9825133795703098</v>
      </c>
      <c r="BE7" s="14">
        <f>BD7*VLOOKUP('Données projet'!$B$11,Paramètres!$A$1:$I$89,3,0)*VLOOKUP('Données projet'!$B$11,Paramètres!$A$1:$I$89,5,0)</f>
        <v>1.5167870043142768</v>
      </c>
      <c r="BF7" s="14">
        <f t="shared" si="37"/>
        <v>0.66591230580140781</v>
      </c>
      <c r="BG7" s="22">
        <f t="shared" si="7"/>
        <v>3.8015346317848171</v>
      </c>
      <c r="BH7" s="62">
        <f t="shared" si="8"/>
        <v>297.13486796511813</v>
      </c>
      <c r="BI7" s="62">
        <f ca="1">AVERAGE(OFFSET($BH$3,0,0,'Données projet'!$E$11+1,1))-AVERAGE(OFFSET($H$3,0,0,'Données projet'!$E$11+1,1))</f>
        <v>40.594438615105105</v>
      </c>
      <c r="BJ7" s="62">
        <f t="shared" si="38"/>
        <v>238.55583229663102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11.8</v>
      </c>
      <c r="BY7" s="13">
        <f>IF('Données projet'!$A$114&gt;35,BY6+BX7-CG6,IF(A7&lt;'Données projet'!$A$114,$BV$205^A7,IF(A7='Données projet'!$A$114,'Données projet'!$B$114,BY6+BX7-CG6)))</f>
        <v>2.9825133795703098</v>
      </c>
      <c r="BZ7" s="14">
        <f>BY7*VLOOKUP('Données projet'!$B$12,Paramètres!$A$1:$I$89,3,0)*VLOOKUP('Données projet'!$B$12,Paramètres!$A$1:$I$89,5,0)</f>
        <v>1.530745166930666</v>
      </c>
      <c r="CA7" s="14">
        <f t="shared" si="39"/>
        <v>0.6713241406209236</v>
      </c>
      <c r="CB7" s="22">
        <f t="shared" si="10"/>
        <v>3.8352707106523511</v>
      </c>
      <c r="CC7" s="62">
        <f t="shared" si="11"/>
        <v>297.16860404398568</v>
      </c>
      <c r="CD7" s="62">
        <f ca="1">AVERAGE(OFFSET($CC$3,0,0,'Données projet'!$E$12+1,1))-AVERAGE(OFFSET($H$3,0,0,'Données projet'!$E$12+1,1))</f>
        <v>41.074766157499596</v>
      </c>
      <c r="CE7" s="62">
        <f t="shared" si="40"/>
        <v>240.92787656206917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6.166666666666667</v>
      </c>
      <c r="N8" s="14">
        <f>IF('Données projet'!$A$36&gt;35,N7+M8-V7,IF(A8&lt;'Données projet'!$A$36,$K$205^A8,IF(A8='Données projet'!$A$36,'Données projet'!$B$36,N7+M8-V7)))</f>
        <v>3.6995190832333482</v>
      </c>
      <c r="O8" s="14">
        <f>N8*VLOOKUP('Données projet'!$B$9,Paramètres!$A$1:$I$89,3,0)*VLOOKUP('Données projet'!$B$9,Paramètres!$A$1:$I$89,5,0)</f>
        <v>2.2123124117735422</v>
      </c>
      <c r="P8" s="14">
        <f t="shared" si="33"/>
        <v>0.92951926070203594</v>
      </c>
      <c r="Q8" s="22">
        <f t="shared" si="2"/>
        <v>5.4720234962282985</v>
      </c>
      <c r="R8" s="62">
        <f t="shared" si="0"/>
        <v>298.80535682956162</v>
      </c>
      <c r="S8" s="62">
        <f ca="1">AVERAGE(OFFSET($R$3,0,0,'Données projet'!$E$9+1,1))-AVERAGE(OFFSET($H$3,0,0,'Données projet'!$E$9+1,1))</f>
        <v>150.79185880109804</v>
      </c>
      <c r="T8" s="62">
        <f t="shared" si="34"/>
        <v>231.70571415193996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</v>
      </c>
      <c r="AI8" s="14">
        <f>IF('Données projet'!$A$62&gt;35,AI7+AH8-AQ7,IF(A8&lt;'Données projet'!$A$62,$AF$205^A8,IF(A8='Données projet'!$A$62,'Données projet'!$B$62,AI7+AH8-AQ7)))</f>
        <v>2.3389428374280206</v>
      </c>
      <c r="AJ8" s="14">
        <f>AI8*VLOOKUP('Données projet'!$B$10,Paramètres!$A$1:$I$89,3,0)*VLOOKUP('Données projet'!$B$10,Paramètres!$A$1:$I$89,5,0)</f>
        <v>2.3716880371520133</v>
      </c>
      <c r="AK8" s="14">
        <f t="shared" si="35"/>
        <v>0.98844595282197545</v>
      </c>
      <c r="AL8" s="22">
        <f t="shared" si="4"/>
        <v>5.8522333658713634</v>
      </c>
      <c r="AM8" s="62">
        <f t="shared" si="5"/>
        <v>299.18556669920468</v>
      </c>
      <c r="AN8" s="62">
        <f ca="1">AVERAGE(OFFSET($AM$3,0,0,'Données projet'!$E$10+1,1))-AVERAGE(OFFSET($H$3,0,0,'Données projet'!$E$10+1,1))</f>
        <v>305.55480846093275</v>
      </c>
      <c r="AO8" s="62">
        <f t="shared" si="36"/>
        <v>179.56041631665812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11.8</v>
      </c>
      <c r="BD8" s="13">
        <f>IF('Données projet'!$A$88&gt;35,BD7+BC8-BL7,IF(A8&lt;'Données projet'!$A$88,$BA$205^A8,IF(A8='Données projet'!$A$88,'Données projet'!$B$88,BD7+BC8-BL7)))</f>
        <v>3.9194759210559305</v>
      </c>
      <c r="BE8" s="14">
        <f>BD8*VLOOKUP('Données projet'!$B$11,Paramètres!$A$1:$I$89,3,0)*VLOOKUP('Données projet'!$B$11,Paramètres!$A$1:$I$89,5,0)</f>
        <v>1.993288674412204</v>
      </c>
      <c r="BF8" s="14">
        <f t="shared" si="37"/>
        <v>0.84771973335610906</v>
      </c>
      <c r="BG8" s="22">
        <f t="shared" si="7"/>
        <v>4.9480896435298112</v>
      </c>
      <c r="BH8" s="62">
        <f t="shared" si="8"/>
        <v>298.2814229768631</v>
      </c>
      <c r="BI8" s="62">
        <f ca="1">AVERAGE(OFFSET($BH$3,0,0,'Données projet'!$E$11+1,1))-AVERAGE(OFFSET($H$3,0,0,'Données projet'!$E$11+1,1))</f>
        <v>40.594438615105105</v>
      </c>
      <c r="BJ8" s="62">
        <f t="shared" si="38"/>
        <v>238.55583229663102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11.8</v>
      </c>
      <c r="BY8" s="13">
        <f>IF('Données projet'!$A$114&gt;35,BY7+BX8-CG7,IF(A8&lt;'Données projet'!$A$114,$BV$205^A8,IF(A8='Données projet'!$A$114,'Données projet'!$B$114,BY7+BX8-CG7)))</f>
        <v>3.9194759210559305</v>
      </c>
      <c r="BZ8" s="14">
        <f>BY8*VLOOKUP('Données projet'!$B$12,Paramètres!$A$1:$I$89,3,0)*VLOOKUP('Données projet'!$B$12,Paramètres!$A$1:$I$89,5,0)</f>
        <v>2.0116318217227458</v>
      </c>
      <c r="CA8" s="14">
        <f t="shared" si="39"/>
        <v>0.85460910772297261</v>
      </c>
      <c r="CB8" s="22">
        <f t="shared" si="10"/>
        <v>4.9920362854512925</v>
      </c>
      <c r="CC8" s="62">
        <f t="shared" si="11"/>
        <v>298.32536961878463</v>
      </c>
      <c r="CD8" s="62">
        <f ca="1">AVERAGE(OFFSET($CC$3,0,0,'Données projet'!$E$12+1,1))-AVERAGE(OFFSET($H$3,0,0,'Données projet'!$E$12+1,1))</f>
        <v>41.074766157499596</v>
      </c>
      <c r="CE8" s="62">
        <f t="shared" si="40"/>
        <v>240.92787656206917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6.166666666666667</v>
      </c>
      <c r="N9" s="14">
        <f>IF('Données projet'!$A$36&gt;35,N8+M9-V8,IF(A9&lt;'Données projet'!$A$36,$K$205^A9,IF(A9='Données projet'!$A$36,'Données projet'!$B$36,N8+M9-V8)))</f>
        <v>4.805895533705332</v>
      </c>
      <c r="O9" s="14">
        <f>N9*VLOOKUP('Données projet'!$B$9,Paramètres!$A$1:$I$89,3,0)*VLOOKUP('Données projet'!$B$9,Paramètres!$A$1:$I$89,5,0)</f>
        <v>2.8739255291557888</v>
      </c>
      <c r="P9" s="14">
        <f t="shared" si="33"/>
        <v>1.1712808039734253</v>
      </c>
      <c r="Q9" s="22">
        <f t="shared" si="2"/>
        <v>7.0454010302000478</v>
      </c>
      <c r="R9" s="62">
        <f t="shared" si="0"/>
        <v>300.37873436353334</v>
      </c>
      <c r="S9" s="62">
        <f ca="1">AVERAGE(OFFSET($R$3,0,0,'Données projet'!$E$9+1,1))-AVERAGE(OFFSET($H$3,0,0,'Données projet'!$E$9+1,1))</f>
        <v>150.79185880109804</v>
      </c>
      <c r="T9" s="62">
        <f t="shared" si="34"/>
        <v>231.70571415193996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</v>
      </c>
      <c r="AI9" s="14">
        <f>IF('Données projet'!$A$62&gt;35,AI8+AH9-AQ8,IF(A9&lt;'Données projet'!$A$62,$AF$205^A9,IF(A9='Données projet'!$A$62,'Données projet'!$B$62,AI8+AH9-AQ8)))</f>
        <v>2.7721934279386429</v>
      </c>
      <c r="AJ9" s="14">
        <f>AI9*VLOOKUP('Données projet'!$B$10,Paramètres!$A$1:$I$89,3,0)*VLOOKUP('Données projet'!$B$10,Paramètres!$A$1:$I$89,5,0)</f>
        <v>2.8110041359297839</v>
      </c>
      <c r="AK9" s="14">
        <f t="shared" si="35"/>
        <v>1.1485927553078508</v>
      </c>
      <c r="AL9" s="22">
        <f t="shared" si="4"/>
        <v>6.8962979189055469</v>
      </c>
      <c r="AM9" s="62">
        <f t="shared" si="5"/>
        <v>300.22963125223885</v>
      </c>
      <c r="AN9" s="62">
        <f ca="1">AVERAGE(OFFSET($AM$3,0,0,'Données projet'!$E$10+1,1))-AVERAGE(OFFSET($H$3,0,0,'Données projet'!$E$10+1,1))</f>
        <v>305.55480846093275</v>
      </c>
      <c r="AO9" s="62">
        <f t="shared" si="36"/>
        <v>179.56041631665812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11.8</v>
      </c>
      <c r="BD9" s="13">
        <f>IF('Données projet'!$A$88&gt;35,BD8+BC9-BL8,IF(A9&lt;'Données projet'!$A$88,$BA$205^A9,IF(A9='Données projet'!$A$88,'Données projet'!$B$88,BD8+BC9-BL8)))</f>
        <v>5.1507871183298688</v>
      </c>
      <c r="BE9" s="14">
        <f>BD9*VLOOKUP('Données projet'!$B$11,Paramètres!$A$1:$I$89,3,0)*VLOOKUP('Données projet'!$B$11,Paramètres!$A$1:$I$89,5,0)</f>
        <v>2.6194842968978382</v>
      </c>
      <c r="BF9" s="14">
        <f t="shared" si="37"/>
        <v>1.0791642383849658</v>
      </c>
      <c r="BG9" s="22">
        <f t="shared" si="7"/>
        <v>6.4418128656175506</v>
      </c>
      <c r="BH9" s="62">
        <f t="shared" si="8"/>
        <v>299.77514619895089</v>
      </c>
      <c r="BI9" s="62">
        <f ca="1">AVERAGE(OFFSET($BH$3,0,0,'Données projet'!$E$11+1,1))-AVERAGE(OFFSET($H$3,0,0,'Données projet'!$E$11+1,1))</f>
        <v>40.594438615105105</v>
      </c>
      <c r="BJ9" s="62">
        <f t="shared" si="38"/>
        <v>238.55583229663102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11.8</v>
      </c>
      <c r="BY9" s="13">
        <f>IF('Données projet'!$A$114&gt;35,BY8+BX9-CG8,IF(A9&lt;'Données projet'!$A$114,$BV$205^A9,IF(A9='Données projet'!$A$114,'Données projet'!$B$114,BY8+BX9-CG8)))</f>
        <v>5.1507871183298688</v>
      </c>
      <c r="BZ9" s="14">
        <f>BY9*VLOOKUP('Données projet'!$B$12,Paramètres!$A$1:$I$89,3,0)*VLOOKUP('Données projet'!$B$12,Paramètres!$A$1:$I$89,5,0)</f>
        <v>2.6435899806116221</v>
      </c>
      <c r="CA9" s="14">
        <f t="shared" si="39"/>
        <v>1.0879345502569462</v>
      </c>
      <c r="CB9" s="22">
        <f t="shared" si="10"/>
        <v>6.4990718912627559</v>
      </c>
      <c r="CC9" s="62">
        <f t="shared" si="11"/>
        <v>299.83240522459607</v>
      </c>
      <c r="CD9" s="62">
        <f ca="1">AVERAGE(OFFSET($CC$3,0,0,'Données projet'!$E$12+1,1))-AVERAGE(OFFSET($H$3,0,0,'Données projet'!$E$12+1,1))</f>
        <v>41.074766157499596</v>
      </c>
      <c r="CE9" s="62">
        <f t="shared" si="40"/>
        <v>240.92787656206917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6.166666666666667</v>
      </c>
      <c r="N10" s="14">
        <f>IF('Données projet'!$A$36&gt;35,N9+M10-V9,IF(A10&lt;'Données projet'!$A$36,$K$205^A10,IF(A10='Données projet'!$A$36,'Données projet'!$B$36,N9+M10-V9)))</f>
        <v>6.243144409111304</v>
      </c>
      <c r="O10" s="14">
        <f>N10*VLOOKUP('Données projet'!$B$9,Paramètres!$A$1:$I$89,3,0)*VLOOKUP('Données projet'!$B$9,Paramètres!$A$1:$I$89,5,0)</f>
        <v>3.7334003566485601</v>
      </c>
      <c r="P10" s="14">
        <f t="shared" si="33"/>
        <v>1.4759228557786761</v>
      </c>
      <c r="Q10" s="22">
        <f t="shared" si="2"/>
        <v>9.0729045949774356</v>
      </c>
      <c r="R10" s="62">
        <f t="shared" si="0"/>
        <v>302.40623792831076</v>
      </c>
      <c r="S10" s="62">
        <f ca="1">AVERAGE(OFFSET($R$3,0,0,'Données projet'!$E$9+1,1))-AVERAGE(OFFSET($H$3,0,0,'Données projet'!$E$9+1,1))</f>
        <v>150.79185880109804</v>
      </c>
      <c r="T10" s="62">
        <f t="shared" si="34"/>
        <v>231.70571415193996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</v>
      </c>
      <c r="AI10" s="14">
        <f>IF('Données projet'!$A$62&gt;35,AI9+AH10-AQ9,IF(A10&lt;'Données projet'!$A$62,$AF$205^A10,IF(A10='Données projet'!$A$62,'Données projet'!$B$62,AI9+AH10-AQ9)))</f>
        <v>3.2856965458621241</v>
      </c>
      <c r="AJ10" s="14">
        <f>AI10*VLOOKUP('Données projet'!$B$10,Paramètres!$A$1:$I$89,3,0)*VLOOKUP('Données projet'!$B$10,Paramètres!$A$1:$I$89,5,0)</f>
        <v>3.3316962975041937</v>
      </c>
      <c r="AK10" s="14">
        <f t="shared" si="35"/>
        <v>1.3346863465617191</v>
      </c>
      <c r="AL10" s="22">
        <f t="shared" si="4"/>
        <v>8.1272831050814656</v>
      </c>
      <c r="AM10" s="62">
        <f t="shared" si="5"/>
        <v>301.46061643841477</v>
      </c>
      <c r="AN10" s="62">
        <f ca="1">AVERAGE(OFFSET($AM$3,0,0,'Données projet'!$E$10+1,1))-AVERAGE(OFFSET($H$3,0,0,'Données projet'!$E$10+1,1))</f>
        <v>305.55480846093275</v>
      </c>
      <c r="AO10" s="62">
        <f t="shared" si="36"/>
        <v>179.56041631665812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11.8</v>
      </c>
      <c r="BD10" s="13">
        <f>IF('Données projet'!$A$88&gt;35,BD9+BC10-BL9,IF(A10&lt;'Données projet'!$A$88,$BA$205^A10,IF(A10='Données projet'!$A$88,'Données projet'!$B$88,BD9+BC10-BL9)))</f>
        <v>6.7689171901342906</v>
      </c>
      <c r="BE10" s="14">
        <f>BD10*VLOOKUP('Données projet'!$B$11,Paramètres!$A$1:$I$89,3,0)*VLOOKUP('Données projet'!$B$11,Paramètres!$A$1:$I$89,5,0)</f>
        <v>3.4424005262146955</v>
      </c>
      <c r="BF10" s="14">
        <f t="shared" si="37"/>
        <v>1.3737977394939109</v>
      </c>
      <c r="BG10" s="22">
        <f t="shared" si="7"/>
        <v>8.3882119794424881</v>
      </c>
      <c r="BH10" s="62">
        <f t="shared" si="8"/>
        <v>301.72154531277579</v>
      </c>
      <c r="BI10" s="62">
        <f ca="1">AVERAGE(OFFSET($BH$3,0,0,'Données projet'!$E$11+1,1))-AVERAGE(OFFSET($H$3,0,0,'Données projet'!$E$11+1,1))</f>
        <v>40.594438615105105</v>
      </c>
      <c r="BJ10" s="62">
        <f t="shared" si="38"/>
        <v>238.55583229663102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11.8</v>
      </c>
      <c r="BY10" s="13">
        <f>IF('Données projet'!$A$114&gt;35,BY9+BX10-CG9,IF(A10&lt;'Données projet'!$A$114,$BV$205^A10,IF(A10='Données projet'!$A$114,'Données projet'!$B$114,BY9+BX10-CG9)))</f>
        <v>6.7689171901342906</v>
      </c>
      <c r="BZ10" s="14">
        <f>BY10*VLOOKUP('Données projet'!$B$12,Paramètres!$A$1:$I$89,3,0)*VLOOKUP('Données projet'!$B$12,Paramètres!$A$1:$I$89,5,0)</f>
        <v>3.4740790586645232</v>
      </c>
      <c r="CA10" s="14">
        <f t="shared" si="39"/>
        <v>1.3849625225693902</v>
      </c>
      <c r="CB10" s="22">
        <f t="shared" si="10"/>
        <v>8.4628307539824004</v>
      </c>
      <c r="CC10" s="62">
        <f t="shared" si="11"/>
        <v>301.79616408731573</v>
      </c>
      <c r="CD10" s="62">
        <f ca="1">AVERAGE(OFFSET($CC$3,0,0,'Données projet'!$E$12+1,1))-AVERAGE(OFFSET($H$3,0,0,'Données projet'!$E$12+1,1))</f>
        <v>41.074766157499596</v>
      </c>
      <c r="CE10" s="62">
        <f t="shared" si="40"/>
        <v>240.92787656206917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6.166666666666667</v>
      </c>
      <c r="N11" s="14">
        <f>IF('Données projet'!$A$36&gt;35,N10+M11-V10,IF(A11&lt;'Données projet'!$A$36,$K$205^A11,IF(A11='Données projet'!$A$36,'Données projet'!$B$36,N10+M11-V10)))</f>
        <v>8.1102162624343812</v>
      </c>
      <c r="O11" s="14">
        <f>N11*VLOOKUP('Données projet'!$B$9,Paramètres!$A$1:$I$89,3,0)*VLOOKUP('Données projet'!$B$9,Paramètres!$A$1:$I$89,5,0)</f>
        <v>4.8499093249357603</v>
      </c>
      <c r="P11" s="14">
        <f t="shared" si="33"/>
        <v>1.8598002023256139</v>
      </c>
      <c r="Q11" s="22">
        <f t="shared" si="2"/>
        <v>11.686077426646891</v>
      </c>
      <c r="R11" s="62">
        <f t="shared" si="0"/>
        <v>305.01941075998019</v>
      </c>
      <c r="S11" s="62">
        <f ca="1">AVERAGE(OFFSET($R$3,0,0,'Données projet'!$E$9+1,1))-AVERAGE(OFFSET($H$3,0,0,'Données projet'!$E$9+1,1))</f>
        <v>150.79185880109804</v>
      </c>
      <c r="T11" s="62">
        <f t="shared" si="34"/>
        <v>231.70571415193996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</v>
      </c>
      <c r="AI11" s="14">
        <f>IF('Données projet'!$A$62&gt;35,AI10+AH11-AQ10,IF(A11&lt;'Données projet'!$A$62,$AF$205^A11,IF(A11='Données projet'!$A$62,'Données projet'!$B$62,AI10+AH11-AQ10)))</f>
        <v>3.8943176485047335</v>
      </c>
      <c r="AJ11" s="14">
        <f>AI11*VLOOKUP('Données projet'!$B$10,Paramètres!$A$1:$I$89,3,0)*VLOOKUP('Données projet'!$B$10,Paramètres!$A$1:$I$89,5,0)</f>
        <v>3.9488380955837998</v>
      </c>
      <c r="AK11" s="14">
        <f t="shared" si="35"/>
        <v>1.5509305935164246</v>
      </c>
      <c r="AL11" s="22">
        <f t="shared" si="4"/>
        <v>9.578763800182891</v>
      </c>
      <c r="AM11" s="62">
        <f t="shared" si="5"/>
        <v>302.91209713351623</v>
      </c>
      <c r="AN11" s="62">
        <f ca="1">AVERAGE(OFFSET($AM$3,0,0,'Données projet'!$E$10+1,1))-AVERAGE(OFFSET($H$3,0,0,'Données projet'!$E$10+1,1))</f>
        <v>305.55480846093275</v>
      </c>
      <c r="AO11" s="62">
        <f t="shared" si="36"/>
        <v>179.56041631665812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11.8</v>
      </c>
      <c r="BD11" s="13">
        <f>IF('Données projet'!$A$88&gt;35,BD10+BC11-BL10,IF(A11&lt;'Données projet'!$A$88,$BA$205^A11,IF(A11='Données projet'!$A$88,'Données projet'!$B$88,BD10+BC11-BL10)))</f>
        <v>8.8953860593159106</v>
      </c>
      <c r="BE11" s="14">
        <f>BD11*VLOOKUP('Données projet'!$B$11,Paramètres!$A$1:$I$89,3,0)*VLOOKUP('Données projet'!$B$11,Paramètres!$A$1:$I$89,5,0)</f>
        <v>4.5238375343256996</v>
      </c>
      <c r="BF11" s="14">
        <f t="shared" si="37"/>
        <v>1.7488721011206478</v>
      </c>
      <c r="BG11" s="22">
        <f t="shared" si="7"/>
        <v>10.92496928173572</v>
      </c>
      <c r="BH11" s="62">
        <f t="shared" si="8"/>
        <v>304.25830261506906</v>
      </c>
      <c r="BI11" s="62">
        <f ca="1">AVERAGE(OFFSET($BH$3,0,0,'Données projet'!$E$11+1,1))-AVERAGE(OFFSET($H$3,0,0,'Données projet'!$E$11+1,1))</f>
        <v>40.594438615105105</v>
      </c>
      <c r="BJ11" s="62">
        <f t="shared" si="38"/>
        <v>238.55583229663102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11.8</v>
      </c>
      <c r="BY11" s="13">
        <f>IF('Données projet'!$A$114&gt;35,BY10+BX11-CG10,IF(A11&lt;'Données projet'!$A$114,$BV$205^A11,IF(A11='Données projet'!$A$114,'Données projet'!$B$114,BY10+BX11-CG10)))</f>
        <v>8.8953860593159106</v>
      </c>
      <c r="BZ11" s="14">
        <f>BY11*VLOOKUP('Données projet'!$B$12,Paramètres!$A$1:$I$89,3,0)*VLOOKUP('Données projet'!$B$12,Paramètres!$A$1:$I$89,5,0)</f>
        <v>4.5654679410832983</v>
      </c>
      <c r="CA11" s="14">
        <f t="shared" si="39"/>
        <v>1.7630850941067646</v>
      </c>
      <c r="CB11" s="22">
        <f t="shared" si="10"/>
        <v>11.022229869622691</v>
      </c>
      <c r="CC11" s="62">
        <f t="shared" si="11"/>
        <v>304.35556320295598</v>
      </c>
      <c r="CD11" s="62">
        <f ca="1">AVERAGE(OFFSET($CC$3,0,0,'Données projet'!$E$12+1,1))-AVERAGE(OFFSET($H$3,0,0,'Données projet'!$E$12+1,1))</f>
        <v>41.074766157499596</v>
      </c>
      <c r="CE11" s="62">
        <f t="shared" si="40"/>
        <v>240.92787656206917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6.166666666666667</v>
      </c>
      <c r="N12" s="14">
        <f>IF('Données projet'!$A$36&gt;35,N11+M12-V11,IF(A12&lt;'Données projet'!$A$36,$K$205^A12,IF(A12='Données projet'!$A$36,'Données projet'!$B$36,N11+M12-V11)))</f>
        <v>10.535653752852737</v>
      </c>
      <c r="O12" s="14">
        <f>N12*VLOOKUP('Données projet'!$B$9,Paramètres!$A$1:$I$89,3,0)*VLOOKUP('Données projet'!$B$9,Paramètres!$A$1:$I$89,5,0)</f>
        <v>6.3003209442059376</v>
      </c>
      <c r="P12" s="14">
        <f t="shared" si="33"/>
        <v>2.3435213968182298</v>
      </c>
      <c r="Q12" s="22">
        <f t="shared" si="2"/>
        <v>15.054692077283761</v>
      </c>
      <c r="R12" s="62">
        <f t="shared" si="0"/>
        <v>308.38802541061705</v>
      </c>
      <c r="S12" s="62">
        <f ca="1">AVERAGE(OFFSET($R$3,0,0,'Données projet'!$E$9+1,1))-AVERAGE(OFFSET($H$3,0,0,'Données projet'!$E$9+1,1))</f>
        <v>150.79185880109804</v>
      </c>
      <c r="T12" s="62">
        <f t="shared" si="34"/>
        <v>231.70571415193996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</v>
      </c>
      <c r="AI12" s="14">
        <f>IF('Données projet'!$A$62&gt;35,AI11+AH12-AQ11,IF(A12&lt;'Données projet'!$A$62,$AF$205^A12,IF(A12='Données projet'!$A$62,'Données projet'!$B$62,AI11+AH12-AQ11)))</f>
        <v>4.6156757740012635</v>
      </c>
      <c r="AJ12" s="14">
        <f>AI12*VLOOKUP('Données projet'!$B$10,Paramètres!$A$1:$I$89,3,0)*VLOOKUP('Données projet'!$B$10,Paramètres!$A$1:$I$89,5,0)</f>
        <v>4.6802952348372813</v>
      </c>
      <c r="AK12" s="14">
        <f t="shared" si="35"/>
        <v>1.8022104684757689</v>
      </c>
      <c r="AL12" s="22">
        <f t="shared" si="4"/>
        <v>11.290364099936896</v>
      </c>
      <c r="AM12" s="62">
        <f t="shared" si="5"/>
        <v>304.62369743327019</v>
      </c>
      <c r="AN12" s="62">
        <f ca="1">AVERAGE(OFFSET($AM$3,0,0,'Données projet'!$E$10+1,1))-AVERAGE(OFFSET($H$3,0,0,'Données projet'!$E$10+1,1))</f>
        <v>305.55480846093275</v>
      </c>
      <c r="AO12" s="62">
        <f t="shared" si="36"/>
        <v>179.56041631665812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11.8</v>
      </c>
      <c r="BD12" s="13">
        <f>IF('Données projet'!$A$88&gt;35,BD11+BC12-BL11,IF(A12&lt;'Données projet'!$A$88,$BA$205^A12,IF(A12='Données projet'!$A$88,'Données projet'!$B$88,BD11+BC12-BL11)))</f>
        <v>11.689889375452976</v>
      </c>
      <c r="BE12" s="14">
        <f>BD12*VLOOKUP('Données projet'!$B$11,Paramètres!$A$1:$I$89,3,0)*VLOOKUP('Données projet'!$B$11,Paramètres!$A$1:$I$89,5,0)</f>
        <v>5.9450101407803659</v>
      </c>
      <c r="BF12" s="14">
        <f t="shared" si="37"/>
        <v>2.2263492930224795</v>
      </c>
      <c r="BG12" s="22">
        <f t="shared" si="7"/>
        <v>14.231784347206622</v>
      </c>
      <c r="BH12" s="62">
        <f t="shared" si="8"/>
        <v>307.56511768053991</v>
      </c>
      <c r="BI12" s="62">
        <f ca="1">AVERAGE(OFFSET($BH$3,0,0,'Données projet'!$E$11+1,1))-AVERAGE(OFFSET($H$3,0,0,'Données projet'!$E$11+1,1))</f>
        <v>40.594438615105105</v>
      </c>
      <c r="BJ12" s="62">
        <f t="shared" si="38"/>
        <v>238.55583229663102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11.8</v>
      </c>
      <c r="BY12" s="13">
        <f>IF('Données projet'!$A$114&gt;35,BY11+BX12-CG11,IF(A12&lt;'Données projet'!$A$114,$BV$205^A12,IF(A12='Données projet'!$A$114,'Données projet'!$B$114,BY11+BX12-CG11)))</f>
        <v>11.689889375452976</v>
      </c>
      <c r="BZ12" s="14">
        <f>BY12*VLOOKUP('Données projet'!$B$12,Paramètres!$A$1:$I$89,3,0)*VLOOKUP('Données projet'!$B$12,Paramètres!$A$1:$I$89,5,0)</f>
        <v>5.9997188230574858</v>
      </c>
      <c r="CA12" s="14">
        <f t="shared" si="39"/>
        <v>2.2444427184171096</v>
      </c>
      <c r="CB12" s="22">
        <f t="shared" si="10"/>
        <v>14.358581351401584</v>
      </c>
      <c r="CC12" s="62">
        <f t="shared" si="11"/>
        <v>307.69191468473491</v>
      </c>
      <c r="CD12" s="62">
        <f ca="1">AVERAGE(OFFSET($CC$3,0,0,'Données projet'!$E$12+1,1))-AVERAGE(OFFSET($H$3,0,0,'Données projet'!$E$12+1,1))</f>
        <v>41.074766157499596</v>
      </c>
      <c r="CE12" s="62">
        <f t="shared" si="40"/>
        <v>240.92787656206917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6.166666666666667</v>
      </c>
      <c r="N13" s="14">
        <f>IF('Données projet'!$A$36&gt;35,N12+M13-V12,IF(A13&lt;'Données projet'!$A$36,$K$205^A13,IF(A13='Données projet'!$A$36,'Données projet'!$B$36,N12+M13-V12)))</f>
        <v>13.686441447207715</v>
      </c>
      <c r="O13" s="14">
        <f>N13*VLOOKUP('Données projet'!$B$9,Paramètres!$A$1:$I$89,3,0)*VLOOKUP('Données projet'!$B$9,Paramètres!$A$1:$I$89,5,0)</f>
        <v>8.1844919854302152</v>
      </c>
      <c r="P13" s="14">
        <f t="shared" si="33"/>
        <v>2.9530551348887908</v>
      </c>
      <c r="Q13" s="22">
        <f t="shared" si="2"/>
        <v>19.397894567888933</v>
      </c>
      <c r="R13" s="62">
        <f t="shared" si="0"/>
        <v>312.73122790122227</v>
      </c>
      <c r="S13" s="62">
        <f ca="1">AVERAGE(OFFSET($R$3,0,0,'Données projet'!$E$9+1,1))-AVERAGE(OFFSET($H$3,0,0,'Données projet'!$E$9+1,1))</f>
        <v>150.79185880109804</v>
      </c>
      <c r="T13" s="62">
        <f t="shared" si="34"/>
        <v>231.70571415193996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</v>
      </c>
      <c r="AI13" s="14">
        <f>IF('Données projet'!$A$62&gt;35,AI12+AH13-AQ12,IF(A13&lt;'Données projet'!$A$62,$AF$205^A13,IF(A13='Données projet'!$A$62,'Données projet'!$B$62,AI12+AH13-AQ12)))</f>
        <v>5.4706535967558398</v>
      </c>
      <c r="AJ13" s="14">
        <f>AI13*VLOOKUP('Données projet'!$B$10,Paramètres!$A$1:$I$89,3,0)*VLOOKUP('Données projet'!$B$10,Paramètres!$A$1:$I$89,5,0)</f>
        <v>5.5472427471104222</v>
      </c>
      <c r="AK13" s="14">
        <f t="shared" si="35"/>
        <v>2.0942024009724034</v>
      </c>
      <c r="AL13" s="22">
        <f t="shared" si="4"/>
        <v>13.308850299577585</v>
      </c>
      <c r="AM13" s="62">
        <f t="shared" si="5"/>
        <v>306.64218363291093</v>
      </c>
      <c r="AN13" s="62">
        <f ca="1">AVERAGE(OFFSET($AM$3,0,0,'Données projet'!$E$10+1,1))-AVERAGE(OFFSET($H$3,0,0,'Données projet'!$E$10+1,1))</f>
        <v>305.55480846093275</v>
      </c>
      <c r="AO13" s="62">
        <f t="shared" si="36"/>
        <v>179.56041631665812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11.8</v>
      </c>
      <c r="BD13" s="13">
        <f>IF('Données projet'!$A$88&gt;35,BD12+BC13-BL12,IF(A13&lt;'Données projet'!$A$88,$BA$205^A13,IF(A13='Données projet'!$A$88,'Données projet'!$B$88,BD12+BC13-BL12)))</f>
        <v>15.362291495737235</v>
      </c>
      <c r="BE13" s="14">
        <f>BD13*VLOOKUP('Données projet'!$B$11,Paramètres!$A$1:$I$89,3,0)*VLOOKUP('Données projet'!$B$11,Paramètres!$A$1:$I$89,5,0)</f>
        <v>7.8126469630721287</v>
      </c>
      <c r="BF13" s="14">
        <f t="shared" si="37"/>
        <v>2.8341873435830851</v>
      </c>
      <c r="BG13" s="22">
        <f t="shared" si="7"/>
        <v>18.543236417424495</v>
      </c>
      <c r="BH13" s="62">
        <f t="shared" si="8"/>
        <v>311.87656975075782</v>
      </c>
      <c r="BI13" s="62">
        <f ca="1">AVERAGE(OFFSET($BH$3,0,0,'Données projet'!$E$11+1,1))-AVERAGE(OFFSET($H$3,0,0,'Données projet'!$E$11+1,1))</f>
        <v>40.594438615105105</v>
      </c>
      <c r="BJ13" s="62">
        <f t="shared" si="38"/>
        <v>238.55583229663102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11.8</v>
      </c>
      <c r="BY13" s="13">
        <f>IF('Données projet'!$A$114&gt;35,BY12+BX13-CG12,IF(A13&lt;'Données projet'!$A$114,$BV$205^A13,IF(A13='Données projet'!$A$114,'Données projet'!$B$114,BY12+BX13-CG12)))</f>
        <v>15.362291495737235</v>
      </c>
      <c r="BZ13" s="14">
        <f>BY13*VLOOKUP('Données projet'!$B$12,Paramètres!$A$1:$I$89,3,0)*VLOOKUP('Données projet'!$B$12,Paramètres!$A$1:$I$89,5,0)</f>
        <v>7.8845424872721797</v>
      </c>
      <c r="CA13" s="14">
        <f t="shared" si="39"/>
        <v>2.8572206373327393</v>
      </c>
      <c r="CB13" s="22">
        <f t="shared" si="10"/>
        <v>18.708570775353564</v>
      </c>
      <c r="CC13" s="62">
        <f t="shared" si="11"/>
        <v>312.04190410868688</v>
      </c>
      <c r="CD13" s="62">
        <f ca="1">AVERAGE(OFFSET($CC$3,0,0,'Données projet'!$E$12+1,1))-AVERAGE(OFFSET($H$3,0,0,'Données projet'!$E$12+1,1))</f>
        <v>41.074766157499596</v>
      </c>
      <c r="CE13" s="62">
        <f t="shared" si="40"/>
        <v>240.92787656206917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6.166666666666667</v>
      </c>
      <c r="N14" s="14">
        <f>IF('Données projet'!$A$36&gt;35,N13+M14-V13,IF(A14&lt;'Données projet'!$A$36,$K$205^A14,IF(A14='Données projet'!$A$36,'Données projet'!$B$36,N13+M14-V13)))</f>
        <v>17.779502238968792</v>
      </c>
      <c r="O14" s="14">
        <f>N14*VLOOKUP('Données projet'!$B$9,Paramètres!$A$1:$I$89,3,0)*VLOOKUP('Données projet'!$B$9,Paramètres!$A$1:$I$89,5,0)</f>
        <v>10.632142338903337</v>
      </c>
      <c r="P14" s="14">
        <f t="shared" si="33"/>
        <v>3.7211243906425677</v>
      </c>
      <c r="Q14" s="22">
        <f t="shared" si="2"/>
        <v>24.998606220625785</v>
      </c>
      <c r="R14" s="62">
        <f t="shared" si="0"/>
        <v>318.3319395539591</v>
      </c>
      <c r="S14" s="62">
        <f ca="1">AVERAGE(OFFSET($R$3,0,0,'Données projet'!$E$9+1,1))-AVERAGE(OFFSET($H$3,0,0,'Données projet'!$E$9+1,1))</f>
        <v>150.79185880109804</v>
      </c>
      <c r="T14" s="62">
        <f t="shared" si="34"/>
        <v>231.70571415193996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</v>
      </c>
      <c r="AI14" s="14">
        <f>IF('Données projet'!$A$62&gt;35,AI13+AH14-AQ13,IF(A14&lt;'Données projet'!$A$62,$AF$205^A14,IF(A14='Données projet'!$A$62,'Données projet'!$B$62,AI13+AH14-AQ13)))</f>
        <v>6.4840019622421199</v>
      </c>
      <c r="AJ14" s="14">
        <f>AI14*VLOOKUP('Données projet'!$B$10,Paramètres!$A$1:$I$89,3,0)*VLOOKUP('Données projet'!$B$10,Paramètres!$A$1:$I$89,5,0)</f>
        <v>6.5747779897135095</v>
      </c>
      <c r="AK14" s="14">
        <f t="shared" si="35"/>
        <v>2.4335025086985533</v>
      </c>
      <c r="AL14" s="22">
        <f t="shared" si="4"/>
        <v>15.689421868067676</v>
      </c>
      <c r="AM14" s="62">
        <f t="shared" si="5"/>
        <v>309.02275520140097</v>
      </c>
      <c r="AN14" s="62">
        <f ca="1">AVERAGE(OFFSET($AM$3,0,0,'Données projet'!$E$10+1,1))-AVERAGE(OFFSET($H$3,0,0,'Données projet'!$E$10+1,1))</f>
        <v>305.55480846093275</v>
      </c>
      <c r="AO14" s="62">
        <f t="shared" si="36"/>
        <v>179.56041631665812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11.8</v>
      </c>
      <c r="BD14" s="13">
        <f>IF('Données projet'!$A$88&gt;35,BD13+BC14-BL13,IF(A14&lt;'Données projet'!$A$88,$BA$205^A14,IF(A14='Données projet'!$A$88,'Données projet'!$B$88,BD13+BC14-BL13)))</f>
        <v>20.188386084778987</v>
      </c>
      <c r="BE14" s="14">
        <f>BD14*VLOOKUP('Données projet'!$B$11,Paramètres!$A$1:$I$89,3,0)*VLOOKUP('Données projet'!$B$11,Paramètres!$A$1:$I$89,5,0)</f>
        <v>10.267005627275202</v>
      </c>
      <c r="BF14" s="14">
        <f t="shared" si="37"/>
        <v>3.6079773841873228</v>
      </c>
      <c r="BG14" s="22">
        <f t="shared" si="7"/>
        <v>24.165595411630562</v>
      </c>
      <c r="BH14" s="62">
        <f t="shared" si="8"/>
        <v>317.49892874496391</v>
      </c>
      <c r="BI14" s="62">
        <f ca="1">AVERAGE(OFFSET($BH$3,0,0,'Données projet'!$E$11+1,1))-AVERAGE(OFFSET($H$3,0,0,'Données projet'!$E$11+1,1))</f>
        <v>40.594438615105105</v>
      </c>
      <c r="BJ14" s="62">
        <f t="shared" si="38"/>
        <v>238.55583229663102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11.8</v>
      </c>
      <c r="BY14" s="13">
        <f>IF('Données projet'!$A$114&gt;35,BY13+BX14-CG13,IF(A14&lt;'Données projet'!$A$114,$BV$205^A14,IF(A14='Données projet'!$A$114,'Données projet'!$B$114,BY13+BX14-CG13)))</f>
        <v>20.188386084778987</v>
      </c>
      <c r="BZ14" s="14">
        <f>BY14*VLOOKUP('Données projet'!$B$12,Paramètres!$A$1:$I$89,3,0)*VLOOKUP('Données projet'!$B$12,Paramètres!$A$1:$I$89,5,0)</f>
        <v>10.361487274151969</v>
      </c>
      <c r="CA14" s="14">
        <f t="shared" si="39"/>
        <v>3.6372992295199027</v>
      </c>
      <c r="CB14" s="22">
        <f t="shared" si="10"/>
        <v>24.381219827228506</v>
      </c>
      <c r="CC14" s="62">
        <f t="shared" si="11"/>
        <v>317.71455316056182</v>
      </c>
      <c r="CD14" s="62">
        <f ca="1">AVERAGE(OFFSET($CC$3,0,0,'Données projet'!$E$12+1,1))-AVERAGE(OFFSET($H$3,0,0,'Données projet'!$E$12+1,1))</f>
        <v>41.074766157499596</v>
      </c>
      <c r="CE14" s="62">
        <f t="shared" si="40"/>
        <v>240.92787656206917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6.166666666666667</v>
      </c>
      <c r="N15" s="14">
        <f>IF('Données projet'!$A$36&gt;35,N14+M15-V14,IF(A15&lt;'Données projet'!$A$36,$K$205^A15,IF(A15='Données projet'!$A$36,'Données projet'!$B$36,N14+M15-V14)))</f>
        <v>23.096631880888861</v>
      </c>
      <c r="O15" s="14">
        <f>N15*VLOOKUP('Données projet'!$B$9,Paramètres!$A$1:$I$89,3,0)*VLOOKUP('Données projet'!$B$9,Paramètres!$A$1:$I$89,5,0)</f>
        <v>13.811785864771538</v>
      </c>
      <c r="P15" s="14">
        <f t="shared" si="33"/>
        <v>4.6889631578641264</v>
      </c>
      <c r="Q15" s="22">
        <f t="shared" si="2"/>
        <v>32.222137881090447</v>
      </c>
      <c r="R15" s="62">
        <f t="shared" si="0"/>
        <v>325.55547121442373</v>
      </c>
      <c r="S15" s="62">
        <f ca="1">AVERAGE(OFFSET($R$3,0,0,'Données projet'!$E$9+1,1))-AVERAGE(OFFSET($H$3,0,0,'Données projet'!$E$9+1,1))</f>
        <v>150.79185880109804</v>
      </c>
      <c r="T15" s="62">
        <f t="shared" si="34"/>
        <v>231.70571415193996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</v>
      </c>
      <c r="AI15" s="14">
        <f>IF('Données projet'!$A$62&gt;35,AI14+AH15-AQ14,IF(A15&lt;'Données projet'!$A$62,$AF$205^A15,IF(A15='Données projet'!$A$62,'Données projet'!$B$62,AI14+AH15-AQ14)))</f>
        <v>7.685056401906202</v>
      </c>
      <c r="AJ15" s="14">
        <f>AI15*VLOOKUP('Données projet'!$B$10,Paramètres!$A$1:$I$89,3,0)*VLOOKUP('Données projet'!$B$10,Paramètres!$A$1:$I$89,5,0)</f>
        <v>7.7926471915328897</v>
      </c>
      <c r="AK15" s="14">
        <f t="shared" si="35"/>
        <v>2.827775604255069</v>
      </c>
      <c r="AL15" s="22">
        <f t="shared" si="4"/>
        <v>18.497236369330697</v>
      </c>
      <c r="AM15" s="62">
        <f t="shared" si="5"/>
        <v>311.83056970266404</v>
      </c>
      <c r="AN15" s="62">
        <f ca="1">AVERAGE(OFFSET($AM$3,0,0,'Données projet'!$E$10+1,1))-AVERAGE(OFFSET($H$3,0,0,'Données projet'!$E$10+1,1))</f>
        <v>305.55480846093275</v>
      </c>
      <c r="AO15" s="62">
        <f t="shared" si="36"/>
        <v>179.56041631665812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11.8</v>
      </c>
      <c r="BD15" s="13">
        <f>IF('Données projet'!$A$88&gt;35,BD14+BC15-BL14,IF(A15&lt;'Données projet'!$A$88,$BA$205^A15,IF(A15='Données projet'!$A$88,'Données projet'!$B$88,BD14+BC15-BL14)))</f>
        <v>26.530607938352919</v>
      </c>
      <c r="BE15" s="14">
        <f>BD15*VLOOKUP('Données projet'!$B$11,Paramètres!$A$1:$I$89,3,0)*VLOOKUP('Données projet'!$B$11,Paramètres!$A$1:$I$89,5,0)</f>
        <v>13.49240597312876</v>
      </c>
      <c r="BF15" s="14">
        <f t="shared" si="37"/>
        <v>4.5930276395737426</v>
      </c>
      <c r="BG15" s="22">
        <f t="shared" si="7"/>
        <v>31.498796875456858</v>
      </c>
      <c r="BH15" s="62">
        <f t="shared" si="8"/>
        <v>324.83213020879015</v>
      </c>
      <c r="BI15" s="62">
        <f ca="1">AVERAGE(OFFSET($BH$3,0,0,'Données projet'!$E$11+1,1))-AVERAGE(OFFSET($H$3,0,0,'Données projet'!$E$11+1,1))</f>
        <v>40.594438615105105</v>
      </c>
      <c r="BJ15" s="62">
        <f t="shared" si="38"/>
        <v>238.55583229663102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11.8</v>
      </c>
      <c r="BY15" s="13">
        <f>IF('Données projet'!$A$114&gt;35,BY14+BX15-CG14,IF(A15&lt;'Données projet'!$A$114,$BV$205^A15,IF(A15='Données projet'!$A$114,'Données projet'!$B$114,BY14+BX15-CG14)))</f>
        <v>26.530607938352919</v>
      </c>
      <c r="BZ15" s="14">
        <f>BY15*VLOOKUP('Données projet'!$B$12,Paramètres!$A$1:$I$89,3,0)*VLOOKUP('Données projet'!$B$12,Paramètres!$A$1:$I$89,5,0)</f>
        <v>13.616569218280253</v>
      </c>
      <c r="CA15" s="14">
        <f t="shared" si="39"/>
        <v>4.6303549373129407</v>
      </c>
      <c r="CB15" s="22">
        <f t="shared" si="10"/>
        <v>31.780059570991472</v>
      </c>
      <c r="CC15" s="62">
        <f t="shared" si="11"/>
        <v>325.11339290432477</v>
      </c>
      <c r="CD15" s="62">
        <f ca="1">AVERAGE(OFFSET($CC$3,0,0,'Données projet'!$E$12+1,1))-AVERAGE(OFFSET($H$3,0,0,'Données projet'!$E$12+1,1))</f>
        <v>41.074766157499596</v>
      </c>
      <c r="CE15" s="62">
        <f t="shared" si="40"/>
        <v>240.92787656206917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6.166666666666667</v>
      </c>
      <c r="N16" s="14">
        <f>IF('Données projet'!$A$36&gt;35,N15+M16-V15,IF(A16&lt;'Données projet'!$A$36,$K$205^A16,IF(A16='Données projet'!$A$36,'Données projet'!$B$36,N15+M16-V15)))</f>
        <v>30.003899832025432</v>
      </c>
      <c r="O16" s="14">
        <f>N16*VLOOKUP('Données projet'!$B$9,Paramètres!$A$1:$I$89,3,0)*VLOOKUP('Données projet'!$B$9,Paramètres!$A$1:$I$89,5,0)</f>
        <v>17.942332099551209</v>
      </c>
      <c r="P16" s="14">
        <f t="shared" si="33"/>
        <v>5.9085301074846619</v>
      </c>
      <c r="Q16" s="22">
        <f t="shared" si="2"/>
        <v>41.54025167725414</v>
      </c>
      <c r="R16" s="62">
        <f t="shared" si="0"/>
        <v>334.87358501058748</v>
      </c>
      <c r="S16" s="62">
        <f ca="1">AVERAGE(OFFSET($R$3,0,0,'Données projet'!$E$9+1,1))-AVERAGE(OFFSET($H$3,0,0,'Données projet'!$E$9+1,1))</f>
        <v>150.79185880109804</v>
      </c>
      <c r="T16" s="62">
        <f t="shared" si="34"/>
        <v>231.70571415193996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</v>
      </c>
      <c r="AI16" s="14">
        <f>IF('Données projet'!$A$62&gt;35,AI15+AH16-AQ15,IF(A16&lt;'Données projet'!$A$62,$AF$205^A16,IF(A16='Données projet'!$A$62,'Données projet'!$B$62,AI15+AH16-AQ15)))</f>
        <v>9.1085863706396779</v>
      </c>
      <c r="AJ16" s="14">
        <f>AI16*VLOOKUP('Données projet'!$B$10,Paramètres!$A$1:$I$89,3,0)*VLOOKUP('Données projet'!$B$10,Paramètres!$A$1:$I$89,5,0)</f>
        <v>9.2361065798286326</v>
      </c>
      <c r="AK16" s="14">
        <f t="shared" si="35"/>
        <v>3.2859283437914253</v>
      </c>
      <c r="AL16" s="22">
        <f t="shared" si="4"/>
        <v>21.809210825304934</v>
      </c>
      <c r="AM16" s="62">
        <f t="shared" si="5"/>
        <v>315.14254415863826</v>
      </c>
      <c r="AN16" s="62">
        <f ca="1">AVERAGE(OFFSET($AM$3,0,0,'Données projet'!$E$10+1,1))-AVERAGE(OFFSET($H$3,0,0,'Données projet'!$E$10+1,1))</f>
        <v>305.55480846093275</v>
      </c>
      <c r="AO16" s="62">
        <f t="shared" si="36"/>
        <v>179.56041631665812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11.8</v>
      </c>
      <c r="BD16" s="13">
        <f>IF('Données projet'!$A$88&gt;35,BD15+BC16-BL15,IF(A16&lt;'Données projet'!$A$88,$BA$205^A16,IF(A16='Données projet'!$A$88,'Données projet'!$B$88,BD15+BC16-BL15)))</f>
        <v>34.86525146798531</v>
      </c>
      <c r="BE16" s="14">
        <f>BD16*VLOOKUP('Données projet'!$B$11,Paramètres!$A$1:$I$89,3,0)*VLOOKUP('Données projet'!$B$11,Paramètres!$A$1:$I$89,5,0)</f>
        <v>17.731072286558611</v>
      </c>
      <c r="BF16" s="14">
        <f t="shared" si="37"/>
        <v>5.8470163893890623</v>
      </c>
      <c r="BG16" s="22">
        <f t="shared" si="7"/>
        <v>41.065171110608858</v>
      </c>
      <c r="BH16" s="62">
        <f t="shared" si="8"/>
        <v>334.39850444394216</v>
      </c>
      <c r="BI16" s="62">
        <f ca="1">AVERAGE(OFFSET($BH$3,0,0,'Données projet'!$E$11+1,1))-AVERAGE(OFFSET($H$3,0,0,'Données projet'!$E$11+1,1))</f>
        <v>40.594438615105105</v>
      </c>
      <c r="BJ16" s="62">
        <f t="shared" si="38"/>
        <v>238.55583229663102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11.8</v>
      </c>
      <c r="BY16" s="13">
        <f>IF('Données projet'!$A$114&gt;35,BY15+BX16-CG15,IF(A16&lt;'Données projet'!$A$114,$BV$205^A16,IF(A16='Données projet'!$A$114,'Données projet'!$B$114,BY15+BX16-CG15)))</f>
        <v>34.86525146798531</v>
      </c>
      <c r="BZ16" s="14">
        <f>BY16*VLOOKUP('Données projet'!$B$12,Paramètres!$A$1:$I$89,3,0)*VLOOKUP('Données projet'!$B$12,Paramètres!$A$1:$I$89,5,0)</f>
        <v>17.89424166342878</v>
      </c>
      <c r="CA16" s="14">
        <f t="shared" si="39"/>
        <v>5.8945347887499091</v>
      </c>
      <c r="CB16" s="22">
        <f t="shared" si="10"/>
        <v>41.432118987544548</v>
      </c>
      <c r="CC16" s="62">
        <f t="shared" si="11"/>
        <v>334.76545232087784</v>
      </c>
      <c r="CD16" s="62">
        <f ca="1">AVERAGE(OFFSET($CC$3,0,0,'Données projet'!$E$12+1,1))-AVERAGE(OFFSET($H$3,0,0,'Données projet'!$E$12+1,1))</f>
        <v>41.074766157499596</v>
      </c>
      <c r="CE16" s="62">
        <f t="shared" si="40"/>
        <v>240.92787656206917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6.166666666666667</v>
      </c>
      <c r="N17" s="14">
        <f>IF('Données projet'!$A$36&gt;35,N16+M17-V16,IF(A17&lt;'Données projet'!$A$36,$K$205^A17,IF(A17='Données projet'!$A$36,'Données projet'!$B$36,N16+M17-V16)))</f>
        <v>38.976852113017742</v>
      </c>
      <c r="O17" s="14">
        <f>N17*VLOOKUP('Données projet'!$B$9,Paramètres!$A$1:$I$89,3,0)*VLOOKUP('Données projet'!$B$9,Paramètres!$A$1:$I$89,5,0)</f>
        <v>23.308157563584611</v>
      </c>
      <c r="P17" s="14">
        <f t="shared" si="33"/>
        <v>7.4452980020757735</v>
      </c>
      <c r="Q17" s="22">
        <f t="shared" si="2"/>
        <v>53.56226844352517</v>
      </c>
      <c r="R17" s="62">
        <f t="shared" si="0"/>
        <v>346.89560177685848</v>
      </c>
      <c r="S17" s="62">
        <f ca="1">AVERAGE(OFFSET($R$3,0,0,'Données projet'!$E$9+1,1))-AVERAGE(OFFSET($H$3,0,0,'Données projet'!$E$9+1,1))</f>
        <v>150.79185880109804</v>
      </c>
      <c r="T17" s="62">
        <f t="shared" si="34"/>
        <v>231.70571415193996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</v>
      </c>
      <c r="AI17" s="14">
        <f>IF('Données projet'!$A$62&gt;35,AI16+AH17-AQ16,IF(A17&lt;'Données projet'!$A$62,$AF$205^A17,IF(A17='Données projet'!$A$62,'Données projet'!$B$62,AI16+AH17-AQ16)))</f>
        <v>10.795801791490293</v>
      </c>
      <c r="AJ17" s="14">
        <f>AI17*VLOOKUP('Données projet'!$B$10,Paramètres!$A$1:$I$89,3,0)*VLOOKUP('Données projet'!$B$10,Paramètres!$A$1:$I$89,5,0)</f>
        <v>10.946943016571158</v>
      </c>
      <c r="AK17" s="14">
        <f t="shared" si="35"/>
        <v>3.8183104289762917</v>
      </c>
      <c r="AL17" s="22">
        <f t="shared" si="4"/>
        <v>25.71614975099514</v>
      </c>
      <c r="AM17" s="62">
        <f t="shared" si="5"/>
        <v>319.04948308432847</v>
      </c>
      <c r="AN17" s="62">
        <f ca="1">AVERAGE(OFFSET($AM$3,0,0,'Données projet'!$E$10+1,1))-AVERAGE(OFFSET($H$3,0,0,'Données projet'!$E$10+1,1))</f>
        <v>305.55480846093275</v>
      </c>
      <c r="AO17" s="62">
        <f t="shared" si="36"/>
        <v>179.56041631665812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11.8</v>
      </c>
      <c r="BD17" s="13">
        <f>IF('Données projet'!$A$88&gt;35,BD16+BC17-BL16,IF(A17&lt;'Données projet'!$A$88,$BA$205^A17,IF(A17='Données projet'!$A$88,'Données projet'!$B$88,BD16+BC17-BL16)))</f>
        <v>45.818239926895487</v>
      </c>
      <c r="BE17" s="14">
        <f>BD17*VLOOKUP('Données projet'!$B$11,Paramètres!$A$1:$I$89,3,0)*VLOOKUP('Données projet'!$B$11,Paramètres!$A$1:$I$89,5,0)</f>
        <v>23.301324097221972</v>
      </c>
      <c r="BF17" s="14">
        <f t="shared" si="37"/>
        <v>7.4433692415047368</v>
      </c>
      <c r="BG17" s="22">
        <f t="shared" si="7"/>
        <v>53.54700756494902</v>
      </c>
      <c r="BH17" s="62">
        <f t="shared" si="8"/>
        <v>346.88034089828233</v>
      </c>
      <c r="BI17" s="62">
        <f ca="1">AVERAGE(OFFSET($BH$3,0,0,'Données projet'!$E$11+1,1))-AVERAGE(OFFSET($H$3,0,0,'Données projet'!$E$11+1,1))</f>
        <v>40.594438615105105</v>
      </c>
      <c r="BJ17" s="62">
        <f t="shared" si="38"/>
        <v>238.55583229663102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11.8</v>
      </c>
      <c r="BY17" s="13">
        <f>IF('Données projet'!$A$114&gt;35,BY16+BX17-CG16,IF(A17&lt;'Données projet'!$A$114,$BV$205^A17,IF(A17='Données projet'!$A$114,'Données projet'!$B$114,BY16+BX17-CG16)))</f>
        <v>45.818239926895487</v>
      </c>
      <c r="BZ17" s="14">
        <f>BY17*VLOOKUP('Données projet'!$B$12,Paramètres!$A$1:$I$89,3,0)*VLOOKUP('Données projet'!$B$12,Paramètres!$A$1:$I$89,5,0)</f>
        <v>23.515753460079843</v>
      </c>
      <c r="CA17" s="14">
        <f t="shared" si="39"/>
        <v>7.5038611178145</v>
      </c>
      <c r="CB17" s="22">
        <f t="shared" si="10"/>
        <v>54.025828723165979</v>
      </c>
      <c r="CC17" s="62">
        <f t="shared" si="11"/>
        <v>347.35916205649931</v>
      </c>
      <c r="CD17" s="62">
        <f ca="1">AVERAGE(OFFSET($CC$3,0,0,'Données projet'!$E$12+1,1))-AVERAGE(OFFSET($H$3,0,0,'Données projet'!$E$12+1,1))</f>
        <v>41.074766157499596</v>
      </c>
      <c r="CE17" s="62">
        <f t="shared" si="40"/>
        <v>240.92787656206917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6.166666666666667</v>
      </c>
      <c r="N18" s="14">
        <f>IF('Données projet'!$A$36&gt;35,N17+M18-V17,IF(A18&lt;'Données projet'!$A$36,$K$205^A18,IF(A18='Données projet'!$A$36,'Données projet'!$B$36,N17+M18-V17)))</f>
        <v>50.633251315500786</v>
      </c>
      <c r="O18" s="14">
        <f>N18*VLOOKUP('Données projet'!$B$9,Paramètres!$A$1:$I$89,3,0)*VLOOKUP('Données projet'!$B$9,Paramètres!$A$1:$I$89,5,0)</f>
        <v>30.278684286669471</v>
      </c>
      <c r="P18" s="14">
        <f t="shared" si="33"/>
        <v>9.3817686177978814</v>
      </c>
      <c r="Q18" s="22">
        <f t="shared" si="2"/>
        <v>69.075288808613962</v>
      </c>
      <c r="R18" s="62">
        <f t="shared" si="0"/>
        <v>362.40862214194726</v>
      </c>
      <c r="S18" s="62">
        <f ca="1">AVERAGE(OFFSET($R$3,0,0,'Données projet'!$E$9+1,1))-AVERAGE(OFFSET($H$3,0,0,'Données projet'!$E$9+1,1))</f>
        <v>150.79185880109804</v>
      </c>
      <c r="T18" s="62">
        <f t="shared" si="34"/>
        <v>231.70571415193996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</v>
      </c>
      <c r="AI18" s="14">
        <f>IF('Données projet'!$A$62&gt;35,AI17+AH18-AQ17,IF(A18&lt;'Données projet'!$A$62,$AF$205^A18,IF(A18='Données projet'!$A$62,'Données projet'!$B$62,AI17+AH18-AQ17)))</f>
        <v>12.795546046181913</v>
      </c>
      <c r="AJ18" s="14">
        <f>AI18*VLOOKUP('Données projet'!$B$10,Paramètres!$A$1:$I$89,3,0)*VLOOKUP('Données projet'!$B$10,Paramètres!$A$1:$I$89,5,0)</f>
        <v>12.974683690828462</v>
      </c>
      <c r="AK18" s="14">
        <f t="shared" si="35"/>
        <v>4.4369484074648931</v>
      </c>
      <c r="AL18" s="22">
        <f t="shared" si="4"/>
        <v>30.325259237860919</v>
      </c>
      <c r="AM18" s="62">
        <f t="shared" si="5"/>
        <v>323.65859257119422</v>
      </c>
      <c r="AN18" s="62">
        <f ca="1">AVERAGE(OFFSET($AM$3,0,0,'Données projet'!$E$10+1,1))-AVERAGE(OFFSET($H$3,0,0,'Données projet'!$E$10+1,1))</f>
        <v>305.55480846093275</v>
      </c>
      <c r="AO18" s="62">
        <f t="shared" si="36"/>
        <v>179.56041631665812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11.8</v>
      </c>
      <c r="BD18" s="13">
        <f>IF('Données projet'!$A$88&gt;35,BD17+BC18-BL17,IF(A18&lt;'Données projet'!$A$88,$BA$205^A18,IF(A18='Données projet'!$A$88,'Données projet'!$B$88,BD17+BC18-BL17)))</f>
        <v>60.212131609784393</v>
      </c>
      <c r="BE18" s="14">
        <f>BD18*VLOOKUP('Données projet'!$B$11,Paramètres!$A$1:$I$89,3,0)*VLOOKUP('Données projet'!$B$11,Paramètres!$A$1:$I$89,5,0)</f>
        <v>30.621481651471949</v>
      </c>
      <c r="BF18" s="14">
        <f t="shared" si="37"/>
        <v>9.4755584687471295</v>
      </c>
      <c r="BG18" s="22">
        <f t="shared" si="7"/>
        <v>69.835678209381555</v>
      </c>
      <c r="BH18" s="62">
        <f t="shared" si="8"/>
        <v>363.16901154271488</v>
      </c>
      <c r="BI18" s="62">
        <f ca="1">AVERAGE(OFFSET($BH$3,0,0,'Données projet'!$E$11+1,1))-AVERAGE(OFFSET($H$3,0,0,'Données projet'!$E$11+1,1))</f>
        <v>40.594438615105105</v>
      </c>
      <c r="BJ18" s="62">
        <f t="shared" si="38"/>
        <v>238.55583229663102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11.8</v>
      </c>
      <c r="BY18" s="13">
        <f>IF('Données projet'!$A$114&gt;35,BY17+BX18-CG17,IF(A18&lt;'Données projet'!$A$114,$BV$205^A18,IF(A18='Données projet'!$A$114,'Données projet'!$B$114,BY17+BX18-CG17)))</f>
        <v>60.212131609784393</v>
      </c>
      <c r="BZ18" s="14">
        <f>BY18*VLOOKUP('Données projet'!$B$12,Paramètres!$A$1:$I$89,3,0)*VLOOKUP('Données projet'!$B$12,Paramètres!$A$1:$I$89,5,0)</f>
        <v>30.903274427405748</v>
      </c>
      <c r="CA18" s="14">
        <f t="shared" si="39"/>
        <v>9.5525658416531023</v>
      </c>
      <c r="CB18" s="22">
        <f t="shared" si="10"/>
        <v>70.460588468610837</v>
      </c>
      <c r="CC18" s="62">
        <f t="shared" si="11"/>
        <v>363.79392180194418</v>
      </c>
      <c r="CD18" s="62">
        <f ca="1">AVERAGE(OFFSET($CC$3,0,0,'Données projet'!$E$12+1,1))-AVERAGE(OFFSET($H$3,0,0,'Données projet'!$E$12+1,1))</f>
        <v>41.074766157499596</v>
      </c>
      <c r="CE18" s="62">
        <f t="shared" si="40"/>
        <v>240.92787656206917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6.166666666666667</v>
      </c>
      <c r="N19" s="14">
        <f>IF('Données projet'!$A$36&gt;35,N18+M19-V18,IF(A19&lt;'Données projet'!$A$36,$K$205^A19,IF(A19='Données projet'!$A$36,'Données projet'!$B$36,N18+M19-V18)))</f>
        <v>65.775607823455104</v>
      </c>
      <c r="O19" s="14">
        <f>N19*VLOOKUP('Données projet'!$B$9,Paramètres!$A$1:$I$89,3,0)*VLOOKUP('Données projet'!$B$9,Paramètres!$A$1:$I$89,5,0)</f>
        <v>39.333813478426158</v>
      </c>
      <c r="P19" s="14">
        <f t="shared" si="33"/>
        <v>11.821901873283993</v>
      </c>
      <c r="Q19" s="22">
        <f t="shared" si="2"/>
        <v>89.096204237561849</v>
      </c>
      <c r="R19" s="62">
        <f t="shared" si="0"/>
        <v>382.42953757089515</v>
      </c>
      <c r="S19" s="62">
        <f ca="1">AVERAGE(OFFSET($R$3,0,0,'Données projet'!$E$9+1,1))-AVERAGE(OFFSET($H$3,0,0,'Données projet'!$E$9+1,1))</f>
        <v>150.79185880109804</v>
      </c>
      <c r="T19" s="62">
        <f t="shared" si="34"/>
        <v>231.70571415193996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</v>
      </c>
      <c r="AI19" s="14">
        <f>IF('Données projet'!$A$62&gt;35,AI18+AH19-AQ18,IF(A19&lt;'Données projet'!$A$62,$AF$205^A19,IF(A19='Données projet'!$A$62,'Données projet'!$B$62,AI18+AH19-AQ18)))</f>
        <v>15.165709947455436</v>
      </c>
      <c r="AJ19" s="14">
        <f>AI19*VLOOKUP('Données projet'!$B$10,Paramètres!$A$1:$I$89,3,0)*VLOOKUP('Données projet'!$B$10,Paramètres!$A$1:$I$89,5,0)</f>
        <v>15.378029886719814</v>
      </c>
      <c r="AK19" s="14">
        <f t="shared" si="35"/>
        <v>5.1558173534317051</v>
      </c>
      <c r="AL19" s="22">
        <f t="shared" si="4"/>
        <v>35.763117276597228</v>
      </c>
      <c r="AM19" s="62">
        <f t="shared" si="5"/>
        <v>329.09645060993057</v>
      </c>
      <c r="AN19" s="62">
        <f ca="1">AVERAGE(OFFSET($AM$3,0,0,'Données projet'!$E$10+1,1))-AVERAGE(OFFSET($H$3,0,0,'Données projet'!$E$10+1,1))</f>
        <v>305.55480846093275</v>
      </c>
      <c r="AO19" s="62">
        <f t="shared" si="36"/>
        <v>179.56041631665812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11.8</v>
      </c>
      <c r="BD19" s="13">
        <f>IF('Données projet'!$A$88&gt;35,BD18+BC19-BL18,IF(A19&lt;'Données projet'!$A$88,$BA$205^A19,IF(A19='Données projet'!$A$88,'Données projet'!$B$88,BD18+BC19-BL18)))</f>
        <v>79.127893144271852</v>
      </c>
      <c r="BE19" s="14">
        <f>BD19*VLOOKUP('Données projet'!$B$11,Paramètres!$A$1:$I$89,3,0)*VLOOKUP('Données projet'!$B$11,Paramètres!$A$1:$I$89,5,0)</f>
        <v>40.241281337450893</v>
      </c>
      <c r="BF19" s="14">
        <f t="shared" si="37"/>
        <v>12.062576150863432</v>
      </c>
      <c r="BG19" s="22">
        <f t="shared" si="7"/>
        <v>91.095885125480777</v>
      </c>
      <c r="BH19" s="62">
        <f t="shared" si="8"/>
        <v>384.42921845881409</v>
      </c>
      <c r="BI19" s="62">
        <f ca="1">AVERAGE(OFFSET($BH$3,0,0,'Données projet'!$E$11+1,1))-AVERAGE(OFFSET($H$3,0,0,'Données projet'!$E$11+1,1))</f>
        <v>40.594438615105105</v>
      </c>
      <c r="BJ19" s="62">
        <f t="shared" si="38"/>
        <v>238.55583229663102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11.8</v>
      </c>
      <c r="BY19" s="13">
        <f>IF('Données projet'!$A$114&gt;35,BY18+BX19-CG18,IF(A19&lt;'Données projet'!$A$114,$BV$205^A19,IF(A19='Données projet'!$A$114,'Données projet'!$B$114,BY18+BX19-CG18)))</f>
        <v>79.127893144271852</v>
      </c>
      <c r="BZ19" s="14">
        <f>BY19*VLOOKUP('Données projet'!$B$12,Paramètres!$A$1:$I$89,3,0)*VLOOKUP('Données projet'!$B$12,Paramètres!$A$1:$I$89,5,0)</f>
        <v>40.611599877366089</v>
      </c>
      <c r="CA19" s="14">
        <f t="shared" si="39"/>
        <v>12.160608082482025</v>
      </c>
      <c r="CB19" s="22">
        <f t="shared" si="10"/>
        <v>91.911595530068794</v>
      </c>
      <c r="CC19" s="62">
        <f t="shared" si="11"/>
        <v>385.24492886340209</v>
      </c>
      <c r="CD19" s="62">
        <f ca="1">AVERAGE(OFFSET($CC$3,0,0,'Données projet'!$E$12+1,1))-AVERAGE(OFFSET($H$3,0,0,'Données projet'!$E$12+1,1))</f>
        <v>41.074766157499596</v>
      </c>
      <c r="CE19" s="62">
        <f t="shared" si="40"/>
        <v>240.92787656206917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6.166666666666667</v>
      </c>
      <c r="N20" s="14">
        <f>IF('Données projet'!$A$36&gt;35,N19+M20-V19,IF(A20&lt;'Données projet'!$A$36,$K$205^A20,IF(A20='Données projet'!$A$36,'Données projet'!$B$36,N19+M20-V19)))</f>
        <v>85.44643040176409</v>
      </c>
      <c r="O20" s="14">
        <f>N20*VLOOKUP('Données projet'!$B$9,Paramètres!$A$1:$I$89,3,0)*VLOOKUP('Données projet'!$B$9,Paramètres!$A$1:$I$89,5,0)</f>
        <v>51.096965380254936</v>
      </c>
      <c r="P20" s="14">
        <f t="shared" si="33"/>
        <v>14.896696944372083</v>
      </c>
      <c r="Q20" s="22">
        <f t="shared" si="2"/>
        <v>114.93896188205872</v>
      </c>
      <c r="R20" s="62">
        <f t="shared" si="0"/>
        <v>408.27229521539203</v>
      </c>
      <c r="S20" s="62">
        <f ca="1">AVERAGE(OFFSET($R$3,0,0,'Données projet'!$E$9+1,1))-AVERAGE(OFFSET($H$3,0,0,'Données projet'!$E$9+1,1))</f>
        <v>150.79185880109804</v>
      </c>
      <c r="T20" s="62">
        <f t="shared" si="34"/>
        <v>231.70571415193996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</v>
      </c>
      <c r="AI20" s="14">
        <f>IF('Données projet'!$A$62&gt;35,AI19+AH20-AQ19,IF(A20&lt;'Données projet'!$A$62,$AF$205^A20,IF(A20='Données projet'!$A$62,'Données projet'!$B$62,AI19+AH20-AQ19)))</f>
        <v>17.974907626468866</v>
      </c>
      <c r="AJ20" s="14">
        <f>AI20*VLOOKUP('Données projet'!$B$10,Paramètres!$A$1:$I$89,3,0)*VLOOKUP('Données projet'!$B$10,Paramètres!$A$1:$I$89,5,0)</f>
        <v>18.226556333239429</v>
      </c>
      <c r="AK20" s="14">
        <f t="shared" si="35"/>
        <v>5.9911565654502983</v>
      </c>
      <c r="AL20" s="22">
        <f t="shared" si="4"/>
        <v>42.179183298551266</v>
      </c>
      <c r="AM20" s="62">
        <f t="shared" si="5"/>
        <v>335.51251663188458</v>
      </c>
      <c r="AN20" s="62">
        <f ca="1">AVERAGE(OFFSET($AM$3,0,0,'Données projet'!$E$10+1,1))-AVERAGE(OFFSET($H$3,0,0,'Données projet'!$E$10+1,1))</f>
        <v>305.55480846093275</v>
      </c>
      <c r="AO20" s="62">
        <f t="shared" si="36"/>
        <v>179.56041631665812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11.8</v>
      </c>
      <c r="BD20" s="13">
        <f>IF('Données projet'!$A$88&gt;35,BD19+BC20-BL19,IF(A20&lt;'Données projet'!$A$88,$BA$205^A20,IF(A20='Données projet'!$A$88,'Données projet'!$B$88,BD19+BC20-BL19)))</f>
        <v>103.98607898534958</v>
      </c>
      <c r="BE20" s="14">
        <f>BD20*VLOOKUP('Données projet'!$B$11,Paramètres!$A$1:$I$89,3,0)*VLOOKUP('Données projet'!$B$11,Paramètres!$A$1:$I$89,5,0)</f>
        <v>52.883160328789387</v>
      </c>
      <c r="BF20" s="14">
        <f t="shared" si="37"/>
        <v>15.355901594116618</v>
      </c>
      <c r="BG20" s="22">
        <f t="shared" si="7"/>
        <v>118.84969951572798</v>
      </c>
      <c r="BH20" s="62">
        <f t="shared" si="8"/>
        <v>412.18303284906131</v>
      </c>
      <c r="BI20" s="62">
        <f ca="1">AVERAGE(OFFSET($BH$3,0,0,'Données projet'!$E$11+1,1))-AVERAGE(OFFSET($H$3,0,0,'Données projet'!$E$11+1,1))</f>
        <v>40.594438615105105</v>
      </c>
      <c r="BJ20" s="62">
        <f t="shared" si="38"/>
        <v>238.55583229663102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11.8</v>
      </c>
      <c r="BY20" s="13">
        <f>IF('Données projet'!$A$114&gt;35,BY19+BX20-CG19,IF(A20&lt;'Données projet'!$A$114,$BV$205^A20,IF(A20='Données projet'!$A$114,'Données projet'!$B$114,BY19+BX20-CG19)))</f>
        <v>103.98607898534958</v>
      </c>
      <c r="BZ20" s="14">
        <f>BY20*VLOOKUP('Données projet'!$B$12,Paramètres!$A$1:$I$89,3,0)*VLOOKUP('Données projet'!$B$12,Paramètres!$A$1:$I$89,5,0)</f>
        <v>53.369815178440817</v>
      </c>
      <c r="CA20" s="14">
        <f t="shared" si="39"/>
        <v>15.480698211040652</v>
      </c>
      <c r="CB20" s="22">
        <f t="shared" si="10"/>
        <v>119.91464415334686</v>
      </c>
      <c r="CC20" s="62">
        <f t="shared" si="11"/>
        <v>413.24797748668016</v>
      </c>
      <c r="CD20" s="62">
        <f ca="1">AVERAGE(OFFSET($CC$3,0,0,'Données projet'!$E$12+1,1))-AVERAGE(OFFSET($H$3,0,0,'Données projet'!$E$12+1,1))</f>
        <v>41.074766157499596</v>
      </c>
      <c r="CE20" s="62">
        <f t="shared" si="40"/>
        <v>240.92787656206917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111</v>
      </c>
      <c r="L21" s="13">
        <f>VLOOKUP(A21,'Données projet'!$A$35:$I$55,9,0)</f>
        <v>6.166666666666667</v>
      </c>
      <c r="M21" s="13">
        <f t="array" ref="M21">INDEX(L:L,MIN(IF(ISNUMBER(L21:L217),ROW(L21:L217),"")))</f>
        <v>6.166666666666667</v>
      </c>
      <c r="N21" s="14">
        <f>IF('Données projet'!$A$36&gt;35,N20+M21-V20,IF(A21&lt;'Données projet'!$A$36,$K$205^A21,IF(A21='Données projet'!$A$36,'Données projet'!$B$36,N20+M21-V20)))</f>
        <v>111</v>
      </c>
      <c r="O21" s="14">
        <f>N21*VLOOKUP('Données projet'!$B$9,Paramètres!$A$1:$I$89,3,0)*VLOOKUP('Données projet'!$B$9,Paramètres!$A$1:$I$89,5,0)</f>
        <v>66.378</v>
      </c>
      <c r="P21" s="14">
        <f t="shared" si="33"/>
        <v>18.771224988253085</v>
      </c>
      <c r="Q21" s="22">
        <f t="shared" si="2"/>
        <v>148.30156685454077</v>
      </c>
      <c r="R21" s="62">
        <f t="shared" si="0"/>
        <v>441.63490018787411</v>
      </c>
      <c r="S21" s="62">
        <f ca="1">AVERAGE(OFFSET($R$3,0,0,'Données projet'!$E$9+1,1))-AVERAGE(OFFSET($H$3,0,0,'Données projet'!$E$9+1,1))</f>
        <v>150.79185880109804</v>
      </c>
      <c r="T21" s="62">
        <f t="shared" si="34"/>
        <v>231.70571415193996</v>
      </c>
      <c r="U21" s="16">
        <f>IF(ISNA(VLOOKUP(A21,'Données projet'!$A$35:$I$55,3,0)),0,VLOOKUP(A21,'Données projet'!$A$35:$I$55,3,0))</f>
        <v>1</v>
      </c>
      <c r="V21" s="16">
        <f>IF(ISNA(VLOOKUP(A21,'Données projet'!$A$35:$I$55,4,0)),0,VLOOKUP(A21,'Données projet'!$A$35:$I$55,4,0))</f>
        <v>27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1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18.281022675862321</v>
      </c>
      <c r="AC21" s="24">
        <f t="shared" si="3"/>
        <v>18.281022675862321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</v>
      </c>
      <c r="AI21" s="14">
        <f>IF('Données projet'!$A$62&gt;35,AI20+AH21-AQ20,IF(A21&lt;'Données projet'!$A$62,$AF$205^A21,IF(A21='Données projet'!$A$62,'Données projet'!$B$62,AI20+AH21-AQ20)))</f>
        <v>21.304462850702166</v>
      </c>
      <c r="AJ21" s="14">
        <f>AI21*VLOOKUP('Données projet'!$B$10,Paramètres!$A$1:$I$89,3,0)*VLOOKUP('Données projet'!$B$10,Paramètres!$A$1:$I$89,5,0)</f>
        <v>21.602725330612</v>
      </c>
      <c r="AK21" s="14">
        <f t="shared" si="35"/>
        <v>6.9618364133568926</v>
      </c>
      <c r="AL21" s="22">
        <f t="shared" si="4"/>
        <v>49.749945037412488</v>
      </c>
      <c r="AM21" s="62">
        <f t="shared" si="5"/>
        <v>343.0832783707458</v>
      </c>
      <c r="AN21" s="62">
        <f ca="1">AVERAGE(OFFSET($AM$3,0,0,'Données projet'!$E$10+1,1))-AVERAGE(OFFSET($H$3,0,0,'Données projet'!$E$10+1,1))</f>
        <v>305.55480846093275</v>
      </c>
      <c r="AO21" s="62">
        <f t="shared" si="36"/>
        <v>179.56041631665812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11.8</v>
      </c>
      <c r="BD21" s="13">
        <f>IF('Données projet'!$A$88&gt;35,BD20+BC21-BL20,IF(A21&lt;'Données projet'!$A$88,$BA$205^A21,IF(A21='Données projet'!$A$88,'Données projet'!$B$88,BD20+BC21-BL20)))</f>
        <v>136.65351361032839</v>
      </c>
      <c r="BE21" s="14">
        <f>BD21*VLOOKUP('Données projet'!$B$11,Paramètres!$A$1:$I$89,3,0)*VLOOKUP('Données projet'!$B$11,Paramètres!$A$1:$I$89,5,0)</f>
        <v>69.496510881668613</v>
      </c>
      <c r="BF21" s="14">
        <f t="shared" si="37"/>
        <v>19.548370996299532</v>
      </c>
      <c r="BG21" s="22">
        <f t="shared" si="7"/>
        <v>155.08650260412784</v>
      </c>
      <c r="BH21" s="62">
        <f t="shared" si="8"/>
        <v>448.41983593746113</v>
      </c>
      <c r="BI21" s="62">
        <f ca="1">AVERAGE(OFFSET($BH$3,0,0,'Données projet'!$E$11+1,1))-AVERAGE(OFFSET($H$3,0,0,'Données projet'!$E$11+1,1))</f>
        <v>40.594438615105105</v>
      </c>
      <c r="BJ21" s="62">
        <f t="shared" si="38"/>
        <v>238.55583229663102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11.8</v>
      </c>
      <c r="BY21" s="13">
        <f>IF('Données projet'!$A$114&gt;35,BY20+BX21-CG20,IF(A21&lt;'Données projet'!$A$114,$BV$205^A21,IF(A21='Données projet'!$A$114,'Données projet'!$B$114,BY20+BX21-CG20)))</f>
        <v>136.65351361032839</v>
      </c>
      <c r="BZ21" s="14">
        <f>BY21*VLOOKUP('Données projet'!$B$12,Paramètres!$A$1:$I$89,3,0)*VLOOKUP('Données projet'!$B$12,Paramètres!$A$1:$I$89,5,0)</f>
        <v>70.136049325364951</v>
      </c>
      <c r="CA21" s="14">
        <f t="shared" si="39"/>
        <v>19.70723959491368</v>
      </c>
      <c r="CB21" s="22">
        <f t="shared" si="10"/>
        <v>156.47706153615198</v>
      </c>
      <c r="CC21" s="62">
        <f t="shared" si="11"/>
        <v>449.81039486948532</v>
      </c>
      <c r="CD21" s="62">
        <f ca="1">AVERAGE(OFFSET($CC$3,0,0,'Données projet'!$E$12+1,1))-AVERAGE(OFFSET($H$3,0,0,'Données projet'!$E$12+1,1))</f>
        <v>41.074766157499596</v>
      </c>
      <c r="CE21" s="62">
        <f t="shared" si="40"/>
        <v>240.92787656206917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13.666666666666666</v>
      </c>
      <c r="N22" s="14">
        <f>IF('Données projet'!$A$36&gt;35,N21+M22-V21,IF(A22&lt;'Données projet'!$A$36,$K$205^A22,IF(A22='Données projet'!$A$36,'Données projet'!$B$36,N21+M22-V21)))</f>
        <v>97.666666666666671</v>
      </c>
      <c r="O22" s="14">
        <f>N22*VLOOKUP('Données projet'!$B$9,Paramètres!$A$1:$I$89,3,0)*VLOOKUP('Données projet'!$B$9,Paramètres!$A$1:$I$89,5,0)</f>
        <v>58.404666666666671</v>
      </c>
      <c r="P22" s="14">
        <f t="shared" si="33"/>
        <v>16.764288254088292</v>
      </c>
      <c r="Q22" s="22">
        <f t="shared" si="2"/>
        <v>130.91926315364825</v>
      </c>
      <c r="R22" s="62">
        <f t="shared" si="0"/>
        <v>424.25259648698159</v>
      </c>
      <c r="S22" s="62">
        <f ca="1">AVERAGE(OFFSET($R$3,0,0,'Données projet'!$E$9+1,1))-AVERAGE(OFFSET($H$3,0,0,'Données projet'!$E$9+1,1))</f>
        <v>150.79185880109804</v>
      </c>
      <c r="T22" s="62">
        <f t="shared" si="34"/>
        <v>231.70571415193996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12.926635101127292</v>
      </c>
      <c r="AC22" s="24">
        <f t="shared" si="3"/>
        <v>12.926635101127292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</v>
      </c>
      <c r="AI22" s="14">
        <f>IF('Données projet'!$A$62&gt;35,AI21+AH22-AQ21,IF(A22&lt;'Données projet'!$A$62,$AF$205^A22,IF(A22='Données projet'!$A$62,'Données projet'!$B$62,AI21+AH22-AQ21)))</f>
        <v>25.250763274498809</v>
      </c>
      <c r="AJ22" s="14">
        <f>AI22*VLOOKUP('Données projet'!$B$10,Paramètres!$A$1:$I$89,3,0)*VLOOKUP('Données projet'!$B$10,Paramètres!$A$1:$I$89,5,0)</f>
        <v>25.604273960341793</v>
      </c>
      <c r="AK22" s="14">
        <f t="shared" si="35"/>
        <v>8.0897846211934414</v>
      </c>
      <c r="AL22" s="22">
        <f t="shared" si="4"/>
        <v>58.683818696173859</v>
      </c>
      <c r="AM22" s="62">
        <f t="shared" si="5"/>
        <v>352.0171520295072</v>
      </c>
      <c r="AN22" s="62">
        <f ca="1">AVERAGE(OFFSET($AM$3,0,0,'Données projet'!$E$10+1,1))-AVERAGE(OFFSET($H$3,0,0,'Données projet'!$E$10+1,1))</f>
        <v>305.55480846093275</v>
      </c>
      <c r="AO22" s="62">
        <f t="shared" si="36"/>
        <v>179.56041631665812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11.8</v>
      </c>
      <c r="BD22" s="13">
        <f>IF('Données projet'!$A$88&gt;35,BD21+BC22-BL21,IF(A22&lt;'Données projet'!$A$88,$BA$205^A22,IF(A22='Données projet'!$A$88,'Données projet'!$B$88,BD21+BC22-BL21)))</f>
        <v>179.58348813863034</v>
      </c>
      <c r="BE22" s="14">
        <f>BD22*VLOOKUP('Données projet'!$B$11,Paramètres!$A$1:$I$89,3,0)*VLOOKUP('Données projet'!$B$11,Paramètres!$A$1:$I$89,5,0)</f>
        <v>91.328978727781845</v>
      </c>
      <c r="BF22" s="14">
        <f t="shared" si="37"/>
        <v>24.885468708354818</v>
      </c>
      <c r="BG22" s="22">
        <f t="shared" si="7"/>
        <v>202.4068292846047</v>
      </c>
      <c r="BH22" s="62">
        <f t="shared" si="8"/>
        <v>495.74016261793804</v>
      </c>
      <c r="BI22" s="62">
        <f ca="1">AVERAGE(OFFSET($BH$3,0,0,'Données projet'!$E$11+1,1))-AVERAGE(OFFSET($H$3,0,0,'Données projet'!$E$11+1,1))</f>
        <v>40.594438615105105</v>
      </c>
      <c r="BJ22" s="62">
        <f t="shared" si="38"/>
        <v>238.55583229663102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11.8</v>
      </c>
      <c r="BY22" s="13">
        <f>IF('Données projet'!$A$114&gt;35,BY21+BX22-CG21,IF(A22&lt;'Données projet'!$A$114,$BV$205^A22,IF(A22='Données projet'!$A$114,'Données projet'!$B$114,BY21+BX22-CG21)))</f>
        <v>179.58348813863034</v>
      </c>
      <c r="BZ22" s="14">
        <f>BY22*VLOOKUP('Données projet'!$B$12,Paramètres!$A$1:$I$89,3,0)*VLOOKUP('Données projet'!$B$12,Paramètres!$A$1:$I$89,5,0)</f>
        <v>92.169429452270634</v>
      </c>
      <c r="CA22" s="14">
        <f t="shared" si="39"/>
        <v>25.087711623649437</v>
      </c>
      <c r="CB22" s="22">
        <f t="shared" si="10"/>
        <v>204.2228540405608</v>
      </c>
      <c r="CC22" s="62">
        <f t="shared" si="11"/>
        <v>497.55618737389409</v>
      </c>
      <c r="CD22" s="62">
        <f ca="1">AVERAGE(OFFSET($CC$3,0,0,'Données projet'!$E$12+1,1))-AVERAGE(OFFSET($H$3,0,0,'Données projet'!$E$12+1,1))</f>
        <v>41.074766157499596</v>
      </c>
      <c r="CE22" s="62">
        <f t="shared" si="40"/>
        <v>240.92787656206917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13.666666666666666</v>
      </c>
      <c r="N23" s="14">
        <f>IF('Données projet'!$A$36&gt;35,N22+M23-V22,IF(A23&lt;'Données projet'!$A$36,$K$205^A23,IF(A23='Données projet'!$A$36,'Données projet'!$B$36,N22+M23-V22)))</f>
        <v>111.33333333333334</v>
      </c>
      <c r="O23" s="14">
        <f>N23*VLOOKUP('Données projet'!$B$9,Paramètres!$A$1:$I$89,3,0)*VLOOKUP('Données projet'!$B$9,Paramètres!$A$1:$I$89,5,0)</f>
        <v>66.577333333333343</v>
      </c>
      <c r="P23" s="14">
        <f t="shared" si="33"/>
        <v>18.821024864454692</v>
      </c>
      <c r="Q23" s="22">
        <f t="shared" si="2"/>
        <v>148.73547386114751</v>
      </c>
      <c r="R23" s="62">
        <f t="shared" si="0"/>
        <v>442.06880719448083</v>
      </c>
      <c r="S23" s="62">
        <f ca="1">AVERAGE(OFFSET($R$3,0,0,'Données projet'!$E$9+1,1))-AVERAGE(OFFSET($H$3,0,0,'Données projet'!$E$9+1,1))</f>
        <v>150.79185880109804</v>
      </c>
      <c r="T23" s="62">
        <f t="shared" si="34"/>
        <v>231.70571415193996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9.1405113379311622</v>
      </c>
      <c r="AC23" s="24">
        <f t="shared" si="3"/>
        <v>9.1405113379311622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2.8</v>
      </c>
      <c r="AI23" s="14">
        <f>IF('Données projet'!$A$62&gt;35,AI22+AH23-AQ22,IF(A23&lt;'Données projet'!$A$62,$AF$205^A23,IF(A23='Données projet'!$A$62,'Données projet'!$B$62,AI22+AH23-AQ22)))</f>
        <v>29.92805077569761</v>
      </c>
      <c r="AJ23" s="14">
        <f>AI23*VLOOKUP('Données projet'!$B$10,Paramètres!$A$1:$I$89,3,0)*VLOOKUP('Données projet'!$B$10,Paramètres!$A$1:$I$89,5,0)</f>
        <v>30.347043486557379</v>
      </c>
      <c r="AK23" s="14">
        <f t="shared" si="35"/>
        <v>9.4004816159909641</v>
      </c>
      <c r="AL23" s="22">
        <f t="shared" si="4"/>
        <v>69.226939553605035</v>
      </c>
      <c r="AM23" s="62">
        <f t="shared" si="5"/>
        <v>362.56027288693838</v>
      </c>
      <c r="AN23" s="62">
        <f ca="1">AVERAGE(OFFSET($AM$3,0,0,'Données projet'!$E$10+1,1))-AVERAGE(OFFSET($H$3,0,0,'Données projet'!$E$10+1,1))</f>
        <v>305.55480846093275</v>
      </c>
      <c r="AO23" s="62">
        <f t="shared" si="36"/>
        <v>179.56041631665812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236</v>
      </c>
      <c r="BB23" s="13">
        <f>VLOOKUP(A23,'Données projet'!$A$87:$I$107,9,0)</f>
        <v>11.8</v>
      </c>
      <c r="BC23" s="13">
        <f t="array" ref="BC23">INDEX(BB:BB,MIN(IF(ISNUMBER(BB23:BB219),ROW(BB23:BB219),"")))</f>
        <v>11.8</v>
      </c>
      <c r="BD23" s="13">
        <f>IF('Données projet'!$A$88&gt;35,BD22+BC23-BL22,IF(A23&lt;'Données projet'!$A$88,$BA$205^A23,IF(A23='Données projet'!$A$88,'Données projet'!$B$88,BD22+BC23-BL22)))</f>
        <v>236</v>
      </c>
      <c r="BE23" s="14">
        <f>BD23*VLOOKUP('Données projet'!$B$11,Paramètres!$A$1:$I$89,3,0)*VLOOKUP('Données projet'!$B$11,Paramètres!$A$1:$I$89,5,0)</f>
        <v>120.02016000000002</v>
      </c>
      <c r="BF23" s="14">
        <f t="shared" si="37"/>
        <v>31.679701237086977</v>
      </c>
      <c r="BG23" s="22">
        <f t="shared" si="7"/>
        <v>264.21059165459314</v>
      </c>
      <c r="BH23" s="62">
        <f t="shared" si="8"/>
        <v>557.5439249879264</v>
      </c>
      <c r="BI23" s="62">
        <f ca="1">AVERAGE(OFFSET($BH$3,0,0,'Données projet'!$E$11+1,1))-AVERAGE(OFFSET($H$3,0,0,'Données projet'!$E$11+1,1))</f>
        <v>40.594438615105105</v>
      </c>
      <c r="BJ23" s="62">
        <f t="shared" si="38"/>
        <v>238.55583229663102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236</v>
      </c>
      <c r="BM23" s="17">
        <f>IF(ISNA(VLOOKUP(A23,'Données projet'!$A$87:$I$107,5,0)),0%,VLOOKUP(A23,'Données projet'!$A$87:$I$107,5,0)*VLOOKUP('Données projet'!$B$11,Paramètres!$A$1:$I$89,7,0))</f>
        <v>0.42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0.3</v>
      </c>
      <c r="BP23" s="23">
        <f>EXP(-LN(2)/35)*BP22+(1-EXP(-LN(2)/35))/(LN(2)/35)*BL23*BM23*VLOOKUP('Données projet'!$B$11,Paramètres!$A$1:$I$89,3,0)*0.475*44/12</f>
        <v>55.725067367258276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33.972675376573513</v>
      </c>
      <c r="BS23" s="24">
        <f t="shared" si="9"/>
        <v>89.697742743831782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236</v>
      </c>
      <c r="BW23" s="13">
        <f>VLOOKUP(A23,'Données projet'!$A$113:$I$133,9,0)</f>
        <v>11.8</v>
      </c>
      <c r="BX23" s="13">
        <f t="array" ref="BX23">INDEX(BW:BW,MIN(IF(ISNUMBER(BW23:BW219),ROW(BW23:BW219),"")))</f>
        <v>11.8</v>
      </c>
      <c r="BY23" s="13">
        <f>IF('Données projet'!$A$114&gt;35,BY22+BX23-CG22,IF(A23&lt;'Données projet'!$A$114,$BV$205^A23,IF(A23='Données projet'!$A$114,'Données projet'!$B$114,BY22+BX23-CG22)))</f>
        <v>236</v>
      </c>
      <c r="BZ23" s="14">
        <f>BY23*VLOOKUP('Données projet'!$B$12,Paramètres!$A$1:$I$89,3,0)*VLOOKUP('Données projet'!$B$12,Paramètres!$A$1:$I$89,5,0)</f>
        <v>121.12464000000001</v>
      </c>
      <c r="CA23" s="14">
        <f t="shared" si="39"/>
        <v>31.937160528247549</v>
      </c>
      <c r="CB23" s="22">
        <f t="shared" si="10"/>
        <v>266.58263592003124</v>
      </c>
      <c r="CC23" s="62">
        <f t="shared" si="11"/>
        <v>559.91596925336455</v>
      </c>
      <c r="CD23" s="62">
        <f ca="1">AVERAGE(OFFSET($CC$3,0,0,'Données projet'!$E$12+1,1))-AVERAGE(OFFSET($H$3,0,0,'Données projet'!$E$12+1,1))</f>
        <v>41.074766157499596</v>
      </c>
      <c r="CE23" s="62">
        <f t="shared" si="40"/>
        <v>240.92787656206917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236</v>
      </c>
      <c r="CH23" s="17">
        <f>IF(ISNA(VLOOKUP(A23,'Données projet'!$A$113:$I$133,5,0)),0%,VLOOKUP(A23,'Données projet'!$A$113:$I$133,5,0)*VLOOKUP('Données projet'!$B$12,Paramètres!$A$1:$I$89,7,0))</f>
        <v>0.42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0.3</v>
      </c>
      <c r="CK23" s="23">
        <f>EXP(-LN(2)/35)*CK22+(1-EXP(-LN(2)/35))/(LN(2)/35)*CG23*CH23*VLOOKUP('Données projet'!$B$12,Paramètres!$A$1:$I$89,3,0)*0.475*44/12</f>
        <v>56.237874735668619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34.28530735856652</v>
      </c>
      <c r="CN23" s="24">
        <f t="shared" si="12"/>
        <v>90.523182094235139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13.666666666666666</v>
      </c>
      <c r="N24" s="14">
        <f>IF('Données projet'!$A$36&gt;35,N23+M24-V23,IF(A24&lt;'Données projet'!$A$36,$K$205^A24,IF(A24='Données projet'!$A$36,'Données projet'!$B$36,N23+M24-V23)))</f>
        <v>125.00000000000001</v>
      </c>
      <c r="O24" s="14">
        <f>N24*VLOOKUP('Données projet'!$B$9,Paramètres!$A$1:$I$89,3,0)*VLOOKUP('Données projet'!$B$9,Paramètres!$A$1:$I$89,5,0)</f>
        <v>74.750000000000014</v>
      </c>
      <c r="P24" s="14">
        <f t="shared" si="33"/>
        <v>20.848505019312213</v>
      </c>
      <c r="Q24" s="22">
        <f t="shared" si="2"/>
        <v>166.50072957530213</v>
      </c>
      <c r="R24" s="62">
        <f t="shared" si="0"/>
        <v>459.83406290863547</v>
      </c>
      <c r="S24" s="62">
        <f ca="1">AVERAGE(OFFSET($R$3,0,0,'Données projet'!$E$9+1,1))-AVERAGE(OFFSET($H$3,0,0,'Données projet'!$E$9+1,1))</f>
        <v>150.79185880109804</v>
      </c>
      <c r="T24" s="62">
        <f t="shared" si="34"/>
        <v>231.70571415193996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6.4633175505636471</v>
      </c>
      <c r="AC24" s="24">
        <f t="shared" si="3"/>
        <v>6.4633175505636471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2.8</v>
      </c>
      <c r="AI24" s="14">
        <f>IF('Données projet'!$A$62&gt;35,AI23+AH24-AQ23,IF(A24&lt;'Données projet'!$A$62,$AF$205^A24,IF(A24='Données projet'!$A$62,'Données projet'!$B$62,AI23+AH24-AQ23)))</f>
        <v>35.471728656111772</v>
      </c>
      <c r="AJ24" s="14">
        <f>AI24*VLOOKUP('Données projet'!$B$10,Paramètres!$A$1:$I$89,3,0)*VLOOKUP('Données projet'!$B$10,Paramètres!$A$1:$I$89,5,0)</f>
        <v>35.968332857297341</v>
      </c>
      <c r="AK24" s="14">
        <f t="shared" si="35"/>
        <v>10.923536132355956</v>
      </c>
      <c r="AL24" s="22">
        <f t="shared" si="4"/>
        <v>81.670005156979485</v>
      </c>
      <c r="AM24" s="62">
        <f t="shared" si="5"/>
        <v>375.00333849031279</v>
      </c>
      <c r="AN24" s="62">
        <f ca="1">AVERAGE(OFFSET($AM$3,0,0,'Données projet'!$E$10+1,1))-AVERAGE(OFFSET($H$3,0,0,'Données projet'!$E$10+1,1))</f>
        <v>305.55480846093275</v>
      </c>
      <c r="AO24" s="62">
        <f t="shared" si="36"/>
        <v>179.56041631665812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>
        <f>BD24*VLOOKUP('Données projet'!$B$11,Paramètres!$A$1:$I$89,3,0)*VLOOKUP('Données projet'!$B$11,Paramètres!$A$1:$I$89,5,0)</f>
        <v>0</v>
      </c>
      <c r="BF24" s="14" t="e">
        <f t="shared" si="37"/>
        <v>#NUM!</v>
      </c>
      <c r="BG24" s="22" t="e">
        <f t="shared" si="7"/>
        <v>#NUM!</v>
      </c>
      <c r="BH24" s="62" t="e">
        <f t="shared" si="8"/>
        <v>#NUM!</v>
      </c>
      <c r="BI24" s="62">
        <f ca="1">AVERAGE(OFFSET($BH$3,0,0,'Données projet'!$E$11+1,1))-AVERAGE(OFFSET($H$3,0,0,'Données projet'!$E$11+1,1))</f>
        <v>40.594438615105105</v>
      </c>
      <c r="BJ24" s="62">
        <f t="shared" si="38"/>
        <v>238.55583229663102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54.632332785121307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24.022309133824379</v>
      </c>
      <c r="BS24" s="24">
        <f t="shared" si="9"/>
        <v>78.654641918945686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>
        <f>BY24*VLOOKUP('Données projet'!$B$12,Paramètres!$A$1:$I$89,3,0)*VLOOKUP('Données projet'!$B$12,Paramètres!$A$1:$I$89,5,0)</f>
        <v>0</v>
      </c>
      <c r="CA24" s="14" t="e">
        <f t="shared" si="39"/>
        <v>#NUM!</v>
      </c>
      <c r="CB24" s="22" t="e">
        <f t="shared" si="10"/>
        <v>#NUM!</v>
      </c>
      <c r="CC24" s="62" t="e">
        <f t="shared" si="11"/>
        <v>#NUM!</v>
      </c>
      <c r="CD24" s="62">
        <f ca="1">AVERAGE(OFFSET($CC$3,0,0,'Données projet'!$E$12+1,1))-AVERAGE(OFFSET($H$3,0,0,'Données projet'!$E$12+1,1))</f>
        <v>41.074766157499596</v>
      </c>
      <c r="CE24" s="62">
        <f t="shared" si="40"/>
        <v>240.92787656206917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55.13508431381873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24.243373328307424</v>
      </c>
      <c r="CN24" s="24">
        <f t="shared" si="12"/>
        <v>79.378457642126151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13.666666666666666</v>
      </c>
      <c r="N25" s="14">
        <f>IF('Données projet'!$A$36&gt;35,N24+M25-V24,IF(A25&lt;'Données projet'!$A$36,$K$205^A25,IF(A25='Données projet'!$A$36,'Données projet'!$B$36,N24+M25-V24)))</f>
        <v>138.66666666666669</v>
      </c>
      <c r="O25" s="14">
        <f>N25*VLOOKUP('Données projet'!$B$9,Paramètres!$A$1:$I$89,3,0)*VLOOKUP('Données projet'!$B$9,Paramètres!$A$1:$I$89,5,0)</f>
        <v>82.922666666666686</v>
      </c>
      <c r="P25" s="14">
        <f t="shared" si="33"/>
        <v>22.850292162919715</v>
      </c>
      <c r="Q25" s="22">
        <f t="shared" si="2"/>
        <v>184.22123662819629</v>
      </c>
      <c r="R25" s="62">
        <f t="shared" si="0"/>
        <v>477.55456996152964</v>
      </c>
      <c r="S25" s="62">
        <f ca="1">AVERAGE(OFFSET($R$3,0,0,'Données projet'!$E$9+1,1))-AVERAGE(OFFSET($H$3,0,0,'Données projet'!$E$9+1,1))</f>
        <v>150.79185880109804</v>
      </c>
      <c r="T25" s="62">
        <f t="shared" si="34"/>
        <v>231.70571415193996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4.5702556689655811</v>
      </c>
      <c r="AC25" s="24">
        <f t="shared" si="3"/>
        <v>4.5702556689655811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2.8</v>
      </c>
      <c r="AI25" s="14">
        <f>IF('Données projet'!$A$62&gt;35,AI24+AH25-AQ24,IF(A25&lt;'Données projet'!$A$62,$AF$205^A25,IF(A25='Données projet'!$A$62,'Données projet'!$B$62,AI24+AH25-AQ24)))</f>
        <v>42.042281446359659</v>
      </c>
      <c r="AJ25" s="14">
        <f>AI25*VLOOKUP('Données projet'!$B$10,Paramètres!$A$1:$I$89,3,0)*VLOOKUP('Données projet'!$B$10,Paramètres!$A$1:$I$89,5,0)</f>
        <v>42.630873386608698</v>
      </c>
      <c r="AK25" s="14">
        <f t="shared" si="35"/>
        <v>12.693354075806836</v>
      </c>
      <c r="AL25" s="22">
        <f t="shared" si="4"/>
        <v>96.356362830373712</v>
      </c>
      <c r="AM25" s="62">
        <f t="shared" si="5"/>
        <v>389.68969616370703</v>
      </c>
      <c r="AN25" s="62">
        <f ca="1">AVERAGE(OFFSET($AM$3,0,0,'Données projet'!$E$10+1,1))-AVERAGE(OFFSET($H$3,0,0,'Données projet'!$E$10+1,1))</f>
        <v>305.55480846093275</v>
      </c>
      <c r="AO25" s="62">
        <f t="shared" si="36"/>
        <v>179.56041631665812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>
        <f>BD25*VLOOKUP('Données projet'!$B$11,Paramètres!$A$1:$I$89,3,0)*VLOOKUP('Données projet'!$B$11,Paramètres!$A$1:$I$89,5,0)</f>
        <v>0</v>
      </c>
      <c r="BF25" s="14" t="e">
        <f t="shared" si="37"/>
        <v>#NUM!</v>
      </c>
      <c r="BG25" s="22" t="e">
        <f t="shared" si="7"/>
        <v>#NUM!</v>
      </c>
      <c r="BH25" s="62" t="e">
        <f t="shared" si="8"/>
        <v>#NUM!</v>
      </c>
      <c r="BI25" s="62">
        <f ca="1">AVERAGE(OFFSET($BH$3,0,0,'Données projet'!$E$11+1,1))-AVERAGE(OFFSET($H$3,0,0,'Données projet'!$E$11+1,1))</f>
        <v>40.594438615105105</v>
      </c>
      <c r="BJ25" s="62">
        <f t="shared" si="38"/>
        <v>238.55583229663102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53.561026061637762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16.98633768828676</v>
      </c>
      <c r="BS25" s="24">
        <f t="shared" si="9"/>
        <v>70.547363749924529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>
        <f>BY25*VLOOKUP('Données projet'!$B$12,Paramètres!$A$1:$I$89,3,0)*VLOOKUP('Données projet'!$B$12,Paramètres!$A$1:$I$89,5,0)</f>
        <v>0</v>
      </c>
      <c r="CA25" s="14" t="e">
        <f t="shared" si="39"/>
        <v>#NUM!</v>
      </c>
      <c r="CB25" s="22" t="e">
        <f t="shared" si="10"/>
        <v>#NUM!</v>
      </c>
      <c r="CC25" s="62" t="e">
        <f t="shared" si="11"/>
        <v>#NUM!</v>
      </c>
      <c r="CD25" s="62">
        <f ca="1">AVERAGE(OFFSET($CC$3,0,0,'Données projet'!$E$12+1,1))-AVERAGE(OFFSET($H$3,0,0,'Données projet'!$E$12+1,1))</f>
        <v>41.074766157499596</v>
      </c>
      <c r="CE25" s="62">
        <f t="shared" si="40"/>
        <v>240.92787656206917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54.053918939505579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17.14265367928326</v>
      </c>
      <c r="CN25" s="24">
        <f t="shared" si="12"/>
        <v>71.196572618788835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13.666666666666666</v>
      </c>
      <c r="N26" s="14">
        <f>IF('Données projet'!$A$36&gt;35,N25+M26-V25,IF(A26&lt;'Données projet'!$A$36,$K$205^A26,IF(A26='Données projet'!$A$36,'Données projet'!$B$36,N25+M26-V25)))</f>
        <v>152.33333333333334</v>
      </c>
      <c r="O26" s="14">
        <f>N26*VLOOKUP('Données projet'!$B$9,Paramètres!$A$1:$I$89,3,0)*VLOOKUP('Données projet'!$B$9,Paramètres!$A$1:$I$89,5,0)</f>
        <v>91.095333333333343</v>
      </c>
      <c r="P26" s="14">
        <f t="shared" si="33"/>
        <v>24.829206746042935</v>
      </c>
      <c r="Q26" s="22">
        <f t="shared" si="2"/>
        <v>201.90190730491364</v>
      </c>
      <c r="R26" s="62">
        <f t="shared" si="0"/>
        <v>495.23524063824698</v>
      </c>
      <c r="S26" s="62">
        <f ca="1">AVERAGE(OFFSET($R$3,0,0,'Données projet'!$E$9+1,1))-AVERAGE(OFFSET($H$3,0,0,'Données projet'!$E$9+1,1))</f>
        <v>150.79185880109804</v>
      </c>
      <c r="T26" s="62">
        <f t="shared" si="34"/>
        <v>231.70571415193996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3.2316587752818235</v>
      </c>
      <c r="AC26" s="24">
        <f t="shared" si="3"/>
        <v>3.2316587752818235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2.8</v>
      </c>
      <c r="AI26" s="14">
        <f>IF('Données projet'!$A$62&gt;35,AI25+AH26-AQ25,IF(A26&lt;'Données projet'!$A$62,$AF$205^A26,IF(A26='Données projet'!$A$62,'Données projet'!$B$62,AI25+AH26-AQ25)))</f>
        <v>49.82992078990118</v>
      </c>
      <c r="AJ26" s="14">
        <f>AI26*VLOOKUP('Données projet'!$B$10,Paramètres!$A$1:$I$89,3,0)*VLOOKUP('Données projet'!$B$10,Paramètres!$A$1:$I$89,5,0)</f>
        <v>50.527539680959798</v>
      </c>
      <c r="AK26" s="14">
        <f t="shared" si="35"/>
        <v>14.749915754528818</v>
      </c>
      <c r="AL26" s="22">
        <f t="shared" si="4"/>
        <v>113.69156821680933</v>
      </c>
      <c r="AM26" s="62">
        <f t="shared" si="5"/>
        <v>407.02490155014266</v>
      </c>
      <c r="AN26" s="62">
        <f ca="1">AVERAGE(OFFSET($AM$3,0,0,'Données projet'!$E$10+1,1))-AVERAGE(OFFSET($H$3,0,0,'Données projet'!$E$10+1,1))</f>
        <v>305.55480846093275</v>
      </c>
      <c r="AO26" s="62">
        <f t="shared" si="36"/>
        <v>179.56041631665812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>
        <f>BD26*VLOOKUP('Données projet'!$B$11,Paramètres!$A$1:$I$89,3,0)*VLOOKUP('Données projet'!$B$11,Paramètres!$A$1:$I$89,5,0)</f>
        <v>0</v>
      </c>
      <c r="BF26" s="14" t="e">
        <f t="shared" si="37"/>
        <v>#NUM!</v>
      </c>
      <c r="BG26" s="22" t="e">
        <f t="shared" si="7"/>
        <v>#NUM!</v>
      </c>
      <c r="BH26" s="62" t="e">
        <f t="shared" si="8"/>
        <v>#NUM!</v>
      </c>
      <c r="BI26" s="62">
        <f ca="1">AVERAGE(OFFSET($BH$3,0,0,'Données projet'!$E$11+1,1))-AVERAGE(OFFSET($H$3,0,0,'Données projet'!$E$11+1,1))</f>
        <v>40.594438615105105</v>
      </c>
      <c r="BJ26" s="62">
        <f t="shared" si="38"/>
        <v>238.55583229663102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52.510727009569145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12.011154566912193</v>
      </c>
      <c r="BS26" s="24">
        <f t="shared" si="9"/>
        <v>64.521881576481334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>
        <f>BY26*VLOOKUP('Données projet'!$B$12,Paramètres!$A$1:$I$89,3,0)*VLOOKUP('Données projet'!$B$12,Paramètres!$A$1:$I$89,5,0)</f>
        <v>0</v>
      </c>
      <c r="CA26" s="14" t="e">
        <f t="shared" si="39"/>
        <v>#NUM!</v>
      </c>
      <c r="CB26" s="22" t="e">
        <f t="shared" si="10"/>
        <v>#NUM!</v>
      </c>
      <c r="CC26" s="62" t="e">
        <f t="shared" si="11"/>
        <v>#NUM!</v>
      </c>
      <c r="CD26" s="62">
        <f ca="1">AVERAGE(OFFSET($CC$3,0,0,'Données projet'!$E$12+1,1))-AVERAGE(OFFSET($H$3,0,0,'Données projet'!$E$12+1,1))</f>
        <v>41.074766157499596</v>
      </c>
      <c r="CE26" s="62">
        <f t="shared" si="40"/>
        <v>240.92787656206917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52.993954558736945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12.121686664153712</v>
      </c>
      <c r="CN26" s="24">
        <f t="shared" si="12"/>
        <v>65.115641222890659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>
        <f>VLOOKUP(A27,'Données projet'!$A$35:$I$55,2,0)</f>
        <v>166</v>
      </c>
      <c r="L27" s="13">
        <f>VLOOKUP(A27,'Données projet'!$A$35:$I$55,9,0)</f>
        <v>13.666666666666666</v>
      </c>
      <c r="M27" s="13">
        <f t="array" ref="M27">INDEX(L:L,MIN(IF(ISNUMBER(L27:L223),ROW(L27:L223),"")))</f>
        <v>13.666666666666666</v>
      </c>
      <c r="N27" s="14">
        <f>IF('Données projet'!$A$36&gt;35,N26+M27-V26,IF(A27&lt;'Données projet'!$A$36,$K$205^A27,IF(A27='Données projet'!$A$36,'Données projet'!$B$36,N26+M27-V26)))</f>
        <v>166</v>
      </c>
      <c r="O27" s="14">
        <f>N27*VLOOKUP('Données projet'!$B$9,Paramètres!$A$1:$I$89,3,0)*VLOOKUP('Données projet'!$B$9,Paramètres!$A$1:$I$89,5,0)</f>
        <v>99.268000000000001</v>
      </c>
      <c r="P27" s="14">
        <f t="shared" si="33"/>
        <v>26.78753414535981</v>
      </c>
      <c r="Q27" s="22">
        <f t="shared" si="2"/>
        <v>219.54672196983498</v>
      </c>
      <c r="R27" s="62">
        <f t="shared" si="0"/>
        <v>512.88005530316832</v>
      </c>
      <c r="S27" s="62">
        <f ca="1">AVERAGE(OFFSET($R$3,0,0,'Données projet'!$E$9+1,1))-AVERAGE(OFFSET($H$3,0,0,'Données projet'!$E$9+1,1))</f>
        <v>150.79185880109804</v>
      </c>
      <c r="T27" s="62">
        <f t="shared" si="34"/>
        <v>231.70571415193996</v>
      </c>
      <c r="U27" s="16">
        <f>IF(ISNA(VLOOKUP(A27,'Données projet'!$A$35:$I$55,3,0)),0,VLOOKUP(A27,'Données projet'!$A$35:$I$55,3,0))</f>
        <v>2</v>
      </c>
      <c r="V27" s="16">
        <f>IF(ISNA(VLOOKUP(A27,'Données projet'!$A$35:$I$55,4,0)),0,VLOOKUP(A27,'Données projet'!$A$35:$I$55,4,0))</f>
        <v>38</v>
      </c>
      <c r="W27" s="17">
        <f>IF(ISNA(VLOOKUP(A27,'Données projet'!$A$35:$I$55,5,0)),0%,VLOOKUP(A27,'Données projet'!$A$35:$I$55,5,0)*VLOOKUP('Données projet'!$B$9,Paramètres!$A$1:$I$89,7,0))</f>
        <v>9.0000000000000011E-2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0.8</v>
      </c>
      <c r="Z27" s="23">
        <f>EXP(-LN(2)/35)*Z26+(1-EXP(-LN(2)/35))/(LN(2)/35)*V27*W27*VLOOKUP('Données projet'!$B$9,Paramètres!$A$1:$I$89,3,0)*0.475*44/12</f>
        <v>2.7130365616867302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22.868205217675918</v>
      </c>
      <c r="AC27" s="24">
        <f t="shared" si="3"/>
        <v>25.581241779362649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2.8</v>
      </c>
      <c r="AI27" s="14">
        <f>IF('Données projet'!$A$62&gt;35,AI26+AH27-AQ26,IF(A27&lt;'Données projet'!$A$62,$AF$205^A27,IF(A27='Données projet'!$A$62,'Données projet'!$B$62,AI26+AH27-AQ26)))</f>
        <v>59.060091900479499</v>
      </c>
      <c r="AJ27" s="14">
        <f>AI27*VLOOKUP('Données projet'!$B$10,Paramètres!$A$1:$I$89,3,0)*VLOOKUP('Données projet'!$B$10,Paramètres!$A$1:$I$89,5,0)</f>
        <v>59.886933187086214</v>
      </c>
      <c r="AK27" s="14">
        <f t="shared" si="35"/>
        <v>17.139679037265701</v>
      </c>
      <c r="AL27" s="22">
        <f t="shared" si="4"/>
        <v>134.15468295741289</v>
      </c>
      <c r="AM27" s="62">
        <f t="shared" si="5"/>
        <v>427.4880162907462</v>
      </c>
      <c r="AN27" s="62">
        <f ca="1">AVERAGE(OFFSET($AM$3,0,0,'Données projet'!$E$10+1,1))-AVERAGE(OFFSET($H$3,0,0,'Données projet'!$E$10+1,1))</f>
        <v>305.55480846093275</v>
      </c>
      <c r="AO27" s="62">
        <f t="shared" si="36"/>
        <v>179.56041631665812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>
        <f>BD27*VLOOKUP('Données projet'!$B$11,Paramètres!$A$1:$I$89,3,0)*VLOOKUP('Données projet'!$B$11,Paramètres!$A$1:$I$89,5,0)</f>
        <v>0</v>
      </c>
      <c r="BF27" s="14" t="e">
        <f t="shared" si="37"/>
        <v>#NUM!</v>
      </c>
      <c r="BG27" s="22" t="e">
        <f t="shared" si="7"/>
        <v>#NUM!</v>
      </c>
      <c r="BH27" s="62" t="e">
        <f t="shared" si="8"/>
        <v>#NUM!</v>
      </c>
      <c r="BI27" s="62">
        <f ca="1">AVERAGE(OFFSET($BH$3,0,0,'Données projet'!$E$11+1,1))-AVERAGE(OFFSET($H$3,0,0,'Données projet'!$E$11+1,1))</f>
        <v>40.594438615105105</v>
      </c>
      <c r="BJ27" s="62">
        <f t="shared" si="38"/>
        <v>238.55583229663102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51.481023681292427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8.4931688441433817</v>
      </c>
      <c r="BS27" s="24">
        <f t="shared" si="9"/>
        <v>59.974192525435811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>
        <f>BY27*VLOOKUP('Données projet'!$B$12,Paramètres!$A$1:$I$89,3,0)*VLOOKUP('Données projet'!$B$12,Paramètres!$A$1:$I$89,5,0)</f>
        <v>0</v>
      </c>
      <c r="CA27" s="14" t="e">
        <f t="shared" si="39"/>
        <v>#NUM!</v>
      </c>
      <c r="CB27" s="22" t="e">
        <f t="shared" si="10"/>
        <v>#NUM!</v>
      </c>
      <c r="CC27" s="62" t="e">
        <f t="shared" si="11"/>
        <v>#NUM!</v>
      </c>
      <c r="CD27" s="62">
        <f ca="1">AVERAGE(OFFSET($CC$3,0,0,'Données projet'!$E$12+1,1))-AVERAGE(OFFSET($H$3,0,0,'Données projet'!$E$12+1,1))</f>
        <v>41.074766157499596</v>
      </c>
      <c r="CE27" s="62">
        <f t="shared" si="40"/>
        <v>240.92787656206917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51.954775432960751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8.57132683964163</v>
      </c>
      <c r="CN27" s="24">
        <f t="shared" si="12"/>
        <v>60.52610227260238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12.833333333333334</v>
      </c>
      <c r="N28" s="14">
        <f>IF('Données projet'!$A$36&gt;35,N27+M28-V27,IF(A28&lt;'Données projet'!$A$36,$K$205^A28,IF(A28='Données projet'!$A$36,'Données projet'!$B$36,N27+M28-V27)))</f>
        <v>140.83333333333334</v>
      </c>
      <c r="O28" s="14">
        <f>N28*VLOOKUP('Données projet'!$B$9,Paramètres!$A$1:$I$89,3,0)*VLOOKUP('Données projet'!$B$9,Paramètres!$A$1:$I$89,5,0)</f>
        <v>84.218333333333348</v>
      </c>
      <c r="P28" s="14">
        <f t="shared" si="33"/>
        <v>23.165483776806148</v>
      </c>
      <c r="Q28" s="22">
        <f t="shared" si="2"/>
        <v>187.0268148001596</v>
      </c>
      <c r="R28" s="62">
        <f t="shared" si="0"/>
        <v>480.36014813349288</v>
      </c>
      <c r="S28" s="62">
        <f ca="1">AVERAGE(OFFSET($R$3,0,0,'Données projet'!$E$9+1,1))-AVERAGE(OFFSET($H$3,0,0,'Données projet'!$E$9+1,1))</f>
        <v>150.79185880109804</v>
      </c>
      <c r="T28" s="62">
        <f t="shared" si="34"/>
        <v>231.70571415193996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2.6598355695009595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16.17026298298423</v>
      </c>
      <c r="AC28" s="24">
        <f t="shared" si="3"/>
        <v>18.83009855248519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70</v>
      </c>
      <c r="AG28" s="13">
        <f>VLOOKUP(A28,'Données projet'!$A$61:$I$81,9,0)</f>
        <v>2.8</v>
      </c>
      <c r="AH28" s="13">
        <f t="array" ref="AH28">INDEX(AG:AG,MIN(IF(ISNUMBER(AG28:AG224),ROW(AG28:AG224),"")))</f>
        <v>2.8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70.98</v>
      </c>
      <c r="AK28" s="14">
        <f t="shared" si="35"/>
        <v>19.916628839746853</v>
      </c>
      <c r="AL28" s="22">
        <f t="shared" si="4"/>
        <v>158.31162856255909</v>
      </c>
      <c r="AM28" s="62">
        <f t="shared" si="5"/>
        <v>451.64496189589238</v>
      </c>
      <c r="AN28" s="62">
        <f ca="1">AVERAGE(OFFSET($AM$3,0,0,'Données projet'!$E$10+1,1))-AVERAGE(OFFSET($H$3,0,0,'Données projet'!$E$10+1,1))</f>
        <v>305.55480846093275</v>
      </c>
      <c r="AO28" s="62">
        <f t="shared" si="36"/>
        <v>179.56041631665812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>
        <f>BD28*VLOOKUP('Données projet'!$B$11,Paramètres!$A$1:$I$89,3,0)*VLOOKUP('Données projet'!$B$11,Paramètres!$A$1:$I$89,5,0)</f>
        <v>0</v>
      </c>
      <c r="BF28" s="14" t="e">
        <f t="shared" si="37"/>
        <v>#NUM!</v>
      </c>
      <c r="BG28" s="22" t="e">
        <f t="shared" si="7"/>
        <v>#NUM!</v>
      </c>
      <c r="BH28" s="62" t="e">
        <f t="shared" si="8"/>
        <v>#NUM!</v>
      </c>
      <c r="BI28" s="62">
        <f ca="1">AVERAGE(OFFSET($BH$3,0,0,'Données projet'!$E$11+1,1))-AVERAGE(OFFSET($H$3,0,0,'Données projet'!$E$11+1,1))</f>
        <v>40.594438615105105</v>
      </c>
      <c r="BJ28" s="62">
        <f t="shared" si="38"/>
        <v>238.55583229663102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50.471512207226205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6.0055772834560974</v>
      </c>
      <c r="BS28" s="24">
        <f t="shared" si="9"/>
        <v>56.477089490682303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>
        <f>BY28*VLOOKUP('Données projet'!$B$12,Paramètres!$A$1:$I$89,3,0)*VLOOKUP('Données projet'!$B$12,Paramètres!$A$1:$I$89,5,0)</f>
        <v>0</v>
      </c>
      <c r="CA28" s="14" t="e">
        <f t="shared" si="39"/>
        <v>#NUM!</v>
      </c>
      <c r="CB28" s="22" t="e">
        <f t="shared" si="10"/>
        <v>#NUM!</v>
      </c>
      <c r="CC28" s="62" t="e">
        <f t="shared" si="11"/>
        <v>#NUM!</v>
      </c>
      <c r="CD28" s="62">
        <f ca="1">AVERAGE(OFFSET($CC$3,0,0,'Données projet'!$E$12+1,1))-AVERAGE(OFFSET($H$3,0,0,'Données projet'!$E$12+1,1))</f>
        <v>41.074766157499596</v>
      </c>
      <c r="CE28" s="62">
        <f t="shared" si="40"/>
        <v>240.92787656206917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50.935973976004348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6.060843332076856</v>
      </c>
      <c r="CN28" s="24">
        <f t="shared" si="12"/>
        <v>56.996817308081205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12.833333333333334</v>
      </c>
      <c r="N29" s="14">
        <f>IF('Données projet'!$A$36&gt;35,N28+M29-V28,IF(A29&lt;'Données projet'!$A$36,$K$205^A29,IF(A29='Données projet'!$A$36,'Données projet'!$B$36,N28+M29-V28)))</f>
        <v>153.66666666666669</v>
      </c>
      <c r="O29" s="14">
        <f>N29*VLOOKUP('Données projet'!$B$9,Paramètres!$A$1:$I$89,3,0)*VLOOKUP('Données projet'!$B$9,Paramètres!$A$1:$I$89,5,0)</f>
        <v>91.892666666666685</v>
      </c>
      <c r="P29" s="14">
        <f t="shared" si="33"/>
        <v>25.021136263266175</v>
      </c>
      <c r="Q29" s="22">
        <f t="shared" si="2"/>
        <v>203.62487343629971</v>
      </c>
      <c r="R29" s="62">
        <f t="shared" si="0"/>
        <v>496.95820676963302</v>
      </c>
      <c r="S29" s="62">
        <f ca="1">AVERAGE(OFFSET($R$3,0,0,'Données projet'!$E$9+1,1))-AVERAGE(OFFSET($H$3,0,0,'Données projet'!$E$9+1,1))</f>
        <v>150.79185880109804</v>
      </c>
      <c r="T29" s="62">
        <f t="shared" si="34"/>
        <v>231.70571415193996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2.6076778163225502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11.434102608837961</v>
      </c>
      <c r="AC29" s="24">
        <f t="shared" si="3"/>
        <v>14.041780425160511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69</v>
      </c>
      <c r="AJ29" s="14">
        <f>AI29*VLOOKUP('Données projet'!$B$10,Paramètres!$A$1:$I$89,3,0)*VLOOKUP('Données projet'!$B$10,Paramètres!$A$1:$I$89,5,0)</f>
        <v>69.966000000000008</v>
      </c>
      <c r="AK29" s="14">
        <f t="shared" si="35"/>
        <v>19.665013934342461</v>
      </c>
      <c r="AL29" s="22">
        <f t="shared" si="4"/>
        <v>156.10734926897979</v>
      </c>
      <c r="AM29" s="62">
        <f t="shared" si="5"/>
        <v>449.44068260231313</v>
      </c>
      <c r="AN29" s="62">
        <f ca="1">AVERAGE(OFFSET($AM$3,0,0,'Données projet'!$E$10+1,1))-AVERAGE(OFFSET($H$3,0,0,'Données projet'!$E$10+1,1))</f>
        <v>305.55480846093275</v>
      </c>
      <c r="AO29" s="62">
        <f t="shared" si="36"/>
        <v>179.56041631665812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>
        <f>BD29*VLOOKUP('Données projet'!$B$11,Paramètres!$A$1:$I$89,3,0)*VLOOKUP('Données projet'!$B$11,Paramètres!$A$1:$I$89,5,0)</f>
        <v>0</v>
      </c>
      <c r="BF29" s="14" t="e">
        <f t="shared" si="37"/>
        <v>#NUM!</v>
      </c>
      <c r="BG29" s="22" t="e">
        <f t="shared" si="7"/>
        <v>#NUM!</v>
      </c>
      <c r="BH29" s="62" t="e">
        <f t="shared" si="8"/>
        <v>#NUM!</v>
      </c>
      <c r="BI29" s="62">
        <f ca="1">AVERAGE(OFFSET($BH$3,0,0,'Données projet'!$E$11+1,1))-AVERAGE(OFFSET($H$3,0,0,'Données projet'!$E$11+1,1))</f>
        <v>40.594438615105105</v>
      </c>
      <c r="BJ29" s="62">
        <f t="shared" si="38"/>
        <v>238.55583229663102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49.481796637425219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4.2465844220716917</v>
      </c>
      <c r="BS29" s="24">
        <f t="shared" si="9"/>
        <v>53.728381059496911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>
        <f>BY29*VLOOKUP('Données projet'!$B$12,Paramètres!$A$1:$I$89,3,0)*VLOOKUP('Données projet'!$B$12,Paramètres!$A$1:$I$89,5,0)</f>
        <v>0</v>
      </c>
      <c r="CA29" s="14" t="e">
        <f t="shared" si="39"/>
        <v>#NUM!</v>
      </c>
      <c r="CB29" s="22" t="e">
        <f t="shared" si="10"/>
        <v>#NUM!</v>
      </c>
      <c r="CC29" s="62" t="e">
        <f t="shared" si="11"/>
        <v>#NUM!</v>
      </c>
      <c r="CD29" s="62">
        <f ca="1">AVERAGE(OFFSET($CC$3,0,0,'Données projet'!$E$12+1,1))-AVERAGE(OFFSET($H$3,0,0,'Données projet'!$E$12+1,1))</f>
        <v>41.074766157499596</v>
      </c>
      <c r="CE29" s="62">
        <f t="shared" si="40"/>
        <v>240.92787656206917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49.937150594211332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4.285663419820815</v>
      </c>
      <c r="CN29" s="24">
        <f t="shared" si="12"/>
        <v>54.222814014032146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12.833333333333334</v>
      </c>
      <c r="N30" s="14">
        <f>IF('Données projet'!$A$36&gt;35,N29+M30-V29,IF(A30&lt;'Données projet'!$A$36,$K$205^A30,IF(A30='Données projet'!$A$36,'Données projet'!$B$36,N29+M30-V29)))</f>
        <v>166.50000000000003</v>
      </c>
      <c r="O30" s="14">
        <f>N30*VLOOKUP('Données projet'!$B$9,Paramètres!$A$1:$I$89,3,0)*VLOOKUP('Données projet'!$B$9,Paramètres!$A$1:$I$89,5,0)</f>
        <v>99.567000000000021</v>
      </c>
      <c r="P30" s="14">
        <f t="shared" si="33"/>
        <v>26.858815231289142</v>
      </c>
      <c r="Q30" s="22">
        <f t="shared" si="2"/>
        <v>220.19162819449528</v>
      </c>
      <c r="R30" s="62">
        <f t="shared" si="0"/>
        <v>513.52496152782862</v>
      </c>
      <c r="S30" s="62">
        <f ca="1">AVERAGE(OFFSET($R$3,0,0,'Données projet'!$E$9+1,1))-AVERAGE(OFFSET($H$3,0,0,'Données projet'!$E$9+1,1))</f>
        <v>150.79185880109804</v>
      </c>
      <c r="T30" s="62">
        <f t="shared" si="34"/>
        <v>231.70571415193996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2.5565428448708816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8.0851314914921169</v>
      </c>
      <c r="AC30" s="24">
        <f t="shared" si="3"/>
        <v>10.641674336362998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76</v>
      </c>
      <c r="AJ30" s="14">
        <f>AI30*VLOOKUP('Données projet'!$B$10,Paramètres!$A$1:$I$89,3,0)*VLOOKUP('Données projet'!$B$10,Paramètres!$A$1:$I$89,5,0)</f>
        <v>77.064000000000007</v>
      </c>
      <c r="AK30" s="14">
        <f t="shared" si="35"/>
        <v>21.417762186678065</v>
      </c>
      <c r="AL30" s="22">
        <f t="shared" si="4"/>
        <v>171.52240247513097</v>
      </c>
      <c r="AM30" s="62">
        <f t="shared" si="5"/>
        <v>464.85573580846426</v>
      </c>
      <c r="AN30" s="62">
        <f ca="1">AVERAGE(OFFSET($AM$3,0,0,'Données projet'!$E$10+1,1))-AVERAGE(OFFSET($H$3,0,0,'Données projet'!$E$10+1,1))</f>
        <v>305.55480846093275</v>
      </c>
      <c r="AO30" s="62">
        <f t="shared" si="36"/>
        <v>179.56041631665812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>
        <f>BD30*VLOOKUP('Données projet'!$B$11,Paramètres!$A$1:$I$89,3,0)*VLOOKUP('Données projet'!$B$11,Paramètres!$A$1:$I$89,5,0)</f>
        <v>0</v>
      </c>
      <c r="BF30" s="14" t="e">
        <f t="shared" si="37"/>
        <v>#NUM!</v>
      </c>
      <c r="BG30" s="22" t="e">
        <f t="shared" si="7"/>
        <v>#NUM!</v>
      </c>
      <c r="BH30" s="62" t="e">
        <f t="shared" si="8"/>
        <v>#NUM!</v>
      </c>
      <c r="BI30" s="62">
        <f ca="1">AVERAGE(OFFSET($BH$3,0,0,'Données projet'!$E$11+1,1))-AVERAGE(OFFSET($H$3,0,0,'Données projet'!$E$11+1,1))</f>
        <v>40.594438615105105</v>
      </c>
      <c r="BJ30" s="62">
        <f t="shared" si="38"/>
        <v>238.55583229663102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48.511488786281141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3.0027886417280492</v>
      </c>
      <c r="BS30" s="24">
        <f t="shared" si="9"/>
        <v>51.514277428009194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>
        <f>BY30*VLOOKUP('Données projet'!$B$12,Paramètres!$A$1:$I$89,3,0)*VLOOKUP('Données projet'!$B$12,Paramètres!$A$1:$I$89,5,0)</f>
        <v>0</v>
      </c>
      <c r="CA30" s="14" t="e">
        <f t="shared" si="39"/>
        <v>#NUM!</v>
      </c>
      <c r="CB30" s="22" t="e">
        <f t="shared" si="10"/>
        <v>#NUM!</v>
      </c>
      <c r="CC30" s="62" t="e">
        <f t="shared" si="11"/>
        <v>#NUM!</v>
      </c>
      <c r="CD30" s="62">
        <f ca="1">AVERAGE(OFFSET($CC$3,0,0,'Données projet'!$E$12+1,1))-AVERAGE(OFFSET($H$3,0,0,'Données projet'!$E$12+1,1))</f>
        <v>41.074766157499596</v>
      </c>
      <c r="CE30" s="62">
        <f t="shared" si="40"/>
        <v>240.92787656206917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48.957913529713167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3.030421666038428</v>
      </c>
      <c r="CN30" s="24">
        <f t="shared" si="12"/>
        <v>51.988335195751596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12.833333333333334</v>
      </c>
      <c r="N31" s="14">
        <f>IF('Données projet'!$A$36&gt;35,N30+M31-V30,IF(A31&lt;'Données projet'!$A$36,$K$205^A31,IF(A31='Données projet'!$A$36,'Données projet'!$B$36,N30+M31-V30)))</f>
        <v>179.33333333333337</v>
      </c>
      <c r="O31" s="14">
        <f>N31*VLOOKUP('Données projet'!$B$9,Paramètres!$A$1:$I$89,3,0)*VLOOKUP('Données projet'!$B$9,Paramètres!$A$1:$I$89,5,0)</f>
        <v>107.24133333333336</v>
      </c>
      <c r="P31" s="14">
        <f t="shared" si="33"/>
        <v>28.680063538962813</v>
      </c>
      <c r="Q31" s="22">
        <f t="shared" si="2"/>
        <v>236.72976621924911</v>
      </c>
      <c r="R31" s="62">
        <f t="shared" si="0"/>
        <v>530.06309955258246</v>
      </c>
      <c r="S31" s="62">
        <f ca="1">AVERAGE(OFFSET($R$3,0,0,'Données projet'!$E$9+1,1))-AVERAGE(OFFSET($H$3,0,0,'Données projet'!$E$9+1,1))</f>
        <v>150.79185880109804</v>
      </c>
      <c r="T31" s="62">
        <f t="shared" si="34"/>
        <v>231.70571415193996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2.5064105990201271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5.7170513044189812</v>
      </c>
      <c r="AC31" s="24">
        <f t="shared" si="3"/>
        <v>8.2234619034391088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83</v>
      </c>
      <c r="AJ31" s="14">
        <f>AI31*VLOOKUP('Données projet'!$B$10,Paramètres!$A$1:$I$89,3,0)*VLOOKUP('Données projet'!$B$10,Paramètres!$A$1:$I$89,5,0)</f>
        <v>84.162000000000006</v>
      </c>
      <c r="AK31" s="14">
        <f t="shared" si="35"/>
        <v>23.151791590506594</v>
      </c>
      <c r="AL31" s="22">
        <f t="shared" si="4"/>
        <v>186.90485368679899</v>
      </c>
      <c r="AM31" s="62">
        <f t="shared" si="5"/>
        <v>480.23818702013227</v>
      </c>
      <c r="AN31" s="62">
        <f ca="1">AVERAGE(OFFSET($AM$3,0,0,'Données projet'!$E$10+1,1))-AVERAGE(OFFSET($H$3,0,0,'Données projet'!$E$10+1,1))</f>
        <v>305.55480846093275</v>
      </c>
      <c r="AO31" s="62">
        <f t="shared" si="36"/>
        <v>179.56041631665812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>
        <f>BD31*VLOOKUP('Données projet'!$B$11,Paramètres!$A$1:$I$89,3,0)*VLOOKUP('Données projet'!$B$11,Paramètres!$A$1:$I$89,5,0)</f>
        <v>0</v>
      </c>
      <c r="BF31" s="14" t="e">
        <f t="shared" si="37"/>
        <v>#NUM!</v>
      </c>
      <c r="BG31" s="22" t="e">
        <f t="shared" si="7"/>
        <v>#NUM!</v>
      </c>
      <c r="BH31" s="62" t="e">
        <f t="shared" si="8"/>
        <v>#NUM!</v>
      </c>
      <c r="BI31" s="62">
        <f ca="1">AVERAGE(OFFSET($BH$3,0,0,'Données projet'!$E$11+1,1))-AVERAGE(OFFSET($H$3,0,0,'Données projet'!$E$11+1,1))</f>
        <v>40.594438615105105</v>
      </c>
      <c r="BJ31" s="62">
        <f t="shared" si="38"/>
        <v>238.55583229663102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47.560208080268652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2.1232922110358459</v>
      </c>
      <c r="BS31" s="24">
        <f t="shared" si="9"/>
        <v>49.683500291304497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>
        <f>BY31*VLOOKUP('Données projet'!$B$12,Paramètres!$A$1:$I$89,3,0)*VLOOKUP('Données projet'!$B$12,Paramètres!$A$1:$I$89,5,0)</f>
        <v>0</v>
      </c>
      <c r="CA31" s="14" t="e">
        <f t="shared" si="39"/>
        <v>#NUM!</v>
      </c>
      <c r="CB31" s="22" t="e">
        <f t="shared" si="10"/>
        <v>#NUM!</v>
      </c>
      <c r="CC31" s="62" t="e">
        <f t="shared" si="11"/>
        <v>#NUM!</v>
      </c>
      <c r="CD31" s="62">
        <f ca="1">AVERAGE(OFFSET($CC$3,0,0,'Données projet'!$E$12+1,1))-AVERAGE(OFFSET($H$3,0,0,'Données projet'!$E$12+1,1))</f>
        <v>41.074766157499596</v>
      </c>
      <c r="CE31" s="62">
        <f t="shared" si="40"/>
        <v>240.92787656206917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47.997878706774181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2.1428317099104075</v>
      </c>
      <c r="CN31" s="24">
        <f t="shared" si="12"/>
        <v>50.140710416684591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12.833333333333334</v>
      </c>
      <c r="N32" s="14">
        <f>IF('Données projet'!$A$36&gt;35,N31+M32-V31,IF(A32&lt;'Données projet'!$A$36,$K$205^A32,IF(A32='Données projet'!$A$36,'Données projet'!$B$36,N31+M32-V31)))</f>
        <v>192.16666666666671</v>
      </c>
      <c r="O32" s="14">
        <f>N32*VLOOKUP('Données projet'!$B$9,Paramètres!$A$1:$I$89,3,0)*VLOOKUP('Données projet'!$B$9,Paramètres!$A$1:$I$89,5,0)</f>
        <v>114.9156666666667</v>
      </c>
      <c r="P32" s="14">
        <f t="shared" si="33"/>
        <v>30.486190713157598</v>
      </c>
      <c r="Q32" s="22">
        <f t="shared" si="2"/>
        <v>253.24156826986064</v>
      </c>
      <c r="R32" s="62">
        <f t="shared" si="0"/>
        <v>546.57490160319389</v>
      </c>
      <c r="S32" s="62">
        <f ca="1">AVERAGE(OFFSET($R$3,0,0,'Données projet'!$E$9+1,1))-AVERAGE(OFFSET($H$3,0,0,'Données projet'!$E$9+1,1))</f>
        <v>150.79185880109804</v>
      </c>
      <c r="T32" s="62">
        <f t="shared" si="34"/>
        <v>231.70571415193996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2.4572614159328552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4.0425657457460593</v>
      </c>
      <c r="AC32" s="24">
        <f t="shared" si="3"/>
        <v>6.4998271616789145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90</v>
      </c>
      <c r="AJ32" s="14">
        <f>AI32*VLOOKUP('Données projet'!$B$10,Paramètres!$A$1:$I$89,3,0)*VLOOKUP('Données projet'!$B$10,Paramètres!$A$1:$I$89,5,0)</f>
        <v>91.26</v>
      </c>
      <c r="AK32" s="14">
        <f t="shared" si="35"/>
        <v>24.868860330902777</v>
      </c>
      <c r="AL32" s="22">
        <f t="shared" si="4"/>
        <v>202.25776507632233</v>
      </c>
      <c r="AM32" s="62">
        <f t="shared" si="5"/>
        <v>495.59109840965561</v>
      </c>
      <c r="AN32" s="62">
        <f ca="1">AVERAGE(OFFSET($AM$3,0,0,'Données projet'!$E$10+1,1))-AVERAGE(OFFSET($H$3,0,0,'Données projet'!$E$10+1,1))</f>
        <v>305.55480846093275</v>
      </c>
      <c r="AO32" s="62">
        <f t="shared" si="36"/>
        <v>179.56041631665812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>
        <f>BD32*VLOOKUP('Données projet'!$B$11,Paramètres!$A$1:$I$89,3,0)*VLOOKUP('Données projet'!$B$11,Paramètres!$A$1:$I$89,5,0)</f>
        <v>0</v>
      </c>
      <c r="BF32" s="14" t="e">
        <f t="shared" si="37"/>
        <v>#NUM!</v>
      </c>
      <c r="BG32" s="22" t="e">
        <f t="shared" si="7"/>
        <v>#NUM!</v>
      </c>
      <c r="BH32" s="62" t="e">
        <f t="shared" si="8"/>
        <v>#NUM!</v>
      </c>
      <c r="BI32" s="62">
        <f ca="1">AVERAGE(OFFSET($BH$3,0,0,'Données projet'!$E$11+1,1))-AVERAGE(OFFSET($H$3,0,0,'Données projet'!$E$11+1,1))</f>
        <v>40.594438615105105</v>
      </c>
      <c r="BJ32" s="62">
        <f t="shared" si="38"/>
        <v>238.55583229663102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46.627581408677123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1.5013943208640246</v>
      </c>
      <c r="BS32" s="24">
        <f t="shared" si="9"/>
        <v>48.128975729541146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>
        <f>BY32*VLOOKUP('Données projet'!$B$12,Paramètres!$A$1:$I$89,3,0)*VLOOKUP('Données projet'!$B$12,Paramètres!$A$1:$I$89,5,0)</f>
        <v>0</v>
      </c>
      <c r="CA32" s="14" t="e">
        <f t="shared" si="39"/>
        <v>#NUM!</v>
      </c>
      <c r="CB32" s="22" t="e">
        <f t="shared" si="10"/>
        <v>#NUM!</v>
      </c>
      <c r="CC32" s="62" t="e">
        <f t="shared" si="11"/>
        <v>#NUM!</v>
      </c>
      <c r="CD32" s="62">
        <f ca="1">AVERAGE(OFFSET($CC$3,0,0,'Données projet'!$E$12+1,1))-AVERAGE(OFFSET($H$3,0,0,'Données projet'!$E$12+1,1))</f>
        <v>41.074766157499596</v>
      </c>
      <c r="CE32" s="62">
        <f t="shared" si="40"/>
        <v>240.92787656206917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47.056669581149606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1.515210833019214</v>
      </c>
      <c r="CN32" s="24">
        <f t="shared" si="12"/>
        <v>48.571880414168817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205</v>
      </c>
      <c r="L33" s="13">
        <f>VLOOKUP(A33,'Données projet'!$A$35:$I$55,9,0)</f>
        <v>12.833333333333334</v>
      </c>
      <c r="M33" s="13">
        <f t="array" ref="M33">INDEX(L:L,MIN(IF(ISNUMBER(L33:L229),ROW(L33:L229),"")))</f>
        <v>12.833333333333334</v>
      </c>
      <c r="N33" s="14">
        <f>IF('Données projet'!$A$36&gt;35,N32+M33-V32,IF(A33&lt;'Données projet'!$A$36,$K$205^A33,IF(A33='Données projet'!$A$36,'Données projet'!$B$36,N32+M33-V32)))</f>
        <v>205.00000000000006</v>
      </c>
      <c r="O33" s="14">
        <f>N33*VLOOKUP('Données projet'!$B$9,Paramètres!$A$1:$I$89,3,0)*VLOOKUP('Données projet'!$B$9,Paramètres!$A$1:$I$89,5,0)</f>
        <v>122.59000000000003</v>
      </c>
      <c r="P33" s="14">
        <f t="shared" si="33"/>
        <v>32.278321478706822</v>
      </c>
      <c r="Q33" s="22">
        <f t="shared" si="2"/>
        <v>269.72899324208112</v>
      </c>
      <c r="R33" s="62">
        <f t="shared" si="0"/>
        <v>563.06232657541443</v>
      </c>
      <c r="S33" s="62">
        <f ca="1">AVERAGE(OFFSET($R$3,0,0,'Données projet'!$E$9+1,1))-AVERAGE(OFFSET($H$3,0,0,'Données projet'!$E$9+1,1))</f>
        <v>150.79185880109804</v>
      </c>
      <c r="T33" s="62">
        <f t="shared" si="34"/>
        <v>231.70571415193996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47</v>
      </c>
      <c r="W33" s="17">
        <f>IF(ISNA(VLOOKUP(A33,'Données projet'!$A$35:$I$55,5,0)),0%,VLOOKUP(A33,'Données projet'!$A$35:$I$55,5,0)*VLOOKUP('Données projet'!$B$9,Paramètres!$A$1:$I$89,7,0))</f>
        <v>0.1575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0.65</v>
      </c>
      <c r="Z33" s="23">
        <f>EXP(-LN(2)/35)*Z32+(1-EXP(-LN(2)/35))/(LN(2)/35)*V33*W33*VLOOKUP('Données projet'!$B$9,Paramètres!$A$1:$I$89,3,0)*0.475*44/12</f>
        <v>8.2813722604198183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23.543164272490742</v>
      </c>
      <c r="AC33" s="24">
        <f t="shared" si="3"/>
        <v>31.82453653291056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97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97</v>
      </c>
      <c r="AJ33" s="14">
        <f>AI33*VLOOKUP('Données projet'!$B$10,Paramètres!$A$1:$I$89,3,0)*VLOOKUP('Données projet'!$B$10,Paramètres!$A$1:$I$89,5,0)</f>
        <v>98.358000000000004</v>
      </c>
      <c r="AK33" s="14">
        <f t="shared" si="35"/>
        <v>26.570437554143126</v>
      </c>
      <c r="AL33" s="22">
        <f t="shared" si="4"/>
        <v>217.58369540679928</v>
      </c>
      <c r="AM33" s="62">
        <f t="shared" si="5"/>
        <v>510.91702874013259</v>
      </c>
      <c r="AN33" s="62">
        <f ca="1">AVERAGE(OFFSET($AM$3,0,0,'Données projet'!$E$10+1,1))-AVERAGE(OFFSET($H$3,0,0,'Données projet'!$E$10+1,1))</f>
        <v>305.55480846093275</v>
      </c>
      <c r="AO33" s="62">
        <f t="shared" si="36"/>
        <v>179.56041631665812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0.129</v>
      </c>
      <c r="AT33" s="17">
        <f>IF(ISNA(VLOOKUP(A33,'Données projet'!$A$61:$I$81,7,0)),0%,VLOOKUP(A33,'Données projet'!$A$61:$I$81,7,0))</f>
        <v>0.7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3.024688898060921</v>
      </c>
      <c r="AW33" s="23">
        <f>EXP(-LN(2)/2)*AW32+(1-EXP(-LN(2)/2))/(LN(2)/2)*AQ33*AT33*VLOOKUP('Données projet'!$B$10,Paramètres!$A$1:$I$89,3,0)*0.475*44/12</f>
        <v>14.064023483724995</v>
      </c>
      <c r="AX33" s="23">
        <f t="shared" si="6"/>
        <v>17.088712381785918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>
        <f>BD33*VLOOKUP('Données projet'!$B$11,Paramètres!$A$1:$I$89,3,0)*VLOOKUP('Données projet'!$B$11,Paramètres!$A$1:$I$89,5,0)</f>
        <v>0</v>
      </c>
      <c r="BF33" s="14" t="e">
        <f t="shared" si="37"/>
        <v>#NUM!</v>
      </c>
      <c r="BG33" s="22" t="e">
        <f t="shared" si="7"/>
        <v>#NUM!</v>
      </c>
      <c r="BH33" s="62" t="e">
        <f t="shared" si="8"/>
        <v>#NUM!</v>
      </c>
      <c r="BI33" s="62">
        <f ca="1">AVERAGE(OFFSET($BH$3,0,0,'Données projet'!$E$11+1,1))-AVERAGE(OFFSET($H$3,0,0,'Données projet'!$E$11+1,1))</f>
        <v>40.594438615105105</v>
      </c>
      <c r="BJ33" s="62">
        <f t="shared" si="38"/>
        <v>238.55583229663102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45.713242977269402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1.0616461055179229</v>
      </c>
      <c r="BS33" s="24">
        <f t="shared" si="9"/>
        <v>46.774889082787325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>
        <f>BY33*VLOOKUP('Données projet'!$B$12,Paramètres!$A$1:$I$89,3,0)*VLOOKUP('Données projet'!$B$12,Paramètres!$A$1:$I$89,5,0)</f>
        <v>0</v>
      </c>
      <c r="CA33" s="14" t="e">
        <f t="shared" si="39"/>
        <v>#NUM!</v>
      </c>
      <c r="CB33" s="22" t="e">
        <f t="shared" si="10"/>
        <v>#NUM!</v>
      </c>
      <c r="CC33" s="62" t="e">
        <f t="shared" si="11"/>
        <v>#NUM!</v>
      </c>
      <c r="CD33" s="62">
        <f ca="1">AVERAGE(OFFSET($CC$3,0,0,'Données projet'!$E$12+1,1))-AVERAGE(OFFSET($H$3,0,0,'Données projet'!$E$12+1,1))</f>
        <v>41.074766157499596</v>
      </c>
      <c r="CE33" s="62">
        <f t="shared" si="40"/>
        <v>240.92787656206917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46.133916992397644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1.0714158549552038</v>
      </c>
      <c r="CN33" s="24">
        <f t="shared" si="12"/>
        <v>47.20533284735285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10.7</v>
      </c>
      <c r="N34" s="14">
        <f>IF('Données projet'!$A$36&gt;35,N33+M34-V33,IF(A34&lt;'Données projet'!$A$36,$K$205^A34,IF(A34='Données projet'!$A$36,'Données projet'!$B$36,N33+M34-V33)))</f>
        <v>168.70000000000005</v>
      </c>
      <c r="O34" s="14">
        <f>N34*VLOOKUP('Données projet'!$B$9,Paramètres!$A$1:$I$89,3,0)*VLOOKUP('Données projet'!$B$9,Paramètres!$A$1:$I$89,5,0)</f>
        <v>100.88260000000002</v>
      </c>
      <c r="P34" s="14">
        <f t="shared" si="33"/>
        <v>27.172157172029827</v>
      </c>
      <c r="Q34" s="22">
        <f t="shared" si="2"/>
        <v>223.02870207461862</v>
      </c>
      <c r="R34" s="62">
        <f t="shared" si="0"/>
        <v>516.36203540795191</v>
      </c>
      <c r="S34" s="62">
        <f ca="1">AVERAGE(OFFSET($R$3,0,0,'Données projet'!$E$9+1,1))-AVERAGE(OFFSET($H$3,0,0,'Données projet'!$E$9+1,1))</f>
        <v>150.79185880109804</v>
      </c>
      <c r="T34" s="62">
        <f t="shared" si="34"/>
        <v>231.70571415193996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8.118979601531306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16.647531107667056</v>
      </c>
      <c r="AC34" s="24">
        <f t="shared" si="3"/>
        <v>24.766510709198364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85.176000000000002</v>
      </c>
      <c r="AK34" s="14">
        <f t="shared" si="35"/>
        <v>23.398088487656441</v>
      </c>
      <c r="AL34" s="22">
        <f t="shared" si="4"/>
        <v>189.09987078266829</v>
      </c>
      <c r="AM34" s="62">
        <f t="shared" si="5"/>
        <v>482.4332041160016</v>
      </c>
      <c r="AN34" s="62">
        <f ca="1">AVERAGE(OFFSET($AM$3,0,0,'Données projet'!$E$10+1,1))-AVERAGE(OFFSET($H$3,0,0,'Données projet'!$E$10+1,1))</f>
        <v>305.55480846093275</v>
      </c>
      <c r="AO34" s="62">
        <f t="shared" si="36"/>
        <v>179.56041631665812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2.9419786210819692</v>
      </c>
      <c r="AW34" s="23">
        <f>EXP(-LN(2)/2)*AW33+(1-EXP(-LN(2)/2))/(LN(2)/2)*AQ34*AT34*VLOOKUP('Données projet'!$B$10,Paramètres!$A$1:$I$89,3,0)*0.475*44/12</f>
        <v>9.944766376108797</v>
      </c>
      <c r="AX34" s="23">
        <f t="shared" si="6"/>
        <v>12.886744997190766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>
        <f>BD34*VLOOKUP('Données projet'!$B$11,Paramètres!$A$1:$I$89,3,0)*VLOOKUP('Données projet'!$B$11,Paramètres!$A$1:$I$89,5,0)</f>
        <v>0</v>
      </c>
      <c r="BF34" s="14" t="e">
        <f t="shared" si="37"/>
        <v>#NUM!</v>
      </c>
      <c r="BG34" s="22" t="e">
        <f t="shared" si="7"/>
        <v>#NUM!</v>
      </c>
      <c r="BH34" s="62" t="e">
        <f t="shared" si="8"/>
        <v>#NUM!</v>
      </c>
      <c r="BI34" s="62">
        <f ca="1">AVERAGE(OFFSET($BH$3,0,0,'Données projet'!$E$11+1,1))-AVERAGE(OFFSET($H$3,0,0,'Données projet'!$E$11+1,1))</f>
        <v>40.594438615105105</v>
      </c>
      <c r="BJ34" s="62">
        <f t="shared" si="38"/>
        <v>238.55583229663102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44.816834164810217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0.75069716043201229</v>
      </c>
      <c r="BS34" s="24">
        <f t="shared" si="9"/>
        <v>45.567531325242228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>
        <f>BY34*VLOOKUP('Données projet'!$B$12,Paramètres!$A$1:$I$89,3,0)*VLOOKUP('Données projet'!$B$12,Paramètres!$A$1:$I$89,5,0)</f>
        <v>0</v>
      </c>
      <c r="CA34" s="14" t="e">
        <f t="shared" si="39"/>
        <v>#NUM!</v>
      </c>
      <c r="CB34" s="22" t="e">
        <f t="shared" si="10"/>
        <v>#NUM!</v>
      </c>
      <c r="CC34" s="62" t="e">
        <f t="shared" si="11"/>
        <v>#NUM!</v>
      </c>
      <c r="CD34" s="62">
        <f ca="1">AVERAGE(OFFSET($CC$3,0,0,'Données projet'!$E$12+1,1))-AVERAGE(OFFSET($H$3,0,0,'Données projet'!$E$12+1,1))</f>
        <v>41.074766157499596</v>
      </c>
      <c r="CE34" s="62">
        <f t="shared" si="40"/>
        <v>240.92787656206917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45.229259019087607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0.757605416509607</v>
      </c>
      <c r="CN34" s="24">
        <f t="shared" si="12"/>
        <v>45.986864435597212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10.7</v>
      </c>
      <c r="N35" s="14">
        <f>IF('Données projet'!$A$36&gt;35,N34+M35-V34,IF(A35&lt;'Données projet'!$A$36,$K$205^A35,IF(A35='Données projet'!$A$36,'Données projet'!$B$36,N34+M35-V34)))</f>
        <v>179.40000000000003</v>
      </c>
      <c r="O35" s="14">
        <f>N35*VLOOKUP('Données projet'!$B$9,Paramètres!$A$1:$I$89,3,0)*VLOOKUP('Données projet'!$B$9,Paramètres!$A$1:$I$89,5,0)</f>
        <v>107.28120000000003</v>
      </c>
      <c r="P35" s="14">
        <f t="shared" si="33"/>
        <v>28.689484043027395</v>
      </c>
      <c r="Q35" s="22">
        <f t="shared" ref="Q35:Q66" si="53">(O35+P35)*0.475*44/12</f>
        <v>236.81560804160608</v>
      </c>
      <c r="R35" s="62">
        <f t="shared" si="0"/>
        <v>530.14894137493934</v>
      </c>
      <c r="S35" s="62">
        <f ca="1">AVERAGE(OFFSET($R$3,0,0,'Données projet'!$E$9+1,1))-AVERAGE(OFFSET($H$3,0,0,'Données projet'!$E$9+1,1))</f>
        <v>150.79185880109804</v>
      </c>
      <c r="T35" s="62">
        <f t="shared" si="34"/>
        <v>231.70571415193996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7.9597713636338563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11.771582136245373</v>
      </c>
      <c r="AC35" s="24">
        <f t="shared" si="3"/>
        <v>19.73135349987923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93.288000000000011</v>
      </c>
      <c r="AK35" s="14">
        <f t="shared" si="35"/>
        <v>25.356547829040977</v>
      </c>
      <c r="AL35" s="22">
        <f t="shared" si="4"/>
        <v>206.63925413557971</v>
      </c>
      <c r="AM35" s="62">
        <f t="shared" si="5"/>
        <v>499.97258746891305</v>
      </c>
      <c r="AN35" s="62">
        <f ca="1">AVERAGE(OFFSET($AM$3,0,0,'Données projet'!$E$10+1,1))-AVERAGE(OFFSET($H$3,0,0,'Données projet'!$E$10+1,1))</f>
        <v>305.55480846093275</v>
      </c>
      <c r="AO35" s="62">
        <f t="shared" si="36"/>
        <v>179.56041631665812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2.861530060976551</v>
      </c>
      <c r="AW35" s="23">
        <f>EXP(-LN(2)/2)*AW34+(1-EXP(-LN(2)/2))/(LN(2)/2)*AQ35*AT35*VLOOKUP('Données projet'!$B$10,Paramètres!$A$1:$I$89,3,0)*0.475*44/12</f>
        <v>7.0320117418624983</v>
      </c>
      <c r="AX35" s="23">
        <f t="shared" si="6"/>
        <v>9.8935418028390494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>
        <f>BD35*VLOOKUP('Données projet'!$B$11,Paramètres!$A$1:$I$89,3,0)*VLOOKUP('Données projet'!$B$11,Paramètres!$A$1:$I$89,5,0)</f>
        <v>0</v>
      </c>
      <c r="BF35" s="14" t="e">
        <f t="shared" si="37"/>
        <v>#NUM!</v>
      </c>
      <c r="BG35" s="22" t="e">
        <f t="shared" si="7"/>
        <v>#NUM!</v>
      </c>
      <c r="BH35" s="62" t="e">
        <f t="shared" si="8"/>
        <v>#NUM!</v>
      </c>
      <c r="BI35" s="62">
        <f ca="1">AVERAGE(OFFSET($BH$3,0,0,'Données projet'!$E$11+1,1))-AVERAGE(OFFSET($H$3,0,0,'Données projet'!$E$11+1,1))</f>
        <v>40.594438615105105</v>
      </c>
      <c r="BJ35" s="62">
        <f t="shared" si="38"/>
        <v>238.55583229663102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43.938003382407963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0.53082305275896147</v>
      </c>
      <c r="BS35" s="24">
        <f t="shared" si="9"/>
        <v>44.468826435166925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>
        <f>BY35*VLOOKUP('Données projet'!$B$12,Paramètres!$A$1:$I$89,3,0)*VLOOKUP('Données projet'!$B$12,Paramètres!$A$1:$I$89,5,0)</f>
        <v>0</v>
      </c>
      <c r="CA35" s="14" t="e">
        <f t="shared" si="39"/>
        <v>#NUM!</v>
      </c>
      <c r="CB35" s="22" t="e">
        <f t="shared" si="10"/>
        <v>#NUM!</v>
      </c>
      <c r="CC35" s="62" t="e">
        <f t="shared" si="11"/>
        <v>#NUM!</v>
      </c>
      <c r="CD35" s="62">
        <f ca="1">AVERAGE(OFFSET($CC$3,0,0,'Données projet'!$E$12+1,1))-AVERAGE(OFFSET($H$3,0,0,'Données projet'!$E$12+1,1))</f>
        <v>41.074766157499596</v>
      </c>
      <c r="CE35" s="62">
        <f t="shared" si="40"/>
        <v>240.92787656206917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44.342340836847299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0.53570792747760188</v>
      </c>
      <c r="CN35" s="24">
        <f t="shared" si="12"/>
        <v>44.878048764324902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10.7</v>
      </c>
      <c r="N36" s="14">
        <f>IF('Données projet'!$A$36&gt;35,N35+M36-V35,IF(A36&lt;'Données projet'!$A$36,$K$205^A36,IF(A36='Données projet'!$A$36,'Données projet'!$B$36,N35+M36-V35)))</f>
        <v>190.10000000000002</v>
      </c>
      <c r="O36" s="14">
        <f>N36*VLOOKUP('Données projet'!$B$9,Paramètres!$A$1:$I$89,3,0)*VLOOKUP('Données projet'!$B$9,Paramètres!$A$1:$I$89,5,0)</f>
        <v>113.67980000000001</v>
      </c>
      <c r="P36" s="14">
        <f t="shared" si="33"/>
        <v>30.19630681882758</v>
      </c>
      <c r="Q36" s="22">
        <f t="shared" si="53"/>
        <v>250.58421937612471</v>
      </c>
      <c r="R36" s="62">
        <f t="shared" si="0"/>
        <v>543.91755270945805</v>
      </c>
      <c r="S36" s="62">
        <f ca="1">AVERAGE(OFFSET($R$3,0,0,'Données projet'!$E$9+1,1))-AVERAGE(OFFSET($H$3,0,0,'Données projet'!$E$9+1,1))</f>
        <v>150.79185880109804</v>
      </c>
      <c r="T36" s="62">
        <f t="shared" si="34"/>
        <v>231.70571415193996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7.8036851021741382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8.3237655538335282</v>
      </c>
      <c r="AC36" s="24">
        <f t="shared" si="3"/>
        <v>16.127450656007667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101.4</v>
      </c>
      <c r="AK36" s="14">
        <f t="shared" si="35"/>
        <v>27.295257887453797</v>
      </c>
      <c r="AL36" s="22">
        <f t="shared" si="4"/>
        <v>224.14424082064872</v>
      </c>
      <c r="AM36" s="62">
        <f t="shared" si="5"/>
        <v>517.477574153982</v>
      </c>
      <c r="AN36" s="62">
        <f ca="1">AVERAGE(OFFSET($AM$3,0,0,'Données projet'!$E$10+1,1))-AVERAGE(OFFSET($H$3,0,0,'Données projet'!$E$10+1,1))</f>
        <v>305.55480846093275</v>
      </c>
      <c r="AO36" s="62">
        <f t="shared" si="36"/>
        <v>179.56041631665812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2.7832813709778215</v>
      </c>
      <c r="AW36" s="23">
        <f>EXP(-LN(2)/2)*AW35+(1-EXP(-LN(2)/2))/(LN(2)/2)*AQ36*AT36*VLOOKUP('Données projet'!$B$10,Paramètres!$A$1:$I$89,3,0)*0.475*44/12</f>
        <v>4.9723831880543985</v>
      </c>
      <c r="AX36" s="23">
        <f t="shared" si="6"/>
        <v>7.75566455903222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>
        <f>BD36*VLOOKUP('Données projet'!$B$11,Paramètres!$A$1:$I$89,3,0)*VLOOKUP('Données projet'!$B$11,Paramètres!$A$1:$I$89,5,0)</f>
        <v>0</v>
      </c>
      <c r="BF36" s="14" t="e">
        <f t="shared" si="37"/>
        <v>#NUM!</v>
      </c>
      <c r="BG36" s="22" t="e">
        <f t="shared" si="7"/>
        <v>#NUM!</v>
      </c>
      <c r="BH36" s="62" t="e">
        <f t="shared" si="8"/>
        <v>#NUM!</v>
      </c>
      <c r="BI36" s="62">
        <f ca="1">AVERAGE(OFFSET($BH$3,0,0,'Données projet'!$E$11+1,1))-AVERAGE(OFFSET($H$3,0,0,'Données projet'!$E$11+1,1))</f>
        <v>40.594438615105105</v>
      </c>
      <c r="BJ36" s="62">
        <f t="shared" si="38"/>
        <v>238.55583229663102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43.076405935614773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0.37534858021600614</v>
      </c>
      <c r="BS36" s="24">
        <f t="shared" si="9"/>
        <v>43.451754515830778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>
        <f>BY36*VLOOKUP('Données projet'!$B$12,Paramètres!$A$1:$I$89,3,0)*VLOOKUP('Données projet'!$B$12,Paramètres!$A$1:$I$89,5,0)</f>
        <v>0</v>
      </c>
      <c r="CA36" s="14" t="e">
        <f t="shared" si="39"/>
        <v>#NUM!</v>
      </c>
      <c r="CB36" s="22" t="e">
        <f t="shared" si="10"/>
        <v>#NUM!</v>
      </c>
      <c r="CC36" s="62" t="e">
        <f t="shared" si="11"/>
        <v>#NUM!</v>
      </c>
      <c r="CD36" s="62">
        <f ca="1">AVERAGE(OFFSET($CC$3,0,0,'Données projet'!$E$12+1,1))-AVERAGE(OFFSET($H$3,0,0,'Données projet'!$E$12+1,1))</f>
        <v>41.074766157499596</v>
      </c>
      <c r="CE36" s="62">
        <f t="shared" si="40"/>
        <v>240.92787656206917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43.472814579194051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0.3788027082548035</v>
      </c>
      <c r="CN36" s="24">
        <f t="shared" si="12"/>
        <v>43.851617287448853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10.7</v>
      </c>
      <c r="N37" s="14">
        <f>IF('Données projet'!$A$36&gt;35,N36+M37-V36,IF(A37&lt;'Données projet'!$A$36,$K$205^A37,IF(A37='Données projet'!$A$36,'Données projet'!$B$36,N36+M37-V36)))</f>
        <v>200.8</v>
      </c>
      <c r="O37" s="14">
        <f>N37*VLOOKUP('Données projet'!$B$9,Paramètres!$A$1:$I$89,3,0)*VLOOKUP('Données projet'!$B$9,Paramètres!$A$1:$I$89,5,0)</f>
        <v>120.07840000000002</v>
      </c>
      <c r="P37" s="14">
        <f t="shared" si="33"/>
        <v>31.693284111529564</v>
      </c>
      <c r="Q37" s="22">
        <f t="shared" si="53"/>
        <v>264.33568316091396</v>
      </c>
      <c r="R37" s="62">
        <f t="shared" si="0"/>
        <v>557.66901649424722</v>
      </c>
      <c r="S37" s="62">
        <f ca="1">AVERAGE(OFFSET($R$3,0,0,'Données projet'!$E$9+1,1))-AVERAGE(OFFSET($H$3,0,0,'Données projet'!$E$9+1,1))</f>
        <v>150.79185880109804</v>
      </c>
      <c r="T37" s="62">
        <f t="shared" si="34"/>
        <v>231.70571415193996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7.6506595970984268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5.8857910681226864</v>
      </c>
      <c r="AC37" s="24">
        <f t="shared" si="3"/>
        <v>13.536450665221114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109.51200000000001</v>
      </c>
      <c r="AK37" s="14">
        <f t="shared" si="35"/>
        <v>29.215978230632555</v>
      </c>
      <c r="AL37" s="22">
        <f t="shared" si="4"/>
        <v>241.61789541835174</v>
      </c>
      <c r="AM37" s="62">
        <f t="shared" si="5"/>
        <v>534.95122875168499</v>
      </c>
      <c r="AN37" s="62">
        <f ca="1">AVERAGE(OFFSET($AM$3,0,0,'Données projet'!$E$10+1,1))-AVERAGE(OFFSET($H$3,0,0,'Données projet'!$E$10+1,1))</f>
        <v>305.55480846093275</v>
      </c>
      <c r="AO37" s="62">
        <f t="shared" si="36"/>
        <v>179.56041631665812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2.707172395522027</v>
      </c>
      <c r="AW37" s="23">
        <f>EXP(-LN(2)/2)*AW36+(1-EXP(-LN(2)/2))/(LN(2)/2)*AQ37*AT37*VLOOKUP('Données projet'!$B$10,Paramètres!$A$1:$I$89,3,0)*0.475*44/12</f>
        <v>3.5160058709312492</v>
      </c>
      <c r="AX37" s="23">
        <f t="shared" si="6"/>
        <v>6.2231782664532762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>
        <f>BD37*VLOOKUP('Données projet'!$B$11,Paramètres!$A$1:$I$89,3,0)*VLOOKUP('Données projet'!$B$11,Paramètres!$A$1:$I$89,5,0)</f>
        <v>0</v>
      </c>
      <c r="BF37" s="14" t="e">
        <f t="shared" si="37"/>
        <v>#NUM!</v>
      </c>
      <c r="BG37" s="22" t="e">
        <f t="shared" si="7"/>
        <v>#NUM!</v>
      </c>
      <c r="BH37" s="62" t="e">
        <f t="shared" si="8"/>
        <v>#NUM!</v>
      </c>
      <c r="BI37" s="62">
        <f ca="1">AVERAGE(OFFSET($BH$3,0,0,'Données projet'!$E$11+1,1))-AVERAGE(OFFSET($H$3,0,0,'Données projet'!$E$11+1,1))</f>
        <v>40.594438615105105</v>
      </c>
      <c r="BJ37" s="62">
        <f t="shared" si="38"/>
        <v>238.55583229663102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42.231703889230644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0.26541152637948073</v>
      </c>
      <c r="BS37" s="24">
        <f t="shared" si="9"/>
        <v>42.497115415610125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>
        <f>BY37*VLOOKUP('Données projet'!$B$12,Paramètres!$A$1:$I$89,3,0)*VLOOKUP('Données projet'!$B$12,Paramètres!$A$1:$I$89,5,0)</f>
        <v>0</v>
      </c>
      <c r="CA37" s="14" t="e">
        <f t="shared" si="39"/>
        <v>#NUM!</v>
      </c>
      <c r="CB37" s="22" t="e">
        <f t="shared" si="10"/>
        <v>#NUM!</v>
      </c>
      <c r="CC37" s="62" t="e">
        <f t="shared" si="11"/>
        <v>#NUM!</v>
      </c>
      <c r="CD37" s="62">
        <f ca="1">AVERAGE(OFFSET($CC$3,0,0,'Données projet'!$E$12+1,1))-AVERAGE(OFFSET($H$3,0,0,'Données projet'!$E$12+1,1))</f>
        <v>41.074766157499596</v>
      </c>
      <c r="CE37" s="62">
        <f t="shared" si="40"/>
        <v>240.92787656206917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42.62033920109473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0.26785396373880094</v>
      </c>
      <c r="CN37" s="24">
        <f t="shared" si="12"/>
        <v>42.888193164833531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10.7</v>
      </c>
      <c r="N38" s="14">
        <f>IF('Données projet'!$A$36&gt;35,N37+M38-V37,IF(A38&lt;'Données projet'!$A$36,$K$205^A38,IF(A38='Données projet'!$A$36,'Données projet'!$B$36,N37+M38-V37)))</f>
        <v>211.5</v>
      </c>
      <c r="O38" s="14">
        <f>N38*VLOOKUP('Données projet'!$B$9,Paramètres!$A$1:$I$89,3,0)*VLOOKUP('Données projet'!$B$9,Paramètres!$A$1:$I$89,5,0)</f>
        <v>126.47700000000002</v>
      </c>
      <c r="P38" s="14">
        <f t="shared" si="33"/>
        <v>33.181000378224027</v>
      </c>
      <c r="Q38" s="22">
        <f t="shared" si="53"/>
        <v>278.0710173254069</v>
      </c>
      <c r="R38" s="62">
        <f t="shared" si="0"/>
        <v>571.40435065874021</v>
      </c>
      <c r="S38" s="62">
        <f ca="1">AVERAGE(OFFSET($R$3,0,0,'Données projet'!$E$9+1,1))-AVERAGE(OFFSET($H$3,0,0,'Données projet'!$E$9+1,1))</f>
        <v>150.79185880109804</v>
      </c>
      <c r="T38" s="62">
        <f t="shared" si="34"/>
        <v>231.70571415193996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7.5006348288409077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4.1618827769167641</v>
      </c>
      <c r="AC38" s="24">
        <f t="shared" si="3"/>
        <v>11.662517605757671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117.62400000000001</v>
      </c>
      <c r="AK38" s="14">
        <f t="shared" si="35"/>
        <v>31.120192961985413</v>
      </c>
      <c r="AL38" s="22">
        <f t="shared" si="4"/>
        <v>259.06280274212457</v>
      </c>
      <c r="AM38" s="62">
        <f t="shared" si="5"/>
        <v>552.39613607545789</v>
      </c>
      <c r="AN38" s="62">
        <f ca="1">AVERAGE(OFFSET($AM$3,0,0,'Données projet'!$E$10+1,1))-AVERAGE(OFFSET($H$3,0,0,'Données projet'!$E$10+1,1))</f>
        <v>305.55480846093275</v>
      </c>
      <c r="AO38" s="62">
        <f t="shared" si="36"/>
        <v>179.56041631665812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2.6331446240024681</v>
      </c>
      <c r="AW38" s="23">
        <f>EXP(-LN(2)/2)*AW37+(1-EXP(-LN(2)/2))/(LN(2)/2)*AQ38*AT38*VLOOKUP('Données projet'!$B$10,Paramètres!$A$1:$I$89,3,0)*0.475*44/12</f>
        <v>2.4861915940271992</v>
      </c>
      <c r="AX38" s="23">
        <f t="shared" si="6"/>
        <v>5.1193362180296678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>
        <f>BD38*VLOOKUP('Données projet'!$B$11,Paramètres!$A$1:$I$89,3,0)*VLOOKUP('Données projet'!$B$11,Paramètres!$A$1:$I$89,5,0)</f>
        <v>0</v>
      </c>
      <c r="BF38" s="14" t="e">
        <f t="shared" si="37"/>
        <v>#NUM!</v>
      </c>
      <c r="BG38" s="22" t="e">
        <f t="shared" si="7"/>
        <v>#NUM!</v>
      </c>
      <c r="BH38" s="62" t="e">
        <f t="shared" si="8"/>
        <v>#NUM!</v>
      </c>
      <c r="BI38" s="62">
        <f ca="1">AVERAGE(OFFSET($BH$3,0,0,'Données projet'!$E$11+1,1))-AVERAGE(OFFSET($H$3,0,0,'Données projet'!$E$11+1,1))</f>
        <v>40.594438615105105</v>
      </c>
      <c r="BJ38" s="62">
        <f t="shared" si="38"/>
        <v>238.55583229663102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41.403565934758731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0.18767429010800307</v>
      </c>
      <c r="BS38" s="24">
        <f t="shared" si="9"/>
        <v>41.591240224866738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>
        <f>BY38*VLOOKUP('Données projet'!$B$12,Paramètres!$A$1:$I$89,3,0)*VLOOKUP('Données projet'!$B$12,Paramètres!$A$1:$I$89,5,0)</f>
        <v>0</v>
      </c>
      <c r="CA38" s="14" t="e">
        <f t="shared" si="39"/>
        <v>#NUM!</v>
      </c>
      <c r="CB38" s="22" t="e">
        <f t="shared" si="10"/>
        <v>#NUM!</v>
      </c>
      <c r="CC38" s="62" t="e">
        <f t="shared" si="11"/>
        <v>#NUM!</v>
      </c>
      <c r="CD38" s="62">
        <f ca="1">AVERAGE(OFFSET($CC$3,0,0,'Données projet'!$E$12+1,1))-AVERAGE(OFFSET($H$3,0,0,'Données projet'!$E$12+1,1))</f>
        <v>41.074766157499596</v>
      </c>
      <c r="CE38" s="62">
        <f t="shared" si="40"/>
        <v>240.92787656206917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41.784580345201299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0.18940135412740175</v>
      </c>
      <c r="CN38" s="24">
        <f t="shared" si="12"/>
        <v>41.973981699328704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10.7</v>
      </c>
      <c r="N39" s="14">
        <f>IF('Données projet'!$A$36&gt;35,N38+M39-V38,IF(A39&lt;'Données projet'!$A$36,$K$205^A39,IF(A39='Données projet'!$A$36,'Données projet'!$B$36,N38+M39-V38)))</f>
        <v>222.2</v>
      </c>
      <c r="O39" s="14">
        <f>N39*VLOOKUP('Données projet'!$B$9,Paramètres!$A$1:$I$89,3,0)*VLOOKUP('Données projet'!$B$9,Paramètres!$A$1:$I$89,5,0)</f>
        <v>132.87560000000002</v>
      </c>
      <c r="P39" s="14">
        <f t="shared" si="33"/>
        <v>34.659977599024245</v>
      </c>
      <c r="Q39" s="22">
        <f t="shared" si="53"/>
        <v>291.79113098496725</v>
      </c>
      <c r="R39" s="62">
        <f t="shared" si="0"/>
        <v>585.12446431830062</v>
      </c>
      <c r="S39" s="62">
        <f ca="1">AVERAGE(OFFSET($R$3,0,0,'Données projet'!$E$9+1,1))-AVERAGE(OFFSET($H$3,0,0,'Données projet'!$E$9+1,1))</f>
        <v>150.79185880109804</v>
      </c>
      <c r="T39" s="62">
        <f t="shared" si="34"/>
        <v>231.70571415193996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7.3535519547828461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2.9428955340613432</v>
      </c>
      <c r="AC39" s="24">
        <f t="shared" si="3"/>
        <v>10.296447488844189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103.4</v>
      </c>
      <c r="AJ39" s="14">
        <f>AI39*VLOOKUP('Données projet'!$B$10,Paramètres!$A$1:$I$89,3,0)*VLOOKUP('Données projet'!$B$10,Paramètres!$A$1:$I$89,5,0)</f>
        <v>104.84760000000001</v>
      </c>
      <c r="AK39" s="14">
        <f t="shared" si="35"/>
        <v>28.113670466115643</v>
      </c>
      <c r="AL39" s="22">
        <f t="shared" si="4"/>
        <v>231.57421272848475</v>
      </c>
      <c r="AM39" s="62">
        <f t="shared" si="5"/>
        <v>524.90754606181804</v>
      </c>
      <c r="AN39" s="62">
        <f ca="1">AVERAGE(OFFSET($AM$3,0,0,'Données projet'!$E$10+1,1))-AVERAGE(OFFSET($H$3,0,0,'Données projet'!$E$10+1,1))</f>
        <v>305.55480846093275</v>
      </c>
      <c r="AO39" s="62">
        <f t="shared" si="36"/>
        <v>179.56041631665812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2.5611411457880631</v>
      </c>
      <c r="AW39" s="23">
        <f>EXP(-LN(2)/2)*AW38+(1-EXP(-LN(2)/2))/(LN(2)/2)*AQ39*AT39*VLOOKUP('Données projet'!$B$10,Paramètres!$A$1:$I$89,3,0)*0.475*44/12</f>
        <v>1.7580029354656246</v>
      </c>
      <c r="AX39" s="23">
        <f t="shared" si="6"/>
        <v>4.3191440812536879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>
        <f>BD39*VLOOKUP('Données projet'!$B$11,Paramètres!$A$1:$I$89,3,0)*VLOOKUP('Données projet'!$B$11,Paramètres!$A$1:$I$89,5,0)</f>
        <v>0</v>
      </c>
      <c r="BF39" s="14" t="e">
        <f t="shared" si="37"/>
        <v>#NUM!</v>
      </c>
      <c r="BG39" s="22" t="e">
        <f t="shared" si="7"/>
        <v>#NUM!</v>
      </c>
      <c r="BH39" s="62" t="e">
        <f t="shared" si="8"/>
        <v>#NUM!</v>
      </c>
      <c r="BI39" s="62">
        <f ca="1">AVERAGE(OFFSET($BH$3,0,0,'Données projet'!$E$11+1,1))-AVERAGE(OFFSET($H$3,0,0,'Données projet'!$E$11+1,1))</f>
        <v>40.594438615105105</v>
      </c>
      <c r="BJ39" s="62">
        <f t="shared" si="38"/>
        <v>238.55583229663102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40.591667260459737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0.13270576318974037</v>
      </c>
      <c r="BS39" s="24">
        <f t="shared" si="9"/>
        <v>40.724373023649477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>
        <f>BY39*VLOOKUP('Données projet'!$B$12,Paramètres!$A$1:$I$89,3,0)*VLOOKUP('Données projet'!$B$12,Paramètres!$A$1:$I$89,5,0)</f>
        <v>0</v>
      </c>
      <c r="CA39" s="14" t="e">
        <f t="shared" si="39"/>
        <v>#NUM!</v>
      </c>
      <c r="CB39" s="22" t="e">
        <f t="shared" si="10"/>
        <v>#NUM!</v>
      </c>
      <c r="CC39" s="62" t="e">
        <f t="shared" si="11"/>
        <v>#NUM!</v>
      </c>
      <c r="CD39" s="62">
        <f ca="1">AVERAGE(OFFSET($CC$3,0,0,'Données projet'!$E$12+1,1))-AVERAGE(OFFSET($H$3,0,0,'Données projet'!$E$12+1,1))</f>
        <v>41.074766157499596</v>
      </c>
      <c r="CE39" s="62">
        <f t="shared" si="40"/>
        <v>240.92787656206917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40.965210210709373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0.13392698186940047</v>
      </c>
      <c r="CN39" s="24">
        <f t="shared" si="12"/>
        <v>41.099137192578773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10.7</v>
      </c>
      <c r="N40" s="14">
        <f>IF('Données projet'!$A$36&gt;35,N39+M40-V39,IF(A40&lt;'Données projet'!$A$36,$K$205^A40,IF(A40='Données projet'!$A$36,'Données projet'!$B$36,N39+M40-V39)))</f>
        <v>232.89999999999998</v>
      </c>
      <c r="O40" s="14">
        <f>N40*VLOOKUP('Données projet'!$B$9,Paramètres!$A$1:$I$89,3,0)*VLOOKUP('Données projet'!$B$9,Paramètres!$A$1:$I$89,5,0)</f>
        <v>139.27420000000001</v>
      </c>
      <c r="P40" s="14">
        <f t="shared" si="33"/>
        <v>36.130684641909269</v>
      </c>
      <c r="Q40" s="22">
        <f t="shared" si="53"/>
        <v>305.49684075132535</v>
      </c>
      <c r="R40" s="62">
        <f t="shared" si="0"/>
        <v>598.83017408465867</v>
      </c>
      <c r="S40" s="62">
        <f ca="1">AVERAGE(OFFSET($R$3,0,0,'Données projet'!$E$9+1,1))-AVERAGE(OFFSET($H$3,0,0,'Données projet'!$E$9+1,1))</f>
        <v>150.79185880109804</v>
      </c>
      <c r="T40" s="62">
        <f t="shared" si="34"/>
        <v>231.70571415193996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7.2093532861733678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2.0809413884583821</v>
      </c>
      <c r="AC40" s="24">
        <f t="shared" si="3"/>
        <v>9.290294674631749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111.80000000000001</v>
      </c>
      <c r="AJ40" s="14">
        <f>AI40*VLOOKUP('Données projet'!$B$10,Paramètres!$A$1:$I$89,3,0)*VLOOKUP('Données projet'!$B$10,Paramètres!$A$1:$I$89,5,0)</f>
        <v>113.36520000000003</v>
      </c>
      <c r="AK40" s="14">
        <f t="shared" si="35"/>
        <v>30.122456058687614</v>
      </c>
      <c r="AL40" s="22">
        <f t="shared" si="4"/>
        <v>249.9076676355476</v>
      </c>
      <c r="AM40" s="62">
        <f t="shared" si="5"/>
        <v>543.24100096888094</v>
      </c>
      <c r="AN40" s="62">
        <f ca="1">AVERAGE(OFFSET($AM$3,0,0,'Données projet'!$E$10+1,1))-AVERAGE(OFFSET($H$3,0,0,'Données projet'!$E$10+1,1))</f>
        <v>305.55480846093275</v>
      </c>
      <c r="AO40" s="62">
        <f t="shared" si="36"/>
        <v>179.56041631665812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2.4911066064719294</v>
      </c>
      <c r="AW40" s="23">
        <f>EXP(-LN(2)/2)*AW39+(1-EXP(-LN(2)/2))/(LN(2)/2)*AQ40*AT40*VLOOKUP('Données projet'!$B$10,Paramètres!$A$1:$I$89,3,0)*0.475*44/12</f>
        <v>1.2430957970135996</v>
      </c>
      <c r="AX40" s="23">
        <f t="shared" si="6"/>
        <v>3.7342024034855292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>
        <f>BD40*VLOOKUP('Données projet'!$B$11,Paramètres!$A$1:$I$89,3,0)*VLOOKUP('Données projet'!$B$11,Paramètres!$A$1:$I$89,5,0)</f>
        <v>0</v>
      </c>
      <c r="BF40" s="14" t="e">
        <f t="shared" si="37"/>
        <v>#NUM!</v>
      </c>
      <c r="BG40" s="22" t="e">
        <f t="shared" si="7"/>
        <v>#NUM!</v>
      </c>
      <c r="BH40" s="62" t="e">
        <f t="shared" si="8"/>
        <v>#NUM!</v>
      </c>
      <c r="BI40" s="62">
        <f ca="1">AVERAGE(OFFSET($BH$3,0,0,'Données projet'!$E$11+1,1))-AVERAGE(OFFSET($H$3,0,0,'Données projet'!$E$11+1,1))</f>
        <v>40.594438615105105</v>
      </c>
      <c r="BJ40" s="62">
        <f t="shared" si="38"/>
        <v>238.55583229663102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39.795689423954457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9.3837145054001536E-2</v>
      </c>
      <c r="BS40" s="24">
        <f t="shared" si="9"/>
        <v>39.88952656900846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>
        <f>BY40*VLOOKUP('Données projet'!$B$12,Paramètres!$A$1:$I$89,3,0)*VLOOKUP('Données projet'!$B$12,Paramètres!$A$1:$I$89,5,0)</f>
        <v>0</v>
      </c>
      <c r="CA40" s="14" t="e">
        <f t="shared" si="39"/>
        <v>#NUM!</v>
      </c>
      <c r="CB40" s="22" t="e">
        <f t="shared" si="10"/>
        <v>#NUM!</v>
      </c>
      <c r="CC40" s="62" t="e">
        <f t="shared" si="11"/>
        <v>#NUM!</v>
      </c>
      <c r="CD40" s="62">
        <f ca="1">AVERAGE(OFFSET($CC$3,0,0,'Données projet'!$E$12+1,1))-AVERAGE(OFFSET($H$3,0,0,'Données projet'!$E$12+1,1))</f>
        <v>41.074766157499596</v>
      </c>
      <c r="CE40" s="62">
        <f t="shared" si="40"/>
        <v>240.92787656206917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40.161907424788396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9.4700677063700875E-2</v>
      </c>
      <c r="CN40" s="24">
        <f t="shared" si="12"/>
        <v>40.256608101852095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10.7</v>
      </c>
      <c r="N41" s="14">
        <f>IF('Données projet'!$A$36&gt;35,N40+M41-V40,IF(A41&lt;'Données projet'!$A$36,$K$205^A41,IF(A41='Données projet'!$A$36,'Données projet'!$B$36,N40+M41-V40)))</f>
        <v>243.59999999999997</v>
      </c>
      <c r="O41" s="14">
        <f>N41*VLOOKUP('Données projet'!$B$9,Paramètres!$A$1:$I$89,3,0)*VLOOKUP('Données projet'!$B$9,Paramètres!$A$1:$I$89,5,0)</f>
        <v>145.6728</v>
      </c>
      <c r="P41" s="14">
        <f t="shared" si="33"/>
        <v>37.593544857919731</v>
      </c>
      <c r="Q41" s="22">
        <f t="shared" si="53"/>
        <v>319.18888396087686</v>
      </c>
      <c r="R41" s="62">
        <f t="shared" si="0"/>
        <v>612.52221729421012</v>
      </c>
      <c r="S41" s="62">
        <f ca="1">AVERAGE(OFFSET($R$3,0,0,'Données projet'!$E$9+1,1))-AVERAGE(OFFSET($H$3,0,0,'Données projet'!$E$9+1,1))</f>
        <v>150.79185880109804</v>
      </c>
      <c r="T41" s="62">
        <f t="shared" si="34"/>
        <v>231.70571415193996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7.0679822655028177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1.4714477670306716</v>
      </c>
      <c r="AC41" s="24">
        <f t="shared" si="3"/>
        <v>8.53943003253349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120.20000000000002</v>
      </c>
      <c r="AJ41" s="14">
        <f>AI41*VLOOKUP('Données projet'!$B$10,Paramètres!$A$1:$I$89,3,0)*VLOOKUP('Données projet'!$B$10,Paramètres!$A$1:$I$89,5,0)</f>
        <v>121.88280000000002</v>
      </c>
      <c r="AK41" s="14">
        <f t="shared" si="35"/>
        <v>32.113732800054677</v>
      </c>
      <c r="AL41" s="22">
        <f t="shared" si="4"/>
        <v>268.21062796009522</v>
      </c>
      <c r="AM41" s="62">
        <f t="shared" si="5"/>
        <v>561.54396129342854</v>
      </c>
      <c r="AN41" s="62">
        <f ca="1">AVERAGE(OFFSET($AM$3,0,0,'Données projet'!$E$10+1,1))-AVERAGE(OFFSET($H$3,0,0,'Données projet'!$E$10+1,1))</f>
        <v>305.55480846093275</v>
      </c>
      <c r="AO41" s="62">
        <f t="shared" si="36"/>
        <v>179.56041631665812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2.4229871653163517</v>
      </c>
      <c r="AW41" s="23">
        <f>EXP(-LN(2)/2)*AW40+(1-EXP(-LN(2)/2))/(LN(2)/2)*AQ41*AT41*VLOOKUP('Données projet'!$B$10,Paramètres!$A$1:$I$89,3,0)*0.475*44/12</f>
        <v>0.87900146773281229</v>
      </c>
      <c r="AX41" s="23">
        <f t="shared" si="6"/>
        <v>3.3019886330491639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>
        <f>BD41*VLOOKUP('Données projet'!$B$11,Paramètres!$A$1:$I$89,3,0)*VLOOKUP('Données projet'!$B$11,Paramètres!$A$1:$I$89,5,0)</f>
        <v>0</v>
      </c>
      <c r="BF41" s="14" t="e">
        <f t="shared" si="37"/>
        <v>#NUM!</v>
      </c>
      <c r="BG41" s="22" t="e">
        <f t="shared" si="7"/>
        <v>#NUM!</v>
      </c>
      <c r="BH41" s="62" t="e">
        <f t="shared" si="8"/>
        <v>#NUM!</v>
      </c>
      <c r="BI41" s="62">
        <f ca="1">AVERAGE(OFFSET($BH$3,0,0,'Données projet'!$E$11+1,1))-AVERAGE(OFFSET($H$3,0,0,'Données projet'!$E$11+1,1))</f>
        <v>40.594438615105105</v>
      </c>
      <c r="BJ41" s="62">
        <f t="shared" si="38"/>
        <v>238.55583229663102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39.015320227324501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6.6352881594870183E-2</v>
      </c>
      <c r="BS41" s="24">
        <f t="shared" si="9"/>
        <v>39.081673108919375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>
        <f>BY41*VLOOKUP('Données projet'!$B$12,Paramètres!$A$1:$I$89,3,0)*VLOOKUP('Données projet'!$B$12,Paramètres!$A$1:$I$89,5,0)</f>
        <v>0</v>
      </c>
      <c r="CA41" s="14" t="e">
        <f t="shared" si="39"/>
        <v>#NUM!</v>
      </c>
      <c r="CB41" s="22" t="e">
        <f t="shared" si="10"/>
        <v>#NUM!</v>
      </c>
      <c r="CC41" s="62" t="e">
        <f t="shared" si="11"/>
        <v>#NUM!</v>
      </c>
      <c r="CD41" s="62">
        <f ca="1">AVERAGE(OFFSET($CC$3,0,0,'Données projet'!$E$12+1,1))-AVERAGE(OFFSET($H$3,0,0,'Données projet'!$E$12+1,1))</f>
        <v>41.074766157499596</v>
      </c>
      <c r="CE41" s="62">
        <f t="shared" si="40"/>
        <v>240.92787656206917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39.37435691653301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6.6963490934700234E-2</v>
      </c>
      <c r="CN41" s="24">
        <f t="shared" si="12"/>
        <v>39.441320407467707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10.7</v>
      </c>
      <c r="N42" s="14">
        <f>IF('Données projet'!$A$36&gt;35,N41+M42-V41,IF(A42&lt;'Données projet'!$A$36,$K$205^A42,IF(A42='Données projet'!$A$36,'Données projet'!$B$36,N41+M42-V41)))</f>
        <v>254.29999999999995</v>
      </c>
      <c r="O42" s="14">
        <f>N42*VLOOKUP('Données projet'!$B$9,Paramètres!$A$1:$I$89,3,0)*VLOOKUP('Données projet'!$B$9,Paramètres!$A$1:$I$89,5,0)</f>
        <v>152.07139999999998</v>
      </c>
      <c r="P42" s="14">
        <f t="shared" si="33"/>
        <v>39.048942304224767</v>
      </c>
      <c r="Q42" s="22">
        <f t="shared" si="53"/>
        <v>332.86792951319143</v>
      </c>
      <c r="R42" s="62">
        <f t="shared" si="0"/>
        <v>626.20126284652474</v>
      </c>
      <c r="S42" s="62">
        <f ca="1">AVERAGE(OFFSET($R$3,0,0,'Données projet'!$E$9+1,1))-AVERAGE(OFFSET($H$3,0,0,'Données projet'!$E$9+1,1))</f>
        <v>150.79185880109804</v>
      </c>
      <c r="T42" s="62">
        <f t="shared" si="34"/>
        <v>231.70571415193996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6.929383444319809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1.040470694229191</v>
      </c>
      <c r="AC42" s="24">
        <f t="shared" si="3"/>
        <v>7.9698541385489996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128.60000000000002</v>
      </c>
      <c r="AJ42" s="14">
        <f>AI42*VLOOKUP('Données projet'!$B$10,Paramètres!$A$1:$I$89,3,0)*VLOOKUP('Données projet'!$B$10,Paramètres!$A$1:$I$89,5,0)</f>
        <v>130.40040000000002</v>
      </c>
      <c r="AK42" s="14">
        <f t="shared" si="35"/>
        <v>34.088863450406919</v>
      </c>
      <c r="AL42" s="22">
        <f t="shared" si="4"/>
        <v>286.48546717612544</v>
      </c>
      <c r="AM42" s="62">
        <f t="shared" si="5"/>
        <v>579.8188005094587</v>
      </c>
      <c r="AN42" s="62">
        <f ca="1">AVERAGE(OFFSET($AM$3,0,0,'Données projet'!$E$10+1,1))-AVERAGE(OFFSET($H$3,0,0,'Données projet'!$E$10+1,1))</f>
        <v>305.55480846093275</v>
      </c>
      <c r="AO42" s="62">
        <f t="shared" si="36"/>
        <v>179.56041631665812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2.3567304538614189</v>
      </c>
      <c r="AW42" s="23">
        <f>EXP(-LN(2)/2)*AW41+(1-EXP(-LN(2)/2))/(LN(2)/2)*AQ42*AT42*VLOOKUP('Données projet'!$B$10,Paramètres!$A$1:$I$89,3,0)*0.475*44/12</f>
        <v>0.62154789850679981</v>
      </c>
      <c r="AX42" s="23">
        <f t="shared" si="6"/>
        <v>2.9782783523682186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>
        <f>BD42*VLOOKUP('Données projet'!$B$11,Paramètres!$A$1:$I$89,3,0)*VLOOKUP('Données projet'!$B$11,Paramètres!$A$1:$I$89,5,0)</f>
        <v>0</v>
      </c>
      <c r="BF42" s="14" t="e">
        <f t="shared" si="37"/>
        <v>#NUM!</v>
      </c>
      <c r="BG42" s="22" t="e">
        <f t="shared" si="7"/>
        <v>#NUM!</v>
      </c>
      <c r="BH42" s="62" t="e">
        <f t="shared" si="8"/>
        <v>#NUM!</v>
      </c>
      <c r="BI42" s="62">
        <f ca="1">AVERAGE(OFFSET($BH$3,0,0,'Données projet'!$E$11+1,1))-AVERAGE(OFFSET($H$3,0,0,'Données projet'!$E$11+1,1))</f>
        <v>40.594438615105105</v>
      </c>
      <c r="BJ42" s="62">
        <f t="shared" si="38"/>
        <v>238.55583229663102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38.250253594662247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4.6918572527000768E-2</v>
      </c>
      <c r="BS42" s="24">
        <f t="shared" si="9"/>
        <v>38.297172167189245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>
        <f>BY42*VLOOKUP('Données projet'!$B$12,Paramètres!$A$1:$I$89,3,0)*VLOOKUP('Données projet'!$B$12,Paramètres!$A$1:$I$89,5,0)</f>
        <v>0</v>
      </c>
      <c r="CA42" s="14" t="e">
        <f t="shared" si="39"/>
        <v>#NUM!</v>
      </c>
      <c r="CB42" s="22" t="e">
        <f t="shared" si="10"/>
        <v>#NUM!</v>
      </c>
      <c r="CC42" s="62" t="e">
        <f t="shared" si="11"/>
        <v>#NUM!</v>
      </c>
      <c r="CD42" s="62">
        <f ca="1">AVERAGE(OFFSET($CC$3,0,0,'Données projet'!$E$12+1,1))-AVERAGE(OFFSET($H$3,0,0,'Données projet'!$E$12+1,1))</f>
        <v>41.074766157499596</v>
      </c>
      <c r="CE42" s="62">
        <f t="shared" si="40"/>
        <v>240.92787656206917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38.602249793386136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4.7350338531850437E-2</v>
      </c>
      <c r="CN42" s="24">
        <f t="shared" si="12"/>
        <v>38.649600131917985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265</v>
      </c>
      <c r="L43" s="13">
        <f>VLOOKUP(A43,'Données projet'!$A$35:$I$55,9,0)</f>
        <v>10.7</v>
      </c>
      <c r="M43" s="13">
        <f t="array" ref="M43">INDEX(L:L,MIN(IF(ISNUMBER(L43:L239),ROW(L43:L239),"")))</f>
        <v>10.7</v>
      </c>
      <c r="N43" s="14">
        <f>IF('Données projet'!$A$36&gt;35,N42+M43-V42,IF(A43&lt;'Données projet'!$A$36,$K$205^A43,IF(A43='Données projet'!$A$36,'Données projet'!$B$36,N42+M43-V42)))</f>
        <v>264.99999999999994</v>
      </c>
      <c r="O43" s="14">
        <f>N43*VLOOKUP('Données projet'!$B$9,Paramètres!$A$1:$I$89,3,0)*VLOOKUP('Données projet'!$B$9,Paramètres!$A$1:$I$89,5,0)</f>
        <v>158.46999999999997</v>
      </c>
      <c r="P43" s="14">
        <f t="shared" si="33"/>
        <v>40.497226890293632</v>
      </c>
      <c r="Q43" s="22">
        <f t="shared" si="53"/>
        <v>346.53458683392802</v>
      </c>
      <c r="R43" s="62">
        <f t="shared" si="0"/>
        <v>639.86792016726133</v>
      </c>
      <c r="S43" s="62">
        <f ca="1">AVERAGE(OFFSET($R$3,0,0,'Données projet'!$E$9+1,1))-AVERAGE(OFFSET($H$3,0,0,'Données projet'!$E$9+1,1))</f>
        <v>150.79185880109804</v>
      </c>
      <c r="T43" s="62">
        <f t="shared" si="34"/>
        <v>231.70571415193996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50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6.793502461483266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0.7357238835153358</v>
      </c>
      <c r="AC43" s="24">
        <f t="shared" si="3"/>
        <v>7.5292263449986017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137.00000000000003</v>
      </c>
      <c r="AJ43" s="14">
        <f>AI43*VLOOKUP('Données projet'!$B$10,Paramètres!$A$1:$I$89,3,0)*VLOOKUP('Données projet'!$B$10,Paramètres!$A$1:$I$89,5,0)</f>
        <v>138.91800000000003</v>
      </c>
      <c r="AK43" s="14">
        <f t="shared" si="35"/>
        <v>36.049022673886341</v>
      </c>
      <c r="AL43" s="22">
        <f t="shared" si="4"/>
        <v>304.73423115701877</v>
      </c>
      <c r="AM43" s="62">
        <f t="shared" si="5"/>
        <v>598.06756449035208</v>
      </c>
      <c r="AN43" s="62">
        <f ca="1">AVERAGE(OFFSET($AM$3,0,0,'Données projet'!$E$10+1,1))-AVERAGE(OFFSET($H$3,0,0,'Données projet'!$E$10+1,1))</f>
        <v>305.55480846093275</v>
      </c>
      <c r="AO43" s="62">
        <f t="shared" si="36"/>
        <v>179.56041631665812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2.2922855356655103</v>
      </c>
      <c r="AW43" s="23">
        <f>EXP(-LN(2)/2)*AW42+(1-EXP(-LN(2)/2))/(LN(2)/2)*AQ43*AT43*VLOOKUP('Données projet'!$B$10,Paramètres!$A$1:$I$89,3,0)*0.475*44/12</f>
        <v>0.43950073386640615</v>
      </c>
      <c r="AX43" s="23">
        <f t="shared" si="6"/>
        <v>2.7317862695319164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>
        <f>BD43*VLOOKUP('Données projet'!$B$11,Paramètres!$A$1:$I$89,3,0)*VLOOKUP('Données projet'!$B$11,Paramètres!$A$1:$I$89,5,0)</f>
        <v>0</v>
      </c>
      <c r="BF43" s="14" t="e">
        <f t="shared" si="37"/>
        <v>#NUM!</v>
      </c>
      <c r="BG43" s="22" t="e">
        <f t="shared" si="7"/>
        <v>#NUM!</v>
      </c>
      <c r="BH43" s="62" t="e">
        <f t="shared" si="8"/>
        <v>#NUM!</v>
      </c>
      <c r="BI43" s="62">
        <f ca="1">AVERAGE(OFFSET($BH$3,0,0,'Données projet'!$E$11+1,1))-AVERAGE(OFFSET($H$3,0,0,'Données projet'!$E$11+1,1))</f>
        <v>40.594438615105105</v>
      </c>
      <c r="BJ43" s="62">
        <f t="shared" si="38"/>
        <v>238.55583229663102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37.500189452021935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3.3176440797435092E-2</v>
      </c>
      <c r="BS43" s="24">
        <f t="shared" si="9"/>
        <v>37.533365892819369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>
        <f>BY43*VLOOKUP('Données projet'!$B$12,Paramètres!$A$1:$I$89,3,0)*VLOOKUP('Données projet'!$B$12,Paramètres!$A$1:$I$89,5,0)</f>
        <v>0</v>
      </c>
      <c r="CA43" s="14" t="e">
        <f t="shared" si="39"/>
        <v>#NUM!</v>
      </c>
      <c r="CB43" s="22" t="e">
        <f t="shared" si="10"/>
        <v>#NUM!</v>
      </c>
      <c r="CC43" s="62" t="e">
        <f t="shared" si="11"/>
        <v>#NUM!</v>
      </c>
      <c r="CD43" s="62">
        <f ca="1">AVERAGE(OFFSET($CC$3,0,0,'Données projet'!$E$12+1,1))-AVERAGE(OFFSET($H$3,0,0,'Données projet'!$E$12+1,1))</f>
        <v>41.074766157499596</v>
      </c>
      <c r="CE43" s="62">
        <f t="shared" si="40"/>
        <v>240.92787656206917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37.845283219985326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3.3481745467350117E-2</v>
      </c>
      <c r="CN43" s="24">
        <f t="shared" si="12"/>
        <v>37.878764965452675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7.9</v>
      </c>
      <c r="N44" s="14">
        <f>IF('Données projet'!$A$36&gt;35,N43+M44-V43,IF(A44&lt;'Données projet'!$A$36,$K$205^A44,IF(A44='Données projet'!$A$36,'Données projet'!$B$36,N43+M44-V43)))</f>
        <v>222.89999999999992</v>
      </c>
      <c r="O44" s="14">
        <f>N44*VLOOKUP('Données projet'!$B$9,Paramètres!$A$1:$I$89,3,0)*VLOOKUP('Données projet'!$B$9,Paramètres!$A$1:$I$89,5,0)</f>
        <v>133.29419999999996</v>
      </c>
      <c r="P44" s="14">
        <f t="shared" si="33"/>
        <v>34.756440080318377</v>
      </c>
      <c r="Q44" s="22">
        <f t="shared" si="53"/>
        <v>292.68819813988773</v>
      </c>
      <c r="R44" s="62">
        <f t="shared" si="0"/>
        <v>586.0215314732211</v>
      </c>
      <c r="S44" s="62">
        <f ca="1">AVERAGE(OFFSET($R$3,0,0,'Données projet'!$E$9+1,1))-AVERAGE(OFFSET($H$3,0,0,'Données projet'!$E$9+1,1))</f>
        <v>150.79185880109804</v>
      </c>
      <c r="T44" s="62">
        <f t="shared" si="34"/>
        <v>231.70571415193996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6.660286021840931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0.52023534711459551</v>
      </c>
      <c r="AC44" s="24">
        <f t="shared" si="3"/>
        <v>7.1805213689555263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126.14160000000005</v>
      </c>
      <c r="AK44" s="14">
        <f t="shared" si="35"/>
        <v>33.10323903126482</v>
      </c>
      <c r="AL44" s="22">
        <f t="shared" si="4"/>
        <v>277.35142797945298</v>
      </c>
      <c r="AM44" s="62">
        <f t="shared" si="5"/>
        <v>570.68476131278635</v>
      </c>
      <c r="AN44" s="62">
        <f ca="1">AVERAGE(OFFSET($AM$3,0,0,'Données projet'!$E$10+1,1))-AVERAGE(OFFSET($H$3,0,0,'Données projet'!$E$10+1,1))</f>
        <v>305.55480846093275</v>
      </c>
      <c r="AO44" s="62">
        <f t="shared" si="36"/>
        <v>179.56041631665812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2.2296028671466797</v>
      </c>
      <c r="AW44" s="23">
        <f>EXP(-LN(2)/2)*AW43+(1-EXP(-LN(2)/2))/(LN(2)/2)*AQ44*AT44*VLOOKUP('Données projet'!$B$10,Paramètres!$A$1:$I$89,3,0)*0.475*44/12</f>
        <v>0.31077394925339991</v>
      </c>
      <c r="AX44" s="23">
        <f t="shared" si="6"/>
        <v>2.5403768164000797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>
        <f>BD44*VLOOKUP('Données projet'!$B$11,Paramètres!$A$1:$I$89,3,0)*VLOOKUP('Données projet'!$B$11,Paramètres!$A$1:$I$89,5,0)</f>
        <v>0</v>
      </c>
      <c r="BF44" s="14" t="e">
        <f t="shared" si="37"/>
        <v>#NUM!</v>
      </c>
      <c r="BG44" s="22" t="e">
        <f t="shared" si="7"/>
        <v>#NUM!</v>
      </c>
      <c r="BH44" s="62" t="e">
        <f t="shared" si="8"/>
        <v>#NUM!</v>
      </c>
      <c r="BI44" s="62">
        <f ca="1">AVERAGE(OFFSET($BH$3,0,0,'Données projet'!$E$11+1,1))-AVERAGE(OFFSET($H$3,0,0,'Données projet'!$E$11+1,1))</f>
        <v>40.594438615105105</v>
      </c>
      <c r="BJ44" s="62">
        <f t="shared" si="38"/>
        <v>238.55583229663102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36.764833609724846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2.3459286263500384E-2</v>
      </c>
      <c r="BS44" s="24">
        <f t="shared" si="9"/>
        <v>36.788292895988349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>
        <f>BY44*VLOOKUP('Données projet'!$B$12,Paramètres!$A$1:$I$89,3,0)*VLOOKUP('Données projet'!$B$12,Paramètres!$A$1:$I$89,5,0)</f>
        <v>0</v>
      </c>
      <c r="CA44" s="14" t="e">
        <f t="shared" si="39"/>
        <v>#NUM!</v>
      </c>
      <c r="CB44" s="22" t="e">
        <f t="shared" si="10"/>
        <v>#NUM!</v>
      </c>
      <c r="CC44" s="62" t="e">
        <f t="shared" si="11"/>
        <v>#NUM!</v>
      </c>
      <c r="CD44" s="62">
        <f ca="1">AVERAGE(OFFSET($CC$3,0,0,'Données projet'!$E$12+1,1))-AVERAGE(OFFSET($H$3,0,0,'Données projet'!$E$12+1,1))</f>
        <v>41.074766157499596</v>
      </c>
      <c r="CE44" s="62">
        <f t="shared" si="40"/>
        <v>240.92787656206917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37.103160299384889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2.3675169265925219E-2</v>
      </c>
      <c r="CN44" s="24">
        <f t="shared" si="12"/>
        <v>37.126835468650818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7.9</v>
      </c>
      <c r="N45" s="14">
        <f>IF('Données projet'!$A$36&gt;35,N44+M45-V44,IF(A45&lt;'Données projet'!$A$36,$K$205^A45,IF(A45='Données projet'!$A$36,'Données projet'!$B$36,N44+M45-V44)))</f>
        <v>230.79999999999993</v>
      </c>
      <c r="O45" s="14">
        <f>N45*VLOOKUP('Données projet'!$B$9,Paramètres!$A$1:$I$89,3,0)*VLOOKUP('Données projet'!$B$9,Paramètres!$A$1:$I$89,5,0)</f>
        <v>138.01839999999996</v>
      </c>
      <c r="P45" s="14">
        <f t="shared" si="33"/>
        <v>35.84267281669451</v>
      </c>
      <c r="Q45" s="22">
        <f t="shared" si="53"/>
        <v>302.80803515574286</v>
      </c>
      <c r="R45" s="62">
        <f t="shared" si="0"/>
        <v>596.14136848907617</v>
      </c>
      <c r="S45" s="62">
        <f ca="1">AVERAGE(OFFSET($R$3,0,0,'Données projet'!$E$9+1,1))-AVERAGE(OFFSET($H$3,0,0,'Données projet'!$E$9+1,1))</f>
        <v>150.79185880109804</v>
      </c>
      <c r="T45" s="62">
        <f t="shared" si="34"/>
        <v>231.70571415193996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6.529681875325978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0.3678619417576679</v>
      </c>
      <c r="AC45" s="24">
        <f t="shared" si="3"/>
        <v>6.8975438170836458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134.65920000000006</v>
      </c>
      <c r="AK45" s="14">
        <f t="shared" si="35"/>
        <v>35.07074737441733</v>
      </c>
      <c r="AL45" s="22">
        <f t="shared" si="4"/>
        <v>295.61299167711024</v>
      </c>
      <c r="AM45" s="62">
        <f t="shared" si="5"/>
        <v>588.94632501044362</v>
      </c>
      <c r="AN45" s="62">
        <f ca="1">AVERAGE(OFFSET($AM$3,0,0,'Données projet'!$E$10+1,1))-AVERAGE(OFFSET($H$3,0,0,'Données projet'!$E$10+1,1))</f>
        <v>305.55480846093275</v>
      </c>
      <c r="AO45" s="62">
        <f t="shared" si="36"/>
        <v>179.56041631665812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2.1686342594948349</v>
      </c>
      <c r="AW45" s="23">
        <f>EXP(-LN(2)/2)*AW44+(1-EXP(-LN(2)/2))/(LN(2)/2)*AQ45*AT45*VLOOKUP('Données projet'!$B$10,Paramètres!$A$1:$I$89,3,0)*0.475*44/12</f>
        <v>0.21975036693320307</v>
      </c>
      <c r="AX45" s="23">
        <f t="shared" si="6"/>
        <v>2.3883846264280382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>
        <f>BD45*VLOOKUP('Données projet'!$B$11,Paramètres!$A$1:$I$89,3,0)*VLOOKUP('Données projet'!$B$11,Paramètres!$A$1:$I$89,5,0)</f>
        <v>0</v>
      </c>
      <c r="BF45" s="14" t="e">
        <f t="shared" si="37"/>
        <v>#NUM!</v>
      </c>
      <c r="BG45" s="22" t="e">
        <f t="shared" si="7"/>
        <v>#NUM!</v>
      </c>
      <c r="BH45" s="62" t="e">
        <f t="shared" si="8"/>
        <v>#NUM!</v>
      </c>
      <c r="BI45" s="62">
        <f ca="1">AVERAGE(OFFSET($BH$3,0,0,'Données projet'!$E$11+1,1))-AVERAGE(OFFSET($H$3,0,0,'Données projet'!$E$11+1,1))</f>
        <v>40.594438615105105</v>
      </c>
      <c r="BJ45" s="62">
        <f t="shared" si="38"/>
        <v>238.55583229663102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36.043897646972425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1.6588220398717546E-2</v>
      </c>
      <c r="BS45" s="24">
        <f t="shared" si="9"/>
        <v>36.060485867371142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>
        <f>BY45*VLOOKUP('Données projet'!$B$12,Paramètres!$A$1:$I$89,3,0)*VLOOKUP('Données projet'!$B$12,Paramètres!$A$1:$I$89,5,0)</f>
        <v>0</v>
      </c>
      <c r="CA45" s="14" t="e">
        <f t="shared" si="39"/>
        <v>#NUM!</v>
      </c>
      <c r="CB45" s="22" t="e">
        <f t="shared" si="10"/>
        <v>#NUM!</v>
      </c>
      <c r="CC45" s="62" t="e">
        <f t="shared" si="11"/>
        <v>#NUM!</v>
      </c>
      <c r="CD45" s="62">
        <f ca="1">AVERAGE(OFFSET($CC$3,0,0,'Données projet'!$E$12+1,1))-AVERAGE(OFFSET($H$3,0,0,'Données projet'!$E$12+1,1))</f>
        <v>41.074766157499596</v>
      </c>
      <c r="CE45" s="62">
        <f t="shared" si="40"/>
        <v>240.92787656206917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36.375589956607136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1.6740872733675059E-2</v>
      </c>
      <c r="CN45" s="24">
        <f t="shared" si="12"/>
        <v>36.392330829340814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7.9</v>
      </c>
      <c r="N46" s="14">
        <f>IF('Données projet'!$A$36&gt;35,N45+M46-V45,IF(A46&lt;'Données projet'!$A$36,$K$205^A46,IF(A46='Données projet'!$A$36,'Données projet'!$B$36,N45+M46-V45)))</f>
        <v>238.69999999999993</v>
      </c>
      <c r="O46" s="14">
        <f>N46*VLOOKUP('Données projet'!$B$9,Paramètres!$A$1:$I$89,3,0)*VLOOKUP('Données projet'!$B$9,Paramètres!$A$1:$I$89,5,0)</f>
        <v>142.74259999999998</v>
      </c>
      <c r="P46" s="14">
        <f t="shared" si="33"/>
        <v>36.924585472239464</v>
      </c>
      <c r="Q46" s="22">
        <f t="shared" si="53"/>
        <v>312.92034803081702</v>
      </c>
      <c r="R46" s="62">
        <f t="shared" si="0"/>
        <v>606.25368136415034</v>
      </c>
      <c r="S46" s="62">
        <f ca="1">AVERAGE(OFFSET($R$3,0,0,'Données projet'!$E$9+1,1))-AVERAGE(OFFSET($H$3,0,0,'Données projet'!$E$9+1,1))</f>
        <v>150.79185880109804</v>
      </c>
      <c r="T46" s="62">
        <f t="shared" si="34"/>
        <v>231.70571415193996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6.4016387964635193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0.26011767355729776</v>
      </c>
      <c r="AC46" s="24">
        <f t="shared" si="3"/>
        <v>6.6617564700208174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143.17680000000004</v>
      </c>
      <c r="AK46" s="14">
        <f t="shared" si="35"/>
        <v>37.023812674521515</v>
      </c>
      <c r="AL46" s="22">
        <f t="shared" si="4"/>
        <v>313.84940040812506</v>
      </c>
      <c r="AM46" s="62">
        <f t="shared" si="5"/>
        <v>607.18273374145838</v>
      </c>
      <c r="AN46" s="62">
        <f ca="1">AVERAGE(OFFSET($AM$3,0,0,'Données projet'!$E$10+1,1))-AVERAGE(OFFSET($H$3,0,0,'Données projet'!$E$10+1,1))</f>
        <v>305.55480846093275</v>
      </c>
      <c r="AO46" s="62">
        <f t="shared" si="36"/>
        <v>179.56041631665812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2.1093328416254296</v>
      </c>
      <c r="AW46" s="23">
        <f>EXP(-LN(2)/2)*AW45+(1-EXP(-LN(2)/2))/(LN(2)/2)*AQ46*AT46*VLOOKUP('Données projet'!$B$10,Paramètres!$A$1:$I$89,3,0)*0.475*44/12</f>
        <v>0.15538697462669995</v>
      </c>
      <c r="AX46" s="23">
        <f t="shared" si="6"/>
        <v>2.2647198162521294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>
        <f>BD46*VLOOKUP('Données projet'!$B$11,Paramètres!$A$1:$I$89,3,0)*VLOOKUP('Données projet'!$B$11,Paramètres!$A$1:$I$89,5,0)</f>
        <v>0</v>
      </c>
      <c r="BF46" s="14" t="e">
        <f t="shared" si="37"/>
        <v>#NUM!</v>
      </c>
      <c r="BG46" s="22" t="e">
        <f t="shared" si="7"/>
        <v>#NUM!</v>
      </c>
      <c r="BH46" s="62" t="e">
        <f t="shared" si="8"/>
        <v>#NUM!</v>
      </c>
      <c r="BI46" s="62">
        <f ca="1">AVERAGE(OFFSET($BH$3,0,0,'Données projet'!$E$11+1,1))-AVERAGE(OFFSET($H$3,0,0,'Données projet'!$E$11+1,1))</f>
        <v>40.594438615105105</v>
      </c>
      <c r="BJ46" s="62">
        <f t="shared" si="38"/>
        <v>238.55583229663102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35.33709879872206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1.1729643131750192E-2</v>
      </c>
      <c r="BS46" s="24">
        <f t="shared" si="9"/>
        <v>35.348828441853811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>
        <f>BY46*VLOOKUP('Données projet'!$B$12,Paramètres!$A$1:$I$89,3,0)*VLOOKUP('Données projet'!$B$12,Paramètres!$A$1:$I$89,5,0)</f>
        <v>0</v>
      </c>
      <c r="CA46" s="14" t="e">
        <f t="shared" si="39"/>
        <v>#NUM!</v>
      </c>
      <c r="CB46" s="22" t="e">
        <f t="shared" si="10"/>
        <v>#NUM!</v>
      </c>
      <c r="CC46" s="62" t="e">
        <f t="shared" si="11"/>
        <v>#NUM!</v>
      </c>
      <c r="CD46" s="62">
        <f ca="1">AVERAGE(OFFSET($CC$3,0,0,'Données projet'!$E$12+1,1))-AVERAGE(OFFSET($H$3,0,0,'Données projet'!$E$12+1,1))</f>
        <v>41.074766157499596</v>
      </c>
      <c r="CE46" s="62">
        <f t="shared" si="40"/>
        <v>240.92787656206917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35.662286824477171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1.1837584632962609E-2</v>
      </c>
      <c r="CN46" s="24">
        <f t="shared" si="12"/>
        <v>35.674124409110135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7.9</v>
      </c>
      <c r="N47" s="14">
        <f>IF('Données projet'!$A$36&gt;35,N46+M47-V46,IF(A47&lt;'Données projet'!$A$36,$K$205^A47,IF(A47='Données projet'!$A$36,'Données projet'!$B$36,N46+M47-V46)))</f>
        <v>246.59999999999994</v>
      </c>
      <c r="O47" s="14">
        <f>N47*VLOOKUP('Données projet'!$B$9,Paramètres!$A$1:$I$89,3,0)*VLOOKUP('Données projet'!$B$9,Paramètres!$A$1:$I$89,5,0)</f>
        <v>147.46679999999998</v>
      </c>
      <c r="P47" s="14">
        <f t="shared" si="33"/>
        <v>38.002337418636273</v>
      </c>
      <c r="Q47" s="22">
        <f t="shared" si="53"/>
        <v>323.02541433745813</v>
      </c>
      <c r="R47" s="62">
        <f t="shared" si="0"/>
        <v>616.35874767079144</v>
      </c>
      <c r="S47" s="62">
        <f ca="1">AVERAGE(OFFSET($R$3,0,0,'Données projet'!$E$9+1,1))-AVERAGE(OFFSET($H$3,0,0,'Données projet'!$E$9+1,1))</f>
        <v>150.79185880109804</v>
      </c>
      <c r="T47" s="62">
        <f t="shared" si="34"/>
        <v>231.70571415193996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6.2761065642789866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0.18393097087883395</v>
      </c>
      <c r="AC47" s="24">
        <f t="shared" si="3"/>
        <v>6.460037535157821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151.69440000000006</v>
      </c>
      <c r="AK47" s="14">
        <f t="shared" si="35"/>
        <v>38.963392010880654</v>
      </c>
      <c r="AL47" s="22">
        <f t="shared" si="4"/>
        <v>332.06232108561721</v>
      </c>
      <c r="AM47" s="62">
        <f t="shared" si="5"/>
        <v>625.39565441895047</v>
      </c>
      <c r="AN47" s="62">
        <f ca="1">AVERAGE(OFFSET($AM$3,0,0,'Données projet'!$E$10+1,1))-AVERAGE(OFFSET($H$3,0,0,'Données projet'!$E$10+1,1))</f>
        <v>305.55480846093275</v>
      </c>
      <c r="AO47" s="62">
        <f t="shared" si="36"/>
        <v>179.56041631665812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2.051653024146189</v>
      </c>
      <c r="AW47" s="23">
        <f>EXP(-LN(2)/2)*AW46+(1-EXP(-LN(2)/2))/(LN(2)/2)*AQ47*AT47*VLOOKUP('Données projet'!$B$10,Paramètres!$A$1:$I$89,3,0)*0.475*44/12</f>
        <v>0.10987518346660154</v>
      </c>
      <c r="AX47" s="23">
        <f t="shared" si="6"/>
        <v>2.1615282076127906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>
        <f>BD47*VLOOKUP('Données projet'!$B$11,Paramètres!$A$1:$I$89,3,0)*VLOOKUP('Données projet'!$B$11,Paramètres!$A$1:$I$89,5,0)</f>
        <v>0</v>
      </c>
      <c r="BF47" s="14" t="e">
        <f t="shared" si="37"/>
        <v>#NUM!</v>
      </c>
      <c r="BG47" s="22" t="e">
        <f t="shared" si="7"/>
        <v>#NUM!</v>
      </c>
      <c r="BH47" s="62" t="e">
        <f t="shared" si="8"/>
        <v>#NUM!</v>
      </c>
      <c r="BI47" s="62">
        <f ca="1">AVERAGE(OFFSET($BH$3,0,0,'Données projet'!$E$11+1,1))-AVERAGE(OFFSET($H$3,0,0,'Données projet'!$E$11+1,1))</f>
        <v>40.594438615105105</v>
      </c>
      <c r="BJ47" s="62">
        <f t="shared" si="38"/>
        <v>238.55583229663102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34.644159844781157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8.2941101993587729E-3</v>
      </c>
      <c r="BS47" s="24">
        <f t="shared" si="9"/>
        <v>34.652453954980516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>
        <f>BY47*VLOOKUP('Données projet'!$B$12,Paramètres!$A$1:$I$89,3,0)*VLOOKUP('Données projet'!$B$12,Paramètres!$A$1:$I$89,5,0)</f>
        <v>0</v>
      </c>
      <c r="CA47" s="14" t="e">
        <f t="shared" si="39"/>
        <v>#NUM!</v>
      </c>
      <c r="CB47" s="22" t="e">
        <f t="shared" si="10"/>
        <v>#NUM!</v>
      </c>
      <c r="CC47" s="62" t="e">
        <f t="shared" si="11"/>
        <v>#NUM!</v>
      </c>
      <c r="CD47" s="62">
        <f ca="1">AVERAGE(OFFSET($CC$3,0,0,'Données projet'!$E$12+1,1))-AVERAGE(OFFSET($H$3,0,0,'Données projet'!$E$12+1,1))</f>
        <v>41.074766157499596</v>
      </c>
      <c r="CE47" s="62">
        <f t="shared" si="40"/>
        <v>240.92787656206917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34.962971131696321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8.3704363668375293E-3</v>
      </c>
      <c r="CN47" s="24">
        <f t="shared" si="12"/>
        <v>34.97134156806316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7.9</v>
      </c>
      <c r="N48" s="14">
        <f>IF('Données projet'!$A$36&gt;35,N47+M48-V47,IF(A48&lt;'Données projet'!$A$36,$K$205^A48,IF(A48='Données projet'!$A$36,'Données projet'!$B$36,N47+M48-V47)))</f>
        <v>254.49999999999994</v>
      </c>
      <c r="O48" s="14">
        <f>N48*VLOOKUP('Données projet'!$B$9,Paramètres!$A$1:$I$89,3,0)*VLOOKUP('Données projet'!$B$9,Paramètres!$A$1:$I$89,5,0)</f>
        <v>152.19099999999997</v>
      </c>
      <c r="P48" s="14">
        <f t="shared" si="33"/>
        <v>39.07607723663272</v>
      </c>
      <c r="Q48" s="22">
        <f t="shared" si="53"/>
        <v>333.12349285380191</v>
      </c>
      <c r="R48" s="62">
        <f t="shared" si="0"/>
        <v>626.45682618713522</v>
      </c>
      <c r="S48" s="62">
        <f ca="1">AVERAGE(OFFSET($R$3,0,0,'Données projet'!$E$9+1,1))-AVERAGE(OFFSET($H$3,0,0,'Données projet'!$E$9+1,1))</f>
        <v>150.79185880109804</v>
      </c>
      <c r="T48" s="62">
        <f t="shared" si="34"/>
        <v>231.70571415193996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6.1530359426004919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0.13005883677864888</v>
      </c>
      <c r="AC48" s="24">
        <f t="shared" si="3"/>
        <v>6.283094779379141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160.21200000000007</v>
      </c>
      <c r="AK48" s="14">
        <f t="shared" si="35"/>
        <v>40.890328912852731</v>
      </c>
      <c r="AL48" s="22">
        <f t="shared" si="4"/>
        <v>350.25322285655193</v>
      </c>
      <c r="AM48" s="62">
        <f t="shared" si="5"/>
        <v>643.58655618988519</v>
      </c>
      <c r="AN48" s="62">
        <f ca="1">AVERAGE(OFFSET($AM$3,0,0,'Données projet'!$E$10+1,1))-AVERAGE(OFFSET($H$3,0,0,'Données projet'!$E$10+1,1))</f>
        <v>305.55480846093275</v>
      </c>
      <c r="AO48" s="62">
        <f t="shared" si="36"/>
        <v>179.56041631665812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1.9955504643091679</v>
      </c>
      <c r="AW48" s="23">
        <f>EXP(-LN(2)/2)*AW47+(1-EXP(-LN(2)/2))/(LN(2)/2)*AQ48*AT48*VLOOKUP('Données projet'!$B$10,Paramètres!$A$1:$I$89,3,0)*0.475*44/12</f>
        <v>7.7693487313349976E-2</v>
      </c>
      <c r="AX48" s="23">
        <f t="shared" si="6"/>
        <v>2.0732439516225178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>
        <f>BD48*VLOOKUP('Données projet'!$B$11,Paramètres!$A$1:$I$89,3,0)*VLOOKUP('Données projet'!$B$11,Paramètres!$A$1:$I$89,5,0)</f>
        <v>0</v>
      </c>
      <c r="BF48" s="14" t="e">
        <f t="shared" si="37"/>
        <v>#NUM!</v>
      </c>
      <c r="BG48" s="22" t="e">
        <f t="shared" si="7"/>
        <v>#NUM!</v>
      </c>
      <c r="BH48" s="62" t="e">
        <f t="shared" si="8"/>
        <v>#NUM!</v>
      </c>
      <c r="BI48" s="62">
        <f ca="1">AVERAGE(OFFSET($BH$3,0,0,'Données projet'!$E$11+1,1))-AVERAGE(OFFSET($H$3,0,0,'Données projet'!$E$11+1,1))</f>
        <v>40.594438615105105</v>
      </c>
      <c r="BJ48" s="62">
        <f t="shared" si="38"/>
        <v>238.55583229663102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33.964809001076006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5.864821565875096E-3</v>
      </c>
      <c r="BS48" s="24">
        <f t="shared" si="9"/>
        <v>33.970673822641878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>
        <f>BY48*VLOOKUP('Données projet'!$B$12,Paramètres!$A$1:$I$89,3,0)*VLOOKUP('Données projet'!$B$12,Paramètres!$A$1:$I$89,5,0)</f>
        <v>0</v>
      </c>
      <c r="CA48" s="14" t="e">
        <f t="shared" si="39"/>
        <v>#NUM!</v>
      </c>
      <c r="CB48" s="22" t="e">
        <f t="shared" si="10"/>
        <v>#NUM!</v>
      </c>
      <c r="CC48" s="62" t="e">
        <f t="shared" si="11"/>
        <v>#NUM!</v>
      </c>
      <c r="CD48" s="62">
        <f ca="1">AVERAGE(OFFSET($CC$3,0,0,'Données projet'!$E$12+1,1))-AVERAGE(OFFSET($H$3,0,0,'Données projet'!$E$12+1,1))</f>
        <v>41.074766157499596</v>
      </c>
      <c r="CE48" s="62">
        <f t="shared" si="40"/>
        <v>240.92787656206917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34.277368593110445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5.9187923164813047E-3</v>
      </c>
      <c r="CN48" s="24">
        <f t="shared" si="12"/>
        <v>34.283287385426924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7.9</v>
      </c>
      <c r="N49" s="14">
        <f>IF('Données projet'!$A$36&gt;35,N48+M49-V48,IF(A49&lt;'Données projet'!$A$36,$K$205^A49,IF(A49='Données projet'!$A$36,'Données projet'!$B$36,N48+M49-V48)))</f>
        <v>262.39999999999992</v>
      </c>
      <c r="O49" s="14">
        <f>N49*VLOOKUP('Données projet'!$B$9,Paramètres!$A$1:$I$89,3,0)*VLOOKUP('Données projet'!$B$9,Paramètres!$A$1:$I$89,5,0)</f>
        <v>156.91519999999997</v>
      </c>
      <c r="P49" s="14">
        <f t="shared" si="33"/>
        <v>40.145943758721963</v>
      </c>
      <c r="Q49" s="22">
        <f t="shared" si="53"/>
        <v>343.21482537977403</v>
      </c>
      <c r="R49" s="62">
        <f t="shared" si="0"/>
        <v>636.54815871310734</v>
      </c>
      <c r="S49" s="62">
        <f ca="1">AVERAGE(OFFSET($R$3,0,0,'Données projet'!$E$9+1,1))-AVERAGE(OFFSET($H$3,0,0,'Données projet'!$E$9+1,1))</f>
        <v>150.79185880109804</v>
      </c>
      <c r="T49" s="62">
        <f t="shared" si="34"/>
        <v>231.70571415193996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6.0323786607474448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9.1965485439416975E-2</v>
      </c>
      <c r="AC49" s="24">
        <f t="shared" si="3"/>
        <v>6.1243441461868615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145.20000000000005</v>
      </c>
      <c r="AJ49" s="14">
        <f>AI49*VLOOKUP('Données projet'!$B$10,Paramètres!$A$1:$I$89,3,0)*VLOOKUP('Données projet'!$B$10,Paramètres!$A$1:$I$89,5,0)</f>
        <v>147.23280000000005</v>
      </c>
      <c r="AK49" s="14">
        <f t="shared" si="35"/>
        <v>37.949049623906205</v>
      </c>
      <c r="AL49" s="22">
        <f t="shared" si="4"/>
        <v>322.52505476163668</v>
      </c>
      <c r="AM49" s="62">
        <f t="shared" si="5"/>
        <v>615.85838809497</v>
      </c>
      <c r="AN49" s="62">
        <f ca="1">AVERAGE(OFFSET($AM$3,0,0,'Données projet'!$E$10+1,1))-AVERAGE(OFFSET($H$3,0,0,'Données projet'!$E$10+1,1))</f>
        <v>305.55480846093275</v>
      </c>
      <c r="AO49" s="62">
        <f t="shared" si="36"/>
        <v>179.56041631665812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1.9409820319211957</v>
      </c>
      <c r="AW49" s="23">
        <f>EXP(-LN(2)/2)*AW48+(1-EXP(-LN(2)/2))/(LN(2)/2)*AQ49*AT49*VLOOKUP('Données projet'!$B$10,Paramètres!$A$1:$I$89,3,0)*0.475*44/12</f>
        <v>5.4937591733300768E-2</v>
      </c>
      <c r="AX49" s="23">
        <f t="shared" si="6"/>
        <v>1.9959196236544965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>
        <f>BD49*VLOOKUP('Données projet'!$B$11,Paramètres!$A$1:$I$89,3,0)*VLOOKUP('Données projet'!$B$11,Paramètres!$A$1:$I$89,5,0)</f>
        <v>0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40.594438615105105</v>
      </c>
      <c r="BJ49" s="62">
        <f t="shared" si="38"/>
        <v>238.55583229663102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33.298779813052811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4.1470550996793865E-3</v>
      </c>
      <c r="BS49" s="24">
        <f t="shared" si="9"/>
        <v>33.30292686815249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>
        <f>BY49*VLOOKUP('Données projet'!$B$12,Paramètres!$A$1:$I$89,3,0)*VLOOKUP('Données projet'!$B$12,Paramètres!$A$1:$I$89,5,0)</f>
        <v>0</v>
      </c>
      <c r="CA49" s="14" t="e">
        <f t="shared" si="39"/>
        <v>#NUM!</v>
      </c>
      <c r="CB49" s="22" t="e">
        <f t="shared" si="10"/>
        <v>#NUM!</v>
      </c>
      <c r="CC49" s="62" t="e">
        <f t="shared" si="11"/>
        <v>#NUM!</v>
      </c>
      <c r="CD49" s="62">
        <f ca="1">AVERAGE(OFFSET($CC$3,0,0,'Données projet'!$E$12+1,1))-AVERAGE(OFFSET($H$3,0,0,'Données projet'!$E$12+1,1))</f>
        <v>41.074766157499596</v>
      </c>
      <c r="CE49" s="62">
        <f t="shared" si="40"/>
        <v>240.92787656206917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33.605210302129983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4.1852181834187646E-3</v>
      </c>
      <c r="CN49" s="24">
        <f t="shared" si="12"/>
        <v>33.609395520313399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7.9</v>
      </c>
      <c r="N50" s="14">
        <f>IF('Données projet'!$A$36&gt;35,N49+M50-V49,IF(A50&lt;'Données projet'!$A$36,$K$205^A50,IF(A50='Données projet'!$A$36,'Données projet'!$B$36,N49+M50-V49)))</f>
        <v>270.2999999999999</v>
      </c>
      <c r="O50" s="14">
        <f>N50*VLOOKUP('Données projet'!$B$9,Paramètres!$A$1:$I$89,3,0)*VLOOKUP('Données projet'!$B$9,Paramètres!$A$1:$I$89,5,0)</f>
        <v>161.63939999999997</v>
      </c>
      <c r="P50" s="14">
        <f t="shared" si="33"/>
        <v>41.212066982728679</v>
      </c>
      <c r="Q50" s="22">
        <f t="shared" si="53"/>
        <v>353.29963832825234</v>
      </c>
      <c r="R50" s="62">
        <f t="shared" si="0"/>
        <v>646.63297166158566</v>
      </c>
      <c r="S50" s="62">
        <f ca="1">AVERAGE(OFFSET($R$3,0,0,'Données projet'!$E$9+1,1))-AVERAGE(OFFSET($H$3,0,0,'Données projet'!$E$9+1,1))</f>
        <v>150.79185880109804</v>
      </c>
      <c r="T50" s="62">
        <f t="shared" si="34"/>
        <v>231.70571415193996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5.9140873945978614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6.5029418389324439E-2</v>
      </c>
      <c r="AC50" s="24">
        <f t="shared" si="3"/>
        <v>5.9791168129871854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153.40000000000003</v>
      </c>
      <c r="AJ50" s="14">
        <f>AI50*VLOOKUP('Données projet'!$B$10,Paramètres!$A$1:$I$89,3,0)*VLOOKUP('Données projet'!$B$10,Paramètres!$A$1:$I$89,5,0)</f>
        <v>155.54760000000005</v>
      </c>
      <c r="AK50" s="14">
        <f t="shared" si="35"/>
        <v>39.836620617816237</v>
      </c>
      <c r="AL50" s="22">
        <f t="shared" si="4"/>
        <v>340.29418424269664</v>
      </c>
      <c r="AM50" s="62">
        <f t="shared" si="5"/>
        <v>633.62751757602996</v>
      </c>
      <c r="AN50" s="62">
        <f ca="1">AVERAGE(OFFSET($AM$3,0,0,'Données projet'!$E$10+1,1))-AVERAGE(OFFSET($H$3,0,0,'Données projet'!$E$10+1,1))</f>
        <v>305.55480846093275</v>
      </c>
      <c r="AO50" s="62">
        <f t="shared" si="36"/>
        <v>179.56041631665812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1.8879057761865017</v>
      </c>
      <c r="AW50" s="23">
        <f>EXP(-LN(2)/2)*AW49+(1-EXP(-LN(2)/2))/(LN(2)/2)*AQ50*AT50*VLOOKUP('Données projet'!$B$10,Paramètres!$A$1:$I$89,3,0)*0.475*44/12</f>
        <v>3.8846743656674988E-2</v>
      </c>
      <c r="AX50" s="23">
        <f t="shared" si="6"/>
        <v>1.9267525198431767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>
        <f>BD50*VLOOKUP('Données projet'!$B$11,Paramètres!$A$1:$I$89,3,0)*VLOOKUP('Données projet'!$B$11,Paramètres!$A$1:$I$89,5,0)</f>
        <v>0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40.594438615105105</v>
      </c>
      <c r="BJ50" s="62">
        <f t="shared" si="38"/>
        <v>238.55583229663102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32.645811051169062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2.932410782937548E-3</v>
      </c>
      <c r="BS50" s="24">
        <f t="shared" si="9"/>
        <v>32.648743461952002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>
        <f>BY50*VLOOKUP('Données projet'!$B$12,Paramètres!$A$1:$I$89,3,0)*VLOOKUP('Données projet'!$B$12,Paramètres!$A$1:$I$89,5,0)</f>
        <v>0</v>
      </c>
      <c r="CA50" s="14" t="e">
        <f t="shared" si="39"/>
        <v>#NUM!</v>
      </c>
      <c r="CB50" s="22" t="e">
        <f t="shared" si="10"/>
        <v>#NUM!</v>
      </c>
      <c r="CC50" s="62" t="e">
        <f t="shared" si="11"/>
        <v>#NUM!</v>
      </c>
      <c r="CD50" s="62">
        <f ca="1">AVERAGE(OFFSET($CC$3,0,0,'Données projet'!$E$12+1,1))-AVERAGE(OFFSET($H$3,0,0,'Données projet'!$E$12+1,1))</f>
        <v>41.074766157499596</v>
      </c>
      <c r="CE50" s="62">
        <f t="shared" si="40"/>
        <v>240.92787656206917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32.946232625259569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2.9593961582406523E-3</v>
      </c>
      <c r="CN50" s="24">
        <f t="shared" si="12"/>
        <v>32.949192021417808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7.9</v>
      </c>
      <c r="N51" s="14">
        <f>IF('Données projet'!$A$36&gt;35,N50+M51-V50,IF(A51&lt;'Données projet'!$A$36,$K$205^A51,IF(A51='Données projet'!$A$36,'Données projet'!$B$36,N50+M51-V50)))</f>
        <v>278.19999999999987</v>
      </c>
      <c r="O51" s="14">
        <f>N51*VLOOKUP('Données projet'!$B$9,Paramètres!$A$1:$I$89,3,0)*VLOOKUP('Données projet'!$B$9,Paramètres!$A$1:$I$89,5,0)</f>
        <v>166.36359999999993</v>
      </c>
      <c r="P51" s="14">
        <f t="shared" si="33"/>
        <v>42.274568875588898</v>
      </c>
      <c r="Q51" s="22">
        <f t="shared" si="53"/>
        <v>363.37814412498386</v>
      </c>
      <c r="R51" s="62">
        <f t="shared" si="0"/>
        <v>656.71147745831718</v>
      </c>
      <c r="S51" s="62">
        <f ca="1">AVERAGE(OFFSET($R$3,0,0,'Données projet'!$E$9+1,1))-AVERAGE(OFFSET($H$3,0,0,'Données projet'!$E$9+1,1))</f>
        <v>150.79185880109804</v>
      </c>
      <c r="T51" s="62">
        <f t="shared" si="34"/>
        <v>231.70571415193996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5.7981157480269232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4.5982742719708487E-2</v>
      </c>
      <c r="AC51" s="24">
        <f t="shared" si="3"/>
        <v>5.8440984907466316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161.60000000000002</v>
      </c>
      <c r="AJ51" s="14">
        <f>AI51*VLOOKUP('Données projet'!$B$10,Paramètres!$A$1:$I$89,3,0)*VLOOKUP('Données projet'!$B$10,Paramètres!$A$1:$I$89,5,0)</f>
        <v>163.86240000000004</v>
      </c>
      <c r="AK51" s="14">
        <f t="shared" si="35"/>
        <v>41.712477409029084</v>
      </c>
      <c r="AL51" s="22">
        <f t="shared" si="4"/>
        <v>358.0429114873923</v>
      </c>
      <c r="AM51" s="62">
        <f t="shared" si="5"/>
        <v>651.37624482072556</v>
      </c>
      <c r="AN51" s="62">
        <f ca="1">AVERAGE(OFFSET($AM$3,0,0,'Données projet'!$E$10+1,1))-AVERAGE(OFFSET($H$3,0,0,'Données projet'!$E$10+1,1))</f>
        <v>305.55480846093275</v>
      </c>
      <c r="AO51" s="62">
        <f t="shared" si="36"/>
        <v>179.56041631665812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1.836280893456032</v>
      </c>
      <c r="AW51" s="23">
        <f>EXP(-LN(2)/2)*AW50+(1-EXP(-LN(2)/2))/(LN(2)/2)*AQ51*AT51*VLOOKUP('Données projet'!$B$10,Paramètres!$A$1:$I$89,3,0)*0.475*44/12</f>
        <v>2.7468795866650384E-2</v>
      </c>
      <c r="AX51" s="23">
        <f t="shared" si="6"/>
        <v>1.8637496893226824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>
        <f>BD51*VLOOKUP('Données projet'!$B$11,Paramètres!$A$1:$I$89,3,0)*VLOOKUP('Données projet'!$B$11,Paramètres!$A$1:$I$89,5,0)</f>
        <v>0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40.594438615105105</v>
      </c>
      <c r="BJ51" s="62">
        <f t="shared" si="38"/>
        <v>238.55583229663102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32.005646608434233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2.0735275498396932E-3</v>
      </c>
      <c r="BS51" s="24">
        <f t="shared" si="9"/>
        <v>32.007720135984073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>
        <f>BY51*VLOOKUP('Données projet'!$B$12,Paramètres!$A$1:$I$89,3,0)*VLOOKUP('Données projet'!$B$12,Paramètres!$A$1:$I$89,5,0)</f>
        <v>0</v>
      </c>
      <c r="CA51" s="14" t="e">
        <f t="shared" si="39"/>
        <v>#NUM!</v>
      </c>
      <c r="CB51" s="22" t="e">
        <f t="shared" si="10"/>
        <v>#NUM!</v>
      </c>
      <c r="CC51" s="62" t="e">
        <f t="shared" si="11"/>
        <v>#NUM!</v>
      </c>
      <c r="CD51" s="62">
        <f ca="1">AVERAGE(OFFSET($CC$3,0,0,'Données projet'!$E$12+1,1))-AVERAGE(OFFSET($H$3,0,0,'Données projet'!$E$12+1,1))</f>
        <v>41.074766157499596</v>
      </c>
      <c r="CE51" s="62">
        <f t="shared" si="40"/>
        <v>240.92787656206917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32.30017709869589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2.0926090917093823E-3</v>
      </c>
      <c r="CN51" s="24">
        <f t="shared" si="12"/>
        <v>32.302269707787602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7.9</v>
      </c>
      <c r="N52" s="14">
        <f>IF('Données projet'!$A$36&gt;35,N51+M52-V51,IF(A52&lt;'Données projet'!$A$36,$K$205^A52,IF(A52='Données projet'!$A$36,'Données projet'!$B$36,N51+M52-V51)))</f>
        <v>286.09999999999985</v>
      </c>
      <c r="O52" s="14">
        <f>N52*VLOOKUP('Données projet'!$B$9,Paramètres!$A$1:$I$89,3,0)*VLOOKUP('Données projet'!$B$9,Paramètres!$A$1:$I$89,5,0)</f>
        <v>171.08779999999993</v>
      </c>
      <c r="P52" s="14">
        <f t="shared" si="33"/>
        <v>43.333564083264214</v>
      </c>
      <c r="Q52" s="22">
        <f t="shared" si="53"/>
        <v>373.45054244501836</v>
      </c>
      <c r="R52" s="62">
        <f t="shared" si="0"/>
        <v>666.78387577835167</v>
      </c>
      <c r="S52" s="62">
        <f ca="1">AVERAGE(OFFSET($R$3,0,0,'Données projet'!$E$9+1,1))-AVERAGE(OFFSET($H$3,0,0,'Données projet'!$E$9+1,1))</f>
        <v>150.79185880109804</v>
      </c>
      <c r="T52" s="62">
        <f t="shared" si="34"/>
        <v>231.70571415193996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5.6844182347095211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3.251470919466222E-2</v>
      </c>
      <c r="AC52" s="24">
        <f t="shared" si="3"/>
        <v>5.7169329439041832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169.8</v>
      </c>
      <c r="AJ52" s="14">
        <f>AI52*VLOOKUP('Données projet'!$B$10,Paramètres!$A$1:$I$89,3,0)*VLOOKUP('Données projet'!$B$10,Paramètres!$A$1:$I$89,5,0)</f>
        <v>172.1772</v>
      </c>
      <c r="AK52" s="14">
        <f t="shared" si="35"/>
        <v>43.577282221917017</v>
      </c>
      <c r="AL52" s="22">
        <f t="shared" si="4"/>
        <v>375.77238986983883</v>
      </c>
      <c r="AM52" s="62">
        <f t="shared" si="5"/>
        <v>669.10572320317215</v>
      </c>
      <c r="AN52" s="62">
        <f ca="1">AVERAGE(OFFSET($AM$3,0,0,'Données projet'!$E$10+1,1))-AVERAGE(OFFSET($H$3,0,0,'Données projet'!$E$10+1,1))</f>
        <v>305.55480846093275</v>
      </c>
      <c r="AO52" s="62">
        <f t="shared" si="36"/>
        <v>179.56041631665812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1.7860676958586614</v>
      </c>
      <c r="AW52" s="23">
        <f>EXP(-LN(2)/2)*AW51+(1-EXP(-LN(2)/2))/(LN(2)/2)*AQ52*AT52*VLOOKUP('Données projet'!$B$10,Paramètres!$A$1:$I$89,3,0)*0.475*44/12</f>
        <v>1.9423371828337494E-2</v>
      </c>
      <c r="AX52" s="23">
        <f t="shared" si="6"/>
        <v>1.8054910676869989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>
        <f>BD52*VLOOKUP('Données projet'!$B$11,Paramètres!$A$1:$I$89,3,0)*VLOOKUP('Données projet'!$B$11,Paramètres!$A$1:$I$89,5,0)</f>
        <v>0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40.594438615105105</v>
      </c>
      <c r="BJ52" s="62">
        <f t="shared" si="38"/>
        <v>238.55583229663102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31.378035399959678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1.466205391468774E-3</v>
      </c>
      <c r="BS52" s="24">
        <f t="shared" si="9"/>
        <v>31.379501605351148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>
        <f>BY52*VLOOKUP('Données projet'!$B$12,Paramètres!$A$1:$I$89,3,0)*VLOOKUP('Données projet'!$B$12,Paramètres!$A$1:$I$89,5,0)</f>
        <v>0</v>
      </c>
      <c r="CA52" s="14" t="e">
        <f t="shared" si="39"/>
        <v>#NUM!</v>
      </c>
      <c r="CB52" s="22" t="e">
        <f t="shared" si="10"/>
        <v>#NUM!</v>
      </c>
      <c r="CC52" s="62" t="e">
        <f t="shared" si="11"/>
        <v>#NUM!</v>
      </c>
      <c r="CD52" s="62">
        <f ca="1">AVERAGE(OFFSET($CC$3,0,0,'Données projet'!$E$12+1,1))-AVERAGE(OFFSET($H$3,0,0,'Données projet'!$E$12+1,1))</f>
        <v>41.074766157499596</v>
      </c>
      <c r="CE52" s="62">
        <f t="shared" si="40"/>
        <v>240.92787656206917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31.666790326953166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1.4796980791203262E-3</v>
      </c>
      <c r="CN52" s="24">
        <f t="shared" si="12"/>
        <v>31.668270025032285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294</v>
      </c>
      <c r="L53" s="13">
        <f>VLOOKUP(A53,'Données projet'!$A$35:$I$55,9,0)</f>
        <v>7.9</v>
      </c>
      <c r="M53" s="13">
        <f t="array" ref="M53">INDEX(L:L,MIN(IF(ISNUMBER(L53:L249),ROW(L53:L249),"")))</f>
        <v>7.9</v>
      </c>
      <c r="N53" s="14">
        <f>IF('Données projet'!$A$36&gt;35,N52+M53-V52,IF(A53&lt;'Données projet'!$A$36,$K$205^A53,IF(A53='Données projet'!$A$36,'Données projet'!$B$36,N52+M53-V52)))</f>
        <v>293.99999999999983</v>
      </c>
      <c r="O53" s="14">
        <f>N53*VLOOKUP('Données projet'!$B$9,Paramètres!$A$1:$I$89,3,0)*VLOOKUP('Données projet'!$B$9,Paramètres!$A$1:$I$89,5,0)</f>
        <v>175.8119999999999</v>
      </c>
      <c r="P53" s="14">
        <f t="shared" si="33"/>
        <v>44.389160560041141</v>
      </c>
      <c r="Q53" s="22">
        <f t="shared" si="53"/>
        <v>383.51702130873815</v>
      </c>
      <c r="R53" s="62">
        <f t="shared" si="0"/>
        <v>676.85035464207147</v>
      </c>
      <c r="S53" s="62">
        <f ca="1">AVERAGE(OFFSET($R$3,0,0,'Données projet'!$E$9+1,1))-AVERAGE(OFFSET($H$3,0,0,'Données projet'!$E$9+1,1))</f>
        <v>150.79185880109804</v>
      </c>
      <c r="T53" s="62">
        <f t="shared" si="34"/>
        <v>231.70571415193996</v>
      </c>
      <c r="U53" s="16">
        <f>IF(ISNA(VLOOKUP(A53,'Données projet'!$A$35:$I$55,3,0)),0,VLOOKUP(A53,'Données projet'!$A$35:$I$55,3,0))</f>
        <v>5</v>
      </c>
      <c r="V53" s="16">
        <f>IF(ISNA(VLOOKUP(A53,'Données projet'!$A$35:$I$55,4,0)),0,VLOOKUP(A53,'Données projet'!$A$35:$I$55,4,0))</f>
        <v>294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5.5729502602796375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2.2991371359854244E-2</v>
      </c>
      <c r="AC53" s="24">
        <f t="shared" si="3"/>
        <v>5.5959416316394917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178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178</v>
      </c>
      <c r="AJ53" s="14">
        <f>AI53*VLOOKUP('Données projet'!$B$10,Paramètres!$A$1:$I$89,3,0)*VLOOKUP('Données projet'!$B$10,Paramètres!$A$1:$I$89,5,0)</f>
        <v>180.49200000000002</v>
      </c>
      <c r="AK53" s="14">
        <f t="shared" si="35"/>
        <v>45.431629706642653</v>
      </c>
      <c r="AL53" s="22">
        <f t="shared" si="4"/>
        <v>393.4836550724026</v>
      </c>
      <c r="AM53" s="62">
        <f t="shared" si="5"/>
        <v>686.81698840573586</v>
      </c>
      <c r="AN53" s="62">
        <f ca="1">AVERAGE(OFFSET($AM$3,0,0,'Données projet'!$E$10+1,1))-AVERAGE(OFFSET($H$3,0,0,'Données projet'!$E$10+1,1))</f>
        <v>305.55480846093275</v>
      </c>
      <c r="AO53" s="62">
        <f t="shared" si="36"/>
        <v>179.56041631665812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1.7372275807901882</v>
      </c>
      <c r="AW53" s="23">
        <f>EXP(-LN(2)/2)*AW52+(1-EXP(-LN(2)/2))/(LN(2)/2)*AQ53*AT53*VLOOKUP('Données projet'!$B$10,Paramètres!$A$1:$I$89,3,0)*0.475*44/12</f>
        <v>1.3734397933325192E-2</v>
      </c>
      <c r="AX53" s="23">
        <f t="shared" si="6"/>
        <v>1.7509619787235133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>
        <f>BD53*VLOOKUP('Données projet'!$B$11,Paramètres!$A$1:$I$89,3,0)*VLOOKUP('Données projet'!$B$11,Paramètres!$A$1:$I$89,5,0)</f>
        <v>0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40.594438615105105</v>
      </c>
      <c r="BJ53" s="62">
        <f t="shared" si="38"/>
        <v>238.55583229663102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30.762731264478273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1.0367637749198466E-3</v>
      </c>
      <c r="BS53" s="24">
        <f t="shared" si="9"/>
        <v>30.763768028253192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>
        <f>BY53*VLOOKUP('Données projet'!$B$12,Paramètres!$A$1:$I$89,3,0)*VLOOKUP('Données projet'!$B$12,Paramètres!$A$1:$I$89,5,0)</f>
        <v>0</v>
      </c>
      <c r="CA53" s="14" t="e">
        <f t="shared" si="39"/>
        <v>#NUM!</v>
      </c>
      <c r="CB53" s="22" t="e">
        <f t="shared" si="10"/>
        <v>#NUM!</v>
      </c>
      <c r="CC53" s="62" t="e">
        <f t="shared" si="11"/>
        <v>#NUM!</v>
      </c>
      <c r="CD53" s="62">
        <f ca="1">AVERAGE(OFFSET($CC$3,0,0,'Données projet'!$E$12+1,1))-AVERAGE(OFFSET($H$3,0,0,'Données projet'!$E$12+1,1))</f>
        <v>41.074766157499596</v>
      </c>
      <c r="CE53" s="62">
        <f t="shared" si="40"/>
        <v>240.92787656206917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31.045823883476533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1.0463045458546912E-3</v>
      </c>
      <c r="CN53" s="24">
        <f t="shared" si="12"/>
        <v>31.046870188022389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-1.7053025658242404E-13</v>
      </c>
      <c r="O54" s="14">
        <f>N54*VLOOKUP('Données projet'!$B$9,Paramètres!$A$1:$I$89,3,0)*VLOOKUP('Données projet'!$B$9,Paramètres!$A$1:$I$89,5,0)</f>
        <v>-1.0197709343628959E-13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150.79185880109804</v>
      </c>
      <c r="T54" s="62">
        <f t="shared" si="34"/>
        <v>231.70571415193996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5.4636681048395728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1.625735459733111E-2</v>
      </c>
      <c r="AC54" s="24">
        <f t="shared" si="3"/>
        <v>5.4799254594369042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167.31</v>
      </c>
      <c r="AK54" s="14">
        <f t="shared" si="35"/>
        <v>42.486994942347515</v>
      </c>
      <c r="AL54" s="22">
        <f t="shared" si="4"/>
        <v>365.39643285792187</v>
      </c>
      <c r="AM54" s="62">
        <f t="shared" si="5"/>
        <v>658.72976619125518</v>
      </c>
      <c r="AN54" s="62">
        <f ca="1">AVERAGE(OFFSET($AM$3,0,0,'Données projet'!$E$10+1,1))-AVERAGE(OFFSET($H$3,0,0,'Données projet'!$E$10+1,1))</f>
        <v>305.55480846093275</v>
      </c>
      <c r="AO54" s="62">
        <f t="shared" si="36"/>
        <v>179.56041631665812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1.6897230012366526</v>
      </c>
      <c r="AW54" s="23">
        <f>EXP(-LN(2)/2)*AW53+(1-EXP(-LN(2)/2))/(LN(2)/2)*AQ54*AT54*VLOOKUP('Données projet'!$B$10,Paramètres!$A$1:$I$89,3,0)*0.475*44/12</f>
        <v>9.7116859141687471E-3</v>
      </c>
      <c r="AX54" s="23">
        <f t="shared" si="6"/>
        <v>1.6994346871508215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projet'!$B$11,Paramètres!$A$1:$I$89,3,0)*VLOOKUP('Données projet'!$B$11,Paramètres!$A$1:$I$89,5,0)</f>
        <v>0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40.594438615105105</v>
      </c>
      <c r="BJ54" s="62">
        <f t="shared" si="38"/>
        <v>238.55583229663102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30.159492867795191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7.33102695734387E-4</v>
      </c>
      <c r="BS54" s="24">
        <f t="shared" si="9"/>
        <v>30.160225970490924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>
        <f>BY54*VLOOKUP('Données projet'!$B$12,Paramètres!$A$1:$I$89,3,0)*VLOOKUP('Données projet'!$B$12,Paramètres!$A$1:$I$89,5,0)</f>
        <v>0</v>
      </c>
      <c r="CA54" s="14" t="e">
        <f t="shared" si="39"/>
        <v>#NUM!</v>
      </c>
      <c r="CB54" s="22" t="e">
        <f t="shared" si="10"/>
        <v>#NUM!</v>
      </c>
      <c r="CC54" s="62" t="e">
        <f t="shared" si="11"/>
        <v>#NUM!</v>
      </c>
      <c r="CD54" s="62">
        <f ca="1">AVERAGE(OFFSET($CC$3,0,0,'Données projet'!$E$12+1,1))-AVERAGE(OFFSET($H$3,0,0,'Données projet'!$E$12+1,1))</f>
        <v>41.074766157499596</v>
      </c>
      <c r="CE54" s="62">
        <f t="shared" si="40"/>
        <v>240.92787656206917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30.437034213204345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7.3984903956016309E-4</v>
      </c>
      <c r="CN54" s="24">
        <f t="shared" si="12"/>
        <v>30.437774062243907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-1.7053025658242404E-13</v>
      </c>
      <c r="O55" s="14">
        <f>N55*VLOOKUP('Données projet'!$B$9,Paramètres!$A$1:$I$89,3,0)*VLOOKUP('Données projet'!$B$9,Paramètres!$A$1:$I$89,5,0)</f>
        <v>-1.0197709343628959E-13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150.79185880109804</v>
      </c>
      <c r="T55" s="62">
        <f t="shared" si="34"/>
        <v>231.70571415193996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5.356528905812155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1.1495685679927122E-2</v>
      </c>
      <c r="AC55" s="24">
        <f t="shared" si="3"/>
        <v>5.3680245914920821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175.422</v>
      </c>
      <c r="AK55" s="14">
        <f t="shared" si="35"/>
        <v>44.302143412304737</v>
      </c>
      <c r="AL55" s="22">
        <f t="shared" si="4"/>
        <v>382.68621644309741</v>
      </c>
      <c r="AM55" s="62">
        <f t="shared" si="5"/>
        <v>676.01954977643072</v>
      </c>
      <c r="AN55" s="62">
        <f ca="1">AVERAGE(OFFSET($AM$3,0,0,'Données projet'!$E$10+1,1))-AVERAGE(OFFSET($H$3,0,0,'Données projet'!$E$10+1,1))</f>
        <v>305.55480846093275</v>
      </c>
      <c r="AO55" s="62">
        <f t="shared" si="36"/>
        <v>179.56041631665812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1.6435174369091656</v>
      </c>
      <c r="AW55" s="23">
        <f>EXP(-LN(2)/2)*AW54+(1-EXP(-LN(2)/2))/(LN(2)/2)*AQ55*AT55*VLOOKUP('Données projet'!$B$10,Paramètres!$A$1:$I$89,3,0)*0.475*44/12</f>
        <v>6.867198966662596E-3</v>
      </c>
      <c r="AX55" s="23">
        <f t="shared" si="6"/>
        <v>1.6503846358758283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projet'!$B$11,Paramètres!$A$1:$I$89,3,0)*VLOOKUP('Données projet'!$B$11,Paramètres!$A$1:$I$89,5,0)</f>
        <v>0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40.594438615105105</v>
      </c>
      <c r="BJ55" s="62">
        <f t="shared" si="38"/>
        <v>238.55583229663102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29.568083608131975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5.1838188745992331E-4</v>
      </c>
      <c r="BS55" s="24">
        <f t="shared" si="9"/>
        <v>29.568601990019435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>
        <f>BY55*VLOOKUP('Données projet'!$B$12,Paramètres!$A$1:$I$89,3,0)*VLOOKUP('Données projet'!$B$12,Paramètres!$A$1:$I$89,5,0)</f>
        <v>0</v>
      </c>
      <c r="CA55" s="14" t="e">
        <f t="shared" si="39"/>
        <v>#NUM!</v>
      </c>
      <c r="CB55" s="22" t="e">
        <f t="shared" si="10"/>
        <v>#NUM!</v>
      </c>
      <c r="CC55" s="62" t="e">
        <f t="shared" si="11"/>
        <v>#NUM!</v>
      </c>
      <c r="CD55" s="62">
        <f ca="1">AVERAGE(OFFSET($CC$3,0,0,'Données projet'!$E$12+1,1))-AVERAGE(OFFSET($H$3,0,0,'Données projet'!$E$12+1,1))</f>
        <v>41.074766157499596</v>
      </c>
      <c r="CE55" s="62">
        <f t="shared" si="40"/>
        <v>240.92787656206917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29.840182537041162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5.2315227292734558E-4</v>
      </c>
      <c r="CN55" s="24">
        <f t="shared" si="12"/>
        <v>29.840705689314088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-1.7053025658242404E-13</v>
      </c>
      <c r="O56" s="14">
        <f>N56*VLOOKUP('Données projet'!$B$9,Paramètres!$A$1:$I$89,3,0)*VLOOKUP('Données projet'!$B$9,Paramètres!$A$1:$I$89,5,0)</f>
        <v>-1.0197709343628959E-13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150.79185880109804</v>
      </c>
      <c r="T56" s="62">
        <f t="shared" si="34"/>
        <v>231.70571415193996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5.2514906411292062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8.1286772986655549E-3</v>
      </c>
      <c r="AC56" s="24">
        <f t="shared" si="3"/>
        <v>5.2596193184278714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183.53400000000002</v>
      </c>
      <c r="AK56" s="14">
        <f t="shared" si="35"/>
        <v>46.107544136839593</v>
      </c>
      <c r="AL56" s="22">
        <f t="shared" si="4"/>
        <v>399.95902270499568</v>
      </c>
      <c r="AM56" s="62">
        <f t="shared" si="5"/>
        <v>693.29235603832899</v>
      </c>
      <c r="AN56" s="62">
        <f ca="1">AVERAGE(OFFSET($AM$3,0,0,'Données projet'!$E$10+1,1))-AVERAGE(OFFSET($H$3,0,0,'Données projet'!$E$10+1,1))</f>
        <v>305.55480846093275</v>
      </c>
      <c r="AO56" s="62">
        <f t="shared" si="36"/>
        <v>179.56041631665812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1.5985753661680588</v>
      </c>
      <c r="AW56" s="23">
        <f>EXP(-LN(2)/2)*AW55+(1-EXP(-LN(2)/2))/(LN(2)/2)*AQ56*AT56*VLOOKUP('Données projet'!$B$10,Paramètres!$A$1:$I$89,3,0)*0.475*44/12</f>
        <v>4.8558429570843735E-3</v>
      </c>
      <c r="AX56" s="23">
        <f t="shared" si="6"/>
        <v>1.6034312091251433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projet'!$B$11,Paramètres!$A$1:$I$89,3,0)*VLOOKUP('Données projet'!$B$11,Paramètres!$A$1:$I$89,5,0)</f>
        <v>0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40.594438615105105</v>
      </c>
      <c r="BJ56" s="62">
        <f t="shared" si="38"/>
        <v>238.55583229663102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28.988271523326723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3.665513478671935E-4</v>
      </c>
      <c r="BS56" s="24">
        <f t="shared" si="9"/>
        <v>28.98863807467459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>
        <f>BY56*VLOOKUP('Données projet'!$B$12,Paramètres!$A$1:$I$89,3,0)*VLOOKUP('Données projet'!$B$12,Paramètres!$A$1:$I$89,5,0)</f>
        <v>0</v>
      </c>
      <c r="CA56" s="14" t="e">
        <f t="shared" si="39"/>
        <v>#NUM!</v>
      </c>
      <c r="CB56" s="22" t="e">
        <f t="shared" si="10"/>
        <v>#NUM!</v>
      </c>
      <c r="CC56" s="62" t="e">
        <f t="shared" si="11"/>
        <v>#NUM!</v>
      </c>
      <c r="CD56" s="62">
        <f ca="1">AVERAGE(OFFSET($CC$3,0,0,'Données projet'!$E$12+1,1))-AVERAGE(OFFSET($H$3,0,0,'Données projet'!$E$12+1,1))</f>
        <v>41.074766157499596</v>
      </c>
      <c r="CE56" s="62">
        <f t="shared" si="40"/>
        <v>240.92787656206917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29.255034758203962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3.6992451978008154E-4</v>
      </c>
      <c r="CN56" s="24">
        <f t="shared" si="12"/>
        <v>29.255404682723743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-1.7053025658242404E-13</v>
      </c>
      <c r="O57" s="14">
        <f>N57*VLOOKUP('Données projet'!$B$9,Paramètres!$A$1:$I$89,3,0)*VLOOKUP('Données projet'!$B$9,Paramètres!$A$1:$I$89,5,0)</f>
        <v>-1.0197709343628959E-13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150.79185880109804</v>
      </c>
      <c r="T57" s="62">
        <f t="shared" si="34"/>
        <v>231.70571415193996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5.1485121127496747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5.7478428399635609E-3</v>
      </c>
      <c r="AC57" s="24">
        <f t="shared" si="3"/>
        <v>5.1542599555896382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191.64600000000002</v>
      </c>
      <c r="AK57" s="14">
        <f t="shared" si="35"/>
        <v>47.903677189291635</v>
      </c>
      <c r="AL57" s="22">
        <f t="shared" si="4"/>
        <v>417.21568777134962</v>
      </c>
      <c r="AM57" s="62">
        <f t="shared" si="5"/>
        <v>710.54902110468288</v>
      </c>
      <c r="AN57" s="62">
        <f ca="1">AVERAGE(OFFSET($AM$3,0,0,'Données projet'!$E$10+1,1))-AVERAGE(OFFSET($H$3,0,0,'Données projet'!$E$10+1,1))</f>
        <v>305.55480846093275</v>
      </c>
      <c r="AO57" s="62">
        <f t="shared" si="36"/>
        <v>179.56041631665812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1.5548622387147684</v>
      </c>
      <c r="AW57" s="23">
        <f>EXP(-LN(2)/2)*AW56+(1-EXP(-LN(2)/2))/(LN(2)/2)*AQ57*AT57*VLOOKUP('Données projet'!$B$10,Paramètres!$A$1:$I$89,3,0)*0.475*44/12</f>
        <v>3.433599483331298E-3</v>
      </c>
      <c r="AX57" s="23">
        <f t="shared" si="6"/>
        <v>1.5582958381980996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projet'!$B$11,Paramètres!$A$1:$I$89,3,0)*VLOOKUP('Données projet'!$B$11,Paramètres!$A$1:$I$89,5,0)</f>
        <v>0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40.594438615105105</v>
      </c>
      <c r="BJ57" s="62">
        <f t="shared" si="38"/>
        <v>238.55583229663102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28.419829199854053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2.5919094372996165E-4</v>
      </c>
      <c r="BS57" s="24">
        <f t="shared" si="9"/>
        <v>28.420088390797783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>
        <f>BY57*VLOOKUP('Données projet'!$B$12,Paramètres!$A$1:$I$89,3,0)*VLOOKUP('Données projet'!$B$12,Paramètres!$A$1:$I$89,5,0)</f>
        <v>0</v>
      </c>
      <c r="CA57" s="14" t="e">
        <f t="shared" si="39"/>
        <v>#NUM!</v>
      </c>
      <c r="CB57" s="22" t="e">
        <f t="shared" si="10"/>
        <v>#NUM!</v>
      </c>
      <c r="CC57" s="62" t="e">
        <f t="shared" si="11"/>
        <v>#NUM!</v>
      </c>
      <c r="CD57" s="62">
        <f ca="1">AVERAGE(OFFSET($CC$3,0,0,'Données projet'!$E$12+1,1))-AVERAGE(OFFSET($H$3,0,0,'Données projet'!$E$12+1,1))</f>
        <v>41.074766157499596</v>
      </c>
      <c r="CE57" s="62">
        <f t="shared" si="40"/>
        <v>240.92787656206917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28.681361370404854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2.6157613646367279E-4</v>
      </c>
      <c r="CN57" s="24">
        <f t="shared" si="12"/>
        <v>28.681622946541317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-1.7053025658242404E-13</v>
      </c>
      <c r="O58" s="14">
        <f>N58*VLOOKUP('Données projet'!$B$9,Paramètres!$A$1:$I$89,3,0)*VLOOKUP('Données projet'!$B$9,Paramètres!$A$1:$I$89,5,0)</f>
        <v>-1.0197709343628959E-13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150.79185880109804</v>
      </c>
      <c r="T58" s="62">
        <f t="shared" si="34"/>
        <v>231.70571415193996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5.0475529305009657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4.0643386493327775E-3</v>
      </c>
      <c r="AC58" s="24">
        <f t="shared" si="3"/>
        <v>5.0516172691502987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199.75800000000004</v>
      </c>
      <c r="AK58" s="14">
        <f t="shared" si="35"/>
        <v>49.690979702964015</v>
      </c>
      <c r="AL58" s="22">
        <f t="shared" si="4"/>
        <v>434.45697298266236</v>
      </c>
      <c r="AM58" s="62">
        <f t="shared" si="5"/>
        <v>727.79030631599562</v>
      </c>
      <c r="AN58" s="62">
        <f ca="1">AVERAGE(OFFSET($AM$3,0,0,'Données projet'!$E$10+1,1))-AVERAGE(OFFSET($H$3,0,0,'Données projet'!$E$10+1,1))</f>
        <v>305.55480846093275</v>
      </c>
      <c r="AO58" s="62">
        <f t="shared" si="36"/>
        <v>179.56041631665812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1.5123444490304616</v>
      </c>
      <c r="AW58" s="23">
        <f>EXP(-LN(2)/2)*AW57+(1-EXP(-LN(2)/2))/(LN(2)/2)*AQ58*AT58*VLOOKUP('Données projet'!$B$10,Paramètres!$A$1:$I$89,3,0)*0.475*44/12</f>
        <v>2.4279214785421868E-3</v>
      </c>
      <c r="AX58" s="23">
        <f t="shared" si="6"/>
        <v>1.5147723705090037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projet'!$B$11,Paramètres!$A$1:$I$89,3,0)*VLOOKUP('Données projet'!$B$11,Paramètres!$A$1:$I$89,5,0)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40.594438615105105</v>
      </c>
      <c r="BJ58" s="62">
        <f t="shared" si="38"/>
        <v>238.55583229663102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27.862533683629099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1.8327567393359675E-4</v>
      </c>
      <c r="BS58" s="24">
        <f t="shared" si="9"/>
        <v>27.862716959303032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>
        <f>BY58*VLOOKUP('Données projet'!$B$12,Paramètres!$A$1:$I$89,3,0)*VLOOKUP('Données projet'!$B$12,Paramètres!$A$1:$I$89,5,0)</f>
        <v>0</v>
      </c>
      <c r="CA58" s="14" t="e">
        <f t="shared" si="39"/>
        <v>#NUM!</v>
      </c>
      <c r="CB58" s="22" t="e">
        <f t="shared" si="10"/>
        <v>#NUM!</v>
      </c>
      <c r="CC58" s="62" t="e">
        <f t="shared" si="11"/>
        <v>#NUM!</v>
      </c>
      <c r="CD58" s="62">
        <f ca="1">AVERAGE(OFFSET($CC$3,0,0,'Données projet'!$E$12+1,1))-AVERAGE(OFFSET($H$3,0,0,'Données projet'!$E$12+1,1))</f>
        <v>41.074766157499596</v>
      </c>
      <c r="CE58" s="62">
        <f t="shared" si="40"/>
        <v>240.92787656206917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28.11893736783427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1.8496225989004077E-4</v>
      </c>
      <c r="CN58" s="24">
        <f t="shared" si="12"/>
        <v>28.119122330094161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-1.7053025658242404E-13</v>
      </c>
      <c r="O59" s="14">
        <f>N59*VLOOKUP('Données projet'!$B$9,Paramètres!$A$1:$I$89,3,0)*VLOOKUP('Données projet'!$B$9,Paramètres!$A$1:$I$89,5,0)</f>
        <v>-1.0197709343628959E-13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150.79185880109804</v>
      </c>
      <c r="T59" s="62">
        <f t="shared" si="34"/>
        <v>231.70571415193996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4.9485734962371328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2.8739214199817805E-3</v>
      </c>
      <c r="AC59" s="24">
        <f t="shared" si="3"/>
        <v>4.951447417657115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183.6</v>
      </c>
      <c r="AJ59" s="14">
        <f>AI59*VLOOKUP('Données projet'!$B$10,Paramètres!$A$1:$I$89,3,0)*VLOOKUP('Données projet'!$B$10,Paramètres!$A$1:$I$89,5,0)</f>
        <v>186.1704</v>
      </c>
      <c r="AK59" s="14">
        <f t="shared" si="35"/>
        <v>46.692281933796018</v>
      </c>
      <c r="AL59" s="22">
        <f t="shared" si="4"/>
        <v>405.56917103469476</v>
      </c>
      <c r="AM59" s="62">
        <f t="shared" si="5"/>
        <v>698.90250436802808</v>
      </c>
      <c r="AN59" s="62">
        <f ca="1">AVERAGE(OFFSET($AM$3,0,0,'Données projet'!$E$10+1,1))-AVERAGE(OFFSET($H$3,0,0,'Données projet'!$E$10+1,1))</f>
        <v>305.55480846093275</v>
      </c>
      <c r="AO59" s="62">
        <f t="shared" si="36"/>
        <v>179.56041631665812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1.4709893105409855</v>
      </c>
      <c r="AW59" s="23">
        <f>EXP(-LN(2)/2)*AW58+(1-EXP(-LN(2)/2))/(LN(2)/2)*AQ59*AT59*VLOOKUP('Données projet'!$B$10,Paramètres!$A$1:$I$89,3,0)*0.475*44/12</f>
        <v>1.716799741665649E-3</v>
      </c>
      <c r="AX59" s="23">
        <f t="shared" si="6"/>
        <v>1.4727061102826511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projet'!$B$11,Paramètres!$A$1:$I$89,3,0)*VLOOKUP('Données projet'!$B$11,Paramètres!$A$1:$I$89,5,0)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40.594438615105105</v>
      </c>
      <c r="BJ59" s="62">
        <f t="shared" si="38"/>
        <v>238.55583229663102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27.316166392560614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1.2959547186498083E-4</v>
      </c>
      <c r="BS59" s="24">
        <f t="shared" si="9"/>
        <v>27.316295988032479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>
        <f>BY59*VLOOKUP('Données projet'!$B$12,Paramètres!$A$1:$I$89,3,0)*VLOOKUP('Données projet'!$B$12,Paramètres!$A$1:$I$89,5,0)</f>
        <v>0</v>
      </c>
      <c r="CA59" s="14" t="e">
        <f t="shared" si="39"/>
        <v>#NUM!</v>
      </c>
      <c r="CB59" s="22" t="e">
        <f t="shared" si="10"/>
        <v>#NUM!</v>
      </c>
      <c r="CC59" s="62" t="e">
        <f t="shared" si="11"/>
        <v>#NUM!</v>
      </c>
      <c r="CD59" s="62">
        <f ca="1">AVERAGE(OFFSET($CC$3,0,0,'Données projet'!$E$12+1,1))-AVERAGE(OFFSET($H$3,0,0,'Données projet'!$E$12+1,1))</f>
        <v>41.074766157499596</v>
      </c>
      <c r="CE59" s="62">
        <f t="shared" si="40"/>
        <v>240.92787656206917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27.56754215690933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1.307880682318364E-4</v>
      </c>
      <c r="CN59" s="24">
        <f t="shared" si="12"/>
        <v>27.567672944977563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-1.7053025658242404E-13</v>
      </c>
      <c r="O60" s="14">
        <f>N60*VLOOKUP('Données projet'!$B$9,Paramètres!$A$1:$I$89,3,0)*VLOOKUP('Données projet'!$B$9,Paramètres!$A$1:$I$89,5,0)</f>
        <v>-1.0197709343628959E-13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150.79185880109804</v>
      </c>
      <c r="T60" s="62">
        <f t="shared" si="34"/>
        <v>231.70571415193996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4.8515349883077201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2.0321693246663887E-3</v>
      </c>
      <c r="AC60" s="24">
        <f t="shared" si="3"/>
        <v>4.8535671576323862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191.2</v>
      </c>
      <c r="AJ60" s="14">
        <f>AI60*VLOOKUP('Données projet'!$B$10,Paramètres!$A$1:$I$89,3,0)*VLOOKUP('Données projet'!$B$10,Paramètres!$A$1:$I$89,5,0)</f>
        <v>193.8768</v>
      </c>
      <c r="AK60" s="14">
        <f t="shared" si="35"/>
        <v>48.396048099527611</v>
      </c>
      <c r="AL60" s="22">
        <f t="shared" si="4"/>
        <v>421.95854377334393</v>
      </c>
      <c r="AM60" s="62">
        <f t="shared" si="5"/>
        <v>715.29187710667725</v>
      </c>
      <c r="AN60" s="62">
        <f ca="1">AVERAGE(OFFSET($AM$3,0,0,'Données projet'!$E$10+1,1))-AVERAGE(OFFSET($H$3,0,0,'Données projet'!$E$10+1,1))</f>
        <v>305.55480846093275</v>
      </c>
      <c r="AO60" s="62">
        <f t="shared" si="36"/>
        <v>179.56041631665812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1.4307650304882764</v>
      </c>
      <c r="AW60" s="23">
        <f>EXP(-LN(2)/2)*AW59+(1-EXP(-LN(2)/2))/(LN(2)/2)*AQ60*AT60*VLOOKUP('Données projet'!$B$10,Paramètres!$A$1:$I$89,3,0)*0.475*44/12</f>
        <v>1.2139607392710934E-3</v>
      </c>
      <c r="AX60" s="23">
        <f t="shared" si="6"/>
        <v>1.4319789912275476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projet'!$B$11,Paramètres!$A$1:$I$89,3,0)*VLOOKUP('Données projet'!$B$11,Paramètres!$A$1:$I$89,5,0)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40.594438615105105</v>
      </c>
      <c r="BJ60" s="62">
        <f t="shared" si="38"/>
        <v>238.55583229663102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26.780513030818842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9.1637836966798375E-5</v>
      </c>
      <c r="BS60" s="24">
        <f t="shared" si="9"/>
        <v>26.780604668655808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>
        <f>BY60*VLOOKUP('Données projet'!$B$12,Paramètres!$A$1:$I$89,3,0)*VLOOKUP('Données projet'!$B$12,Paramètres!$A$1:$I$89,5,0)</f>
        <v>0</v>
      </c>
      <c r="CA60" s="14" t="e">
        <f t="shared" si="39"/>
        <v>#NUM!</v>
      </c>
      <c r="CB60" s="22" t="e">
        <f t="shared" si="10"/>
        <v>#NUM!</v>
      </c>
      <c r="CC60" s="62" t="e">
        <f t="shared" si="11"/>
        <v>#NUM!</v>
      </c>
      <c r="CD60" s="62">
        <f ca="1">AVERAGE(OFFSET($CC$3,0,0,'Données projet'!$E$12+1,1))-AVERAGE(OFFSET($H$3,0,0,'Données projet'!$E$12+1,1))</f>
        <v>41.074766157499596</v>
      </c>
      <c r="CE60" s="62">
        <f t="shared" si="40"/>
        <v>240.92787656206917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27.026959469752754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9.2481129945020386E-5</v>
      </c>
      <c r="CN60" s="24">
        <f t="shared" si="12"/>
        <v>27.027051950882697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-1.7053025658242404E-13</v>
      </c>
      <c r="O61" s="14">
        <f>N61*VLOOKUP('Données projet'!$B$9,Paramètres!$A$1:$I$89,3,0)*VLOOKUP('Données projet'!$B$9,Paramètres!$A$1:$I$89,5,0)</f>
        <v>-1.0197709343628959E-13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150.79185880109804</v>
      </c>
      <c r="T61" s="62">
        <f t="shared" si="34"/>
        <v>231.70571415193996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4.7563993463311576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1.4369607099908902E-3</v>
      </c>
      <c r="AC61" s="24">
        <f t="shared" si="3"/>
        <v>4.7578363070411482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198.79999999999998</v>
      </c>
      <c r="AJ61" s="14">
        <f>AI61*VLOOKUP('Données projet'!$B$10,Paramètres!$A$1:$I$89,3,0)*VLOOKUP('Données projet'!$B$10,Paramètres!$A$1:$I$89,5,0)</f>
        <v>201.58320000000001</v>
      </c>
      <c r="AK61" s="14">
        <f t="shared" si="35"/>
        <v>50.091947337331924</v>
      </c>
      <c r="AL61" s="22">
        <f t="shared" si="4"/>
        <v>438.33421494585309</v>
      </c>
      <c r="AM61" s="62">
        <f t="shared" si="5"/>
        <v>731.66754827918635</v>
      </c>
      <c r="AN61" s="62">
        <f ca="1">AVERAGE(OFFSET($AM$3,0,0,'Données projet'!$E$10+1,1))-AVERAGE(OFFSET($H$3,0,0,'Données projet'!$E$10+1,1))</f>
        <v>305.55480846093275</v>
      </c>
      <c r="AO61" s="62">
        <f t="shared" si="36"/>
        <v>179.56041631665812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1.3916406854889116</v>
      </c>
      <c r="AW61" s="23">
        <f>EXP(-LN(2)/2)*AW60+(1-EXP(-LN(2)/2))/(LN(2)/2)*AQ61*AT61*VLOOKUP('Données projet'!$B$10,Paramètres!$A$1:$I$89,3,0)*0.475*44/12</f>
        <v>8.583998708328245E-4</v>
      </c>
      <c r="AX61" s="23">
        <f t="shared" si="6"/>
        <v>1.3924990853597445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projet'!$B$11,Paramètres!$A$1:$I$89,3,0)*VLOOKUP('Données projet'!$B$11,Paramètres!$A$1:$I$89,5,0)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40.594438615105105</v>
      </c>
      <c r="BJ61" s="62">
        <f t="shared" si="38"/>
        <v>238.55583229663102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26.255363504784537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6.4797735932490413E-5</v>
      </c>
      <c r="BS61" s="24">
        <f t="shared" si="9"/>
        <v>26.255428302520471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>
        <f>BY61*VLOOKUP('Données projet'!$B$12,Paramètres!$A$1:$I$89,3,0)*VLOOKUP('Données projet'!$B$12,Paramètres!$A$1:$I$89,5,0)</f>
        <v>0</v>
      </c>
      <c r="CA61" s="14" t="e">
        <f t="shared" si="39"/>
        <v>#NUM!</v>
      </c>
      <c r="CB61" s="22" t="e">
        <f t="shared" si="10"/>
        <v>#NUM!</v>
      </c>
      <c r="CC61" s="62" t="e">
        <f t="shared" si="11"/>
        <v>#NUM!</v>
      </c>
      <c r="CD61" s="62">
        <f ca="1">AVERAGE(OFFSET($CC$3,0,0,'Données projet'!$E$12+1,1))-AVERAGE(OFFSET($H$3,0,0,'Données projet'!$E$12+1,1))</f>
        <v>41.074766157499596</v>
      </c>
      <c r="CE61" s="62">
        <f t="shared" si="40"/>
        <v>240.92787656206917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26.496977279368437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6.5394034115918198E-5</v>
      </c>
      <c r="CN61" s="24">
        <f t="shared" si="12"/>
        <v>26.497042673402554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-1.7053025658242404E-13</v>
      </c>
      <c r="O62" s="14">
        <f>N62*VLOOKUP('Données projet'!$B$9,Paramètres!$A$1:$I$89,3,0)*VLOOKUP('Données projet'!$B$9,Paramètres!$A$1:$I$89,5,0)</f>
        <v>-1.0197709343628959E-13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150.79185880109804</v>
      </c>
      <c r="T62" s="62">
        <f t="shared" si="34"/>
        <v>231.70571415193996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4.6631292562667435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1.0160846623331944E-3</v>
      </c>
      <c r="AC62" s="24">
        <f t="shared" si="3"/>
        <v>4.6641453409290765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206.39999999999998</v>
      </c>
      <c r="AJ62" s="14">
        <f>AI62*VLOOKUP('Données projet'!$B$10,Paramètres!$A$1:$I$89,3,0)*VLOOKUP('Données projet'!$B$10,Paramètres!$A$1:$I$89,5,0)</f>
        <v>209.28960000000001</v>
      </c>
      <c r="AK62" s="14">
        <f t="shared" si="35"/>
        <v>51.780314822292169</v>
      </c>
      <c r="AL62" s="22">
        <f t="shared" si="4"/>
        <v>454.69676831549214</v>
      </c>
      <c r="AM62" s="62">
        <f t="shared" si="5"/>
        <v>748.03010164882539</v>
      </c>
      <c r="AN62" s="62">
        <f ca="1">AVERAGE(OFFSET($AM$3,0,0,'Données projet'!$E$10+1,1))-AVERAGE(OFFSET($H$3,0,0,'Données projet'!$E$10+1,1))</f>
        <v>305.55480846093275</v>
      </c>
      <c r="AO62" s="62">
        <f t="shared" si="36"/>
        <v>179.56041631665812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1.3535861977610144</v>
      </c>
      <c r="AW62" s="23">
        <f>EXP(-LN(2)/2)*AW61+(1-EXP(-LN(2)/2))/(LN(2)/2)*AQ62*AT62*VLOOKUP('Données projet'!$B$10,Paramètres!$A$1:$I$89,3,0)*0.475*44/12</f>
        <v>6.0698036963554669E-4</v>
      </c>
      <c r="AX62" s="23">
        <f t="shared" si="6"/>
        <v>1.35419317813065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projet'!$B$11,Paramètres!$A$1:$I$89,3,0)*VLOOKUP('Données projet'!$B$11,Paramètres!$A$1:$I$89,5,0)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40.594438615105105</v>
      </c>
      <c r="BJ62" s="62">
        <f t="shared" si="38"/>
        <v>238.55583229663102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25.740511840646182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4.5818918483399188E-5</v>
      </c>
      <c r="BS62" s="24">
        <f t="shared" si="9"/>
        <v>25.740557659564665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>
        <f>BY62*VLOOKUP('Données projet'!$B$12,Paramètres!$A$1:$I$89,3,0)*VLOOKUP('Données projet'!$B$12,Paramètres!$A$1:$I$89,5,0)</f>
        <v>0</v>
      </c>
      <c r="CA62" s="14" t="e">
        <f t="shared" si="39"/>
        <v>#NUM!</v>
      </c>
      <c r="CB62" s="22" t="e">
        <f t="shared" si="10"/>
        <v>#NUM!</v>
      </c>
      <c r="CC62" s="62" t="e">
        <f t="shared" si="11"/>
        <v>#NUM!</v>
      </c>
      <c r="CD62" s="62">
        <f ca="1">AVERAGE(OFFSET($CC$3,0,0,'Données projet'!$E$12+1,1))-AVERAGE(OFFSET($H$3,0,0,'Données projet'!$E$12+1,1))</f>
        <v>41.074766157499596</v>
      </c>
      <c r="CE62" s="62">
        <f t="shared" si="40"/>
        <v>240.92787656206917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25.97738771648034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4.6240564972510193E-5</v>
      </c>
      <c r="CN62" s="24">
        <f t="shared" si="12"/>
        <v>25.977433957045314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-1.7053025658242404E-13</v>
      </c>
      <c r="O63" s="14">
        <f>N63*VLOOKUP('Données projet'!$B$9,Paramètres!$A$1:$I$89,3,0)*VLOOKUP('Données projet'!$B$9,Paramètres!$A$1:$I$89,5,0)</f>
        <v>-1.0197709343628959E-13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150.79185880109804</v>
      </c>
      <c r="T63" s="62">
        <f t="shared" si="34"/>
        <v>231.70571415193996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4.5716881357793548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7.1848035499544511E-4</v>
      </c>
      <c r="AC63" s="24">
        <f t="shared" si="3"/>
        <v>4.5724066161343506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213.99999999999997</v>
      </c>
      <c r="AJ63" s="14">
        <f>AI63*VLOOKUP('Données projet'!$B$10,Paramètres!$A$1:$I$89,3,0)*VLOOKUP('Données projet'!$B$10,Paramètres!$A$1:$I$89,5,0)</f>
        <v>216.99600000000001</v>
      </c>
      <c r="AK63" s="14">
        <f t="shared" si="35"/>
        <v>53.461459647386917</v>
      </c>
      <c r="AL63" s="22">
        <f t="shared" si="4"/>
        <v>471.04674221919896</v>
      </c>
      <c r="AM63" s="62">
        <f t="shared" si="5"/>
        <v>764.38007555253228</v>
      </c>
      <c r="AN63" s="62">
        <f ca="1">AVERAGE(OFFSET($AM$3,0,0,'Données projet'!$E$10+1,1))-AVERAGE(OFFSET($H$3,0,0,'Données projet'!$E$10+1,1))</f>
        <v>305.55480846093275</v>
      </c>
      <c r="AO63" s="62">
        <f t="shared" si="36"/>
        <v>179.56041631665812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1.3165723120012349</v>
      </c>
      <c r="AW63" s="23">
        <f>EXP(-LN(2)/2)*AW62+(1-EXP(-LN(2)/2))/(LN(2)/2)*AQ63*AT63*VLOOKUP('Données projet'!$B$10,Paramètres!$A$1:$I$89,3,0)*0.475*44/12</f>
        <v>4.2919993541641225E-4</v>
      </c>
      <c r="AX63" s="23">
        <f t="shared" si="6"/>
        <v>1.3170015119366514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projet'!$B$11,Paramètres!$A$1:$I$89,3,0)*VLOOKUP('Données projet'!$B$11,Paramètres!$A$1:$I$89,5,0)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40.594438615105105</v>
      </c>
      <c r="BJ63" s="62">
        <f t="shared" si="38"/>
        <v>238.55583229663102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25.23575610361307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3.2398867966245207E-5</v>
      </c>
      <c r="BS63" s="24">
        <f t="shared" si="9"/>
        <v>25.235788502481036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>
        <f>BY63*VLOOKUP('Données projet'!$B$12,Paramètres!$A$1:$I$89,3,0)*VLOOKUP('Données projet'!$B$12,Paramètres!$A$1:$I$89,5,0)</f>
        <v>0</v>
      </c>
      <c r="CA63" s="14" t="e">
        <f t="shared" si="39"/>
        <v>#NUM!</v>
      </c>
      <c r="CB63" s="22" t="e">
        <f t="shared" si="10"/>
        <v>#NUM!</v>
      </c>
      <c r="CC63" s="62" t="e">
        <f t="shared" si="11"/>
        <v>#NUM!</v>
      </c>
      <c r="CD63" s="62">
        <f ca="1">AVERAGE(OFFSET($CC$3,0,0,'Données projet'!$E$12+1,1))-AVERAGE(OFFSET($H$3,0,0,'Données projet'!$E$12+1,1))</f>
        <v>41.074766157499596</v>
      </c>
      <c r="CE63" s="62">
        <f t="shared" si="40"/>
        <v>240.92787656206917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25.467986988002139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3.2697017057959099E-5</v>
      </c>
      <c r="CN63" s="24">
        <f t="shared" si="12"/>
        <v>25.468019685019197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-1.7053025658242404E-13</v>
      </c>
      <c r="O64" s="14">
        <f>N64*VLOOKUP('Données projet'!$B$9,Paramètres!$A$1:$I$89,3,0)*VLOOKUP('Données projet'!$B$9,Paramètres!$A$1:$I$89,5,0)</f>
        <v>-1.0197709343628959E-13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150.79185880109804</v>
      </c>
      <c r="T64" s="62">
        <f t="shared" si="34"/>
        <v>231.70571415193996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4.4820401198911473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5.0804233116659718E-4</v>
      </c>
      <c r="AC64" s="24">
        <f t="shared" si="3"/>
        <v>4.4825481622223142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203.00279999999995</v>
      </c>
      <c r="AK64" s="14">
        <f t="shared" si="35"/>
        <v>50.403518824343074</v>
      </c>
      <c r="AL64" s="22">
        <f t="shared" si="4"/>
        <v>441.3493386190641</v>
      </c>
      <c r="AM64" s="62">
        <f t="shared" si="5"/>
        <v>734.68267195239741</v>
      </c>
      <c r="AN64" s="62">
        <f ca="1">AVERAGE(OFFSET($AM$3,0,0,'Données projet'!$E$10+1,1))-AVERAGE(OFFSET($H$3,0,0,'Données projet'!$E$10+1,1))</f>
        <v>305.55480846093275</v>
      </c>
      <c r="AO64" s="62">
        <f t="shared" si="36"/>
        <v>179.56041631665812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1.2805705728940324</v>
      </c>
      <c r="AW64" s="23">
        <f>EXP(-LN(2)/2)*AW63+(1-EXP(-LN(2)/2))/(LN(2)/2)*AQ64*AT64*VLOOKUP('Données projet'!$B$10,Paramètres!$A$1:$I$89,3,0)*0.475*44/12</f>
        <v>3.0349018481777335E-4</v>
      </c>
      <c r="AX64" s="23">
        <f t="shared" si="6"/>
        <v>1.2808740630788502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40.594438615105105</v>
      </c>
      <c r="BJ64" s="62">
        <f t="shared" si="38"/>
        <v>238.55583229663102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24.740898318712578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2.2909459241699594E-5</v>
      </c>
      <c r="BS64" s="24">
        <f t="shared" si="9"/>
        <v>24.740921228171821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>
        <f>BY64*VLOOKUP('Données projet'!$B$12,Paramètres!$A$1:$I$89,3,0)*VLOOKUP('Données projet'!$B$12,Paramètres!$A$1:$I$89,5,0)</f>
        <v>0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41.074766157499596</v>
      </c>
      <c r="CE64" s="62">
        <f t="shared" si="40"/>
        <v>240.92787656206917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24.96857529710563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2.3120282486255096E-5</v>
      </c>
      <c r="CN64" s="24">
        <f t="shared" si="12"/>
        <v>24.968598417388115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-1.7053025658242404E-13</v>
      </c>
      <c r="O65" s="14">
        <f>N65*VLOOKUP('Données projet'!$B$9,Paramètres!$A$1:$I$89,3,0)*VLOOKUP('Données projet'!$B$9,Paramètres!$A$1:$I$89,5,0)</f>
        <v>-1.0197709343628959E-13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150.79185880109804</v>
      </c>
      <c r="T65" s="62">
        <f t="shared" si="34"/>
        <v>231.70571415193996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4.3941500469146169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3.5924017749772256E-4</v>
      </c>
      <c r="AC65" s="24">
        <f t="shared" si="3"/>
        <v>4.3945092870921147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210.30359999999996</v>
      </c>
      <c r="AK65" s="14">
        <f t="shared" si="35"/>
        <v>52.001924357524459</v>
      </c>
      <c r="AL65" s="22">
        <f t="shared" si="4"/>
        <v>456.84878825602163</v>
      </c>
      <c r="AM65" s="62">
        <f t="shared" si="5"/>
        <v>750.18212158935489</v>
      </c>
      <c r="AN65" s="62">
        <f ca="1">AVERAGE(OFFSET($AM$3,0,0,'Données projet'!$E$10+1,1))-AVERAGE(OFFSET($H$3,0,0,'Données projet'!$E$10+1,1))</f>
        <v>305.55480846093275</v>
      </c>
      <c r="AO65" s="62">
        <f t="shared" si="36"/>
        <v>179.56041631665812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1.2455533032359654</v>
      </c>
      <c r="AW65" s="23">
        <f>EXP(-LN(2)/2)*AW64+(1-EXP(-LN(2)/2))/(LN(2)/2)*AQ65*AT65*VLOOKUP('Données projet'!$B$10,Paramètres!$A$1:$I$89,3,0)*0.475*44/12</f>
        <v>2.1459996770820613E-4</v>
      </c>
      <c r="AX65" s="23">
        <f t="shared" si="6"/>
        <v>1.2457679032036735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40.594438615105105</v>
      </c>
      <c r="BJ65" s="62">
        <f t="shared" si="38"/>
        <v>238.55583229663102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24.255744393140539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1.6199433983122603E-5</v>
      </c>
      <c r="BS65" s="24">
        <f t="shared" si="9"/>
        <v>24.255760592574521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>
        <f>BY65*VLOOKUP('Données projet'!$B$12,Paramètres!$A$1:$I$89,3,0)*VLOOKUP('Données projet'!$B$12,Paramètres!$A$1:$I$89,5,0)</f>
        <v>0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41.074766157499596</v>
      </c>
      <c r="CE65" s="62">
        <f t="shared" si="40"/>
        <v>240.92787656206917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24.478956764856548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1.6348508528979549E-5</v>
      </c>
      <c r="CN65" s="24">
        <f t="shared" si="12"/>
        <v>24.478973113365075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-1.7053025658242404E-13</v>
      </c>
      <c r="O66" s="14">
        <f>N66*VLOOKUP('Données projet'!$B$9,Paramètres!$A$1:$I$89,3,0)*VLOOKUP('Données projet'!$B$9,Paramètres!$A$1:$I$89,5,0)</f>
        <v>-1.0197709343628959E-13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150.79185880109804</v>
      </c>
      <c r="T66" s="62">
        <f t="shared" si="34"/>
        <v>231.70571415193996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4.3079834446615051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2.5402116558329859E-4</v>
      </c>
      <c r="AC66" s="24">
        <f t="shared" si="3"/>
        <v>4.3082374658270881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217.60439999999994</v>
      </c>
      <c r="AK66" s="14">
        <f t="shared" si="35"/>
        <v>53.593882578706356</v>
      </c>
      <c r="AL66" s="22">
        <f t="shared" si="4"/>
        <v>472.33700882458015</v>
      </c>
      <c r="AM66" s="62">
        <f t="shared" si="5"/>
        <v>765.67034215791341</v>
      </c>
      <c r="AN66" s="62">
        <f ca="1">AVERAGE(OFFSET($AM$3,0,0,'Données projet'!$E$10+1,1))-AVERAGE(OFFSET($H$3,0,0,'Données projet'!$E$10+1,1))</f>
        <v>305.55480846093275</v>
      </c>
      <c r="AO66" s="62">
        <f t="shared" si="36"/>
        <v>179.56041631665812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1.2114935826581765</v>
      </c>
      <c r="AW66" s="23">
        <f>EXP(-LN(2)/2)*AW65+(1-EXP(-LN(2)/2))/(LN(2)/2)*AQ66*AT66*VLOOKUP('Données projet'!$B$10,Paramètres!$A$1:$I$89,3,0)*0.475*44/12</f>
        <v>1.5174509240888667E-4</v>
      </c>
      <c r="AX66" s="23">
        <f t="shared" si="6"/>
        <v>1.2116453277505854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40.594438615105105</v>
      </c>
      <c r="BJ66" s="62">
        <f t="shared" si="38"/>
        <v>238.55583229663102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23.780104040134294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1.1454729620849797E-5</v>
      </c>
      <c r="BS66" s="24">
        <f t="shared" si="9"/>
        <v>23.780115494863914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>
        <f>BY66*VLOOKUP('Données projet'!$B$12,Paramètres!$A$1:$I$89,3,0)*VLOOKUP('Données projet'!$B$12,Paramètres!$A$1:$I$89,5,0)</f>
        <v>0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41.074766157499596</v>
      </c>
      <c r="CE66" s="62">
        <f t="shared" si="40"/>
        <v>240.92787656206917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23.998939353387055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1.1560141243127548E-5</v>
      </c>
      <c r="CN66" s="24">
        <f t="shared" si="12"/>
        <v>23.998950913528297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-1.7053025658242404E-13</v>
      </c>
      <c r="O67" s="14">
        <f>N67*VLOOKUP('Données projet'!$B$9,Paramètres!$A$1:$I$89,3,0)*VLOOKUP('Données projet'!$B$9,Paramètres!$A$1:$I$89,5,0)</f>
        <v>-1.0197709343628959E-13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150.79185880109804</v>
      </c>
      <c r="T67" s="62">
        <f t="shared" si="34"/>
        <v>231.70571415193996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4.2235065169221393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1.7962008874886128E-4</v>
      </c>
      <c r="AC67" s="24">
        <f t="shared" si="3"/>
        <v>4.2236861370108878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224.90519999999995</v>
      </c>
      <c r="AK67" s="14">
        <f t="shared" si="35"/>
        <v>55.17963460003309</v>
      </c>
      <c r="AL67" s="22">
        <f t="shared" si="4"/>
        <v>487.81442026172425</v>
      </c>
      <c r="AM67" s="62">
        <f t="shared" si="5"/>
        <v>781.14775359505757</v>
      </c>
      <c r="AN67" s="62">
        <f ca="1">AVERAGE(OFFSET($AM$3,0,0,'Données projet'!$E$10+1,1))-AVERAGE(OFFSET($H$3,0,0,'Données projet'!$E$10+1,1))</f>
        <v>305.55480846093275</v>
      </c>
      <c r="AO67" s="62">
        <f t="shared" si="36"/>
        <v>179.56041631665812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1.1783652269307101</v>
      </c>
      <c r="AW67" s="23">
        <f>EXP(-LN(2)/2)*AW66+(1-EXP(-LN(2)/2))/(LN(2)/2)*AQ67*AT67*VLOOKUP('Données projet'!$B$10,Paramètres!$A$1:$I$89,3,0)*0.475*44/12</f>
        <v>1.0729998385410306E-4</v>
      </c>
      <c r="AX67" s="23">
        <f t="shared" si="6"/>
        <v>1.1784725269145642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40.594438615105105</v>
      </c>
      <c r="BJ67" s="62">
        <f t="shared" si="38"/>
        <v>238.55583229663102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23.31379070433853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8.0997169915613017E-6</v>
      </c>
      <c r="BS67" s="24">
        <f t="shared" si="9"/>
        <v>23.313798804055523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>
        <f>BY67*VLOOKUP('Données projet'!$B$12,Paramètres!$A$1:$I$89,3,0)*VLOOKUP('Données projet'!$B$12,Paramètres!$A$1:$I$89,5,0)</f>
        <v>0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41.074766157499596</v>
      </c>
      <c r="CE67" s="62">
        <f t="shared" si="40"/>
        <v>240.92787656206917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23.528334790574768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8.1742542644897747E-6</v>
      </c>
      <c r="CN67" s="24">
        <f t="shared" si="12"/>
        <v>23.528342964829033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-1.7053025658242404E-13</v>
      </c>
      <c r="O68" s="14">
        <f>N68*VLOOKUP('Données projet'!$B$9,Paramètres!$A$1:$I$89,3,0)*VLOOKUP('Données projet'!$B$9,Paramètres!$A$1:$I$89,5,0)</f>
        <v>-1.0197709343628959E-13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150.79185880109804</v>
      </c>
      <c r="T68" s="62">
        <f t="shared" si="34"/>
        <v>231.70571415193996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4.1406861302099038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1.270105827916493E-4</v>
      </c>
      <c r="AC68" s="24">
        <f t="shared" ref="AC68:AC131" si="57">SUM(Z68:AB68)</f>
        <v>4.1408131407926954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232.2059999999999</v>
      </c>
      <c r="AK68" s="14">
        <f t="shared" si="35"/>
        <v>56.759404991217522</v>
      </c>
      <c r="AL68" s="22">
        <f t="shared" ref="AL68:AL131" si="58">(AJ68+AK68)*0.475*44/12</f>
        <v>503.281413693037</v>
      </c>
      <c r="AM68" s="62">
        <f t="shared" ref="AM68:AM131" si="59">AL68+(AD68+AE68)*44/12</f>
        <v>796.61474702637031</v>
      </c>
      <c r="AN68" s="62">
        <f ca="1">AVERAGE(OFFSET($AM$3,0,0,'Données projet'!$E$10+1,1))-AVERAGE(OFFSET($H$3,0,0,'Données projet'!$E$10+1,1))</f>
        <v>305.55480846093275</v>
      </c>
      <c r="AO68" s="62">
        <f t="shared" si="36"/>
        <v>179.56041631665812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1.1461427678327558</v>
      </c>
      <c r="AW68" s="23">
        <f>EXP(-LN(2)/2)*AW67+(1-EXP(-LN(2)/2))/(LN(2)/2)*AQ68*AT68*VLOOKUP('Données projet'!$B$10,Paramètres!$A$1:$I$89,3,0)*0.475*44/12</f>
        <v>7.5872546204443336E-5</v>
      </c>
      <c r="AX68" s="23">
        <f t="shared" ref="AX68:AX131" si="60">SUM(AU68:AW68)</f>
        <v>1.1462186403789603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40.594438615105105</v>
      </c>
      <c r="BJ68" s="62">
        <f t="shared" si="38"/>
        <v>238.55583229663102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22.856621488634673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5.7273648104248984E-6</v>
      </c>
      <c r="BS68" s="24">
        <f t="shared" ref="BS68:BS131" si="63">SUM(BP68:BR68)</f>
        <v>22.856627215999485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>
        <f>BY68*VLOOKUP('Données projet'!$B$12,Paramètres!$A$1:$I$89,3,0)*VLOOKUP('Données projet'!$B$12,Paramètres!$A$1:$I$89,5,0)</f>
        <v>0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41.074766157499596</v>
      </c>
      <c r="CE68" s="62">
        <f t="shared" si="40"/>
        <v>240.92787656206917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23.066958496198787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5.7800706215637741E-6</v>
      </c>
      <c r="CN68" s="24">
        <f t="shared" ref="CN68:CN131" si="66">SUM(CK68:CM68)</f>
        <v>23.06696427626941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-1.7053025658242404E-13</v>
      </c>
      <c r="O69" s="14">
        <f>N69*VLOOKUP('Données projet'!$B$9,Paramètres!$A$1:$I$89,3,0)*VLOOKUP('Données projet'!$B$9,Paramètres!$A$1:$I$89,5,0)</f>
        <v>-1.0197709343628959E-13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150.79185880109804</v>
      </c>
      <c r="T69" s="62">
        <f t="shared" ref="T69:T132" si="88">$T$3</f>
        <v>231.70571415193996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4.0594898007656477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8.9810044374430639E-5</v>
      </c>
      <c r="AC69" s="24">
        <f t="shared" si="57"/>
        <v>4.0595796108100224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214.79999999999993</v>
      </c>
      <c r="AJ69" s="14">
        <f>AI69*VLOOKUP('Données projet'!$B$10,Paramètres!$A$1:$I$89,3,0)*VLOOKUP('Données projet'!$B$10,Paramètres!$A$1:$I$89,5,0)</f>
        <v>217.80719999999994</v>
      </c>
      <c r="AK69" s="14">
        <f t="shared" ref="AK69:AK132" si="89">EXP(-1.0587+0.8836*LN(AJ69)+0.284)</f>
        <v>53.638013973813976</v>
      </c>
      <c r="AL69" s="22">
        <f t="shared" si="58"/>
        <v>472.76708100439259</v>
      </c>
      <c r="AM69" s="62">
        <f t="shared" si="59"/>
        <v>766.10041433772585</v>
      </c>
      <c r="AN69" s="62">
        <f ca="1">AVERAGE(OFFSET($AM$3,0,0,'Données projet'!$E$10+1,1))-AVERAGE(OFFSET($H$3,0,0,'Données projet'!$E$10+1,1))</f>
        <v>305.55480846093275</v>
      </c>
      <c r="AO69" s="62">
        <f t="shared" ref="AO69:AO132" si="90">$AO$3</f>
        <v>179.56041631665812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1.1148014335733405</v>
      </c>
      <c r="AW69" s="23">
        <f>EXP(-LN(2)/2)*AW68+(1-EXP(-LN(2)/2))/(LN(2)/2)*AQ69*AT69*VLOOKUP('Données projet'!$B$10,Paramètres!$A$1:$I$89,3,0)*0.475*44/12</f>
        <v>5.3649991927051531E-5</v>
      </c>
      <c r="AX69" s="23">
        <f t="shared" si="60"/>
        <v>1.1148550835652675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40.594438615105105</v>
      </c>
      <c r="BJ69" s="62">
        <f t="shared" ref="BJ69:BJ132" si="92">$BJ$3</f>
        <v>238.55583229663102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22.40841708240508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4.0498584957806508E-6</v>
      </c>
      <c r="BS69" s="24">
        <f t="shared" si="63"/>
        <v>22.408421132263577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>
        <f>BY69*VLOOKUP('Données projet'!$B$12,Paramètres!$A$1:$I$89,3,0)*VLOOKUP('Données projet'!$B$12,Paramètres!$A$1:$I$89,5,0)</f>
        <v>0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41.074766157499596</v>
      </c>
      <c r="CE69" s="62">
        <f t="shared" ref="CE69:CE132" si="94">$CE$3</f>
        <v>240.92787656206917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22.614629509543768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4.0871271322448874E-6</v>
      </c>
      <c r="CN69" s="24">
        <f t="shared" si="66"/>
        <v>22.614633596670899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-1.7053025658242404E-13</v>
      </c>
      <c r="O70" s="14">
        <f>N70*VLOOKUP('Données projet'!$B$9,Paramètres!$A$1:$I$89,3,0)*VLOOKUP('Données projet'!$B$9,Paramètres!$A$1:$I$89,5,0)</f>
        <v>-1.0197709343628959E-13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150.79185880109804</v>
      </c>
      <c r="T70" s="62">
        <f t="shared" si="88"/>
        <v>231.70571415193996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3.9798856818169228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6.3505291395824648E-5</v>
      </c>
      <c r="AC70" s="24">
        <f t="shared" si="57"/>
        <v>3.9799491871083186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221.59999999999994</v>
      </c>
      <c r="AJ70" s="14">
        <f>AI70*VLOOKUP('Données projet'!$B$10,Paramètres!$A$1:$I$89,3,0)*VLOOKUP('Données projet'!$B$10,Paramètres!$A$1:$I$89,5,0)</f>
        <v>224.70239999999995</v>
      </c>
      <c r="AK70" s="14">
        <f t="shared" si="89"/>
        <v>55.135667706678262</v>
      </c>
      <c r="AL70" s="22">
        <f t="shared" si="58"/>
        <v>487.38463458913128</v>
      </c>
      <c r="AM70" s="62">
        <f t="shared" si="59"/>
        <v>780.7179679224646</v>
      </c>
      <c r="AN70" s="62">
        <f ca="1">AVERAGE(OFFSET($AM$3,0,0,'Données projet'!$E$10+1,1))-AVERAGE(OFFSET($H$3,0,0,'Données projet'!$E$10+1,1))</f>
        <v>305.55480846093275</v>
      </c>
      <c r="AO70" s="62">
        <f t="shared" si="90"/>
        <v>179.56041631665812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1.0843171297474181</v>
      </c>
      <c r="AW70" s="23">
        <f>EXP(-LN(2)/2)*AW69+(1-EXP(-LN(2)/2))/(LN(2)/2)*AQ70*AT70*VLOOKUP('Données projet'!$B$10,Paramètres!$A$1:$I$89,3,0)*0.475*44/12</f>
        <v>3.7936273102221668E-5</v>
      </c>
      <c r="AX70" s="23">
        <f t="shared" si="60"/>
        <v>1.0843550660205203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40.594438615105105</v>
      </c>
      <c r="BJ70" s="62">
        <f t="shared" si="92"/>
        <v>238.55583229663102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21.969001691203957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2.8636824052124492E-6</v>
      </c>
      <c r="BS70" s="24">
        <f t="shared" si="63"/>
        <v>21.969004554886361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>
        <f>BY70*VLOOKUP('Données projet'!$B$12,Paramètres!$A$1:$I$89,3,0)*VLOOKUP('Données projet'!$B$12,Paramètres!$A$1:$I$89,5,0)</f>
        <v>0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41.074766157499596</v>
      </c>
      <c r="CE70" s="62">
        <f t="shared" si="94"/>
        <v>240.92787656206917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22.171170418423614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2.8900353107818871E-6</v>
      </c>
      <c r="CN70" s="24">
        <f t="shared" si="66"/>
        <v>22.171173308458926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-1.7053025658242404E-13</v>
      </c>
      <c r="O71" s="14">
        <f>N71*VLOOKUP('Données projet'!$B$9,Paramètres!$A$1:$I$89,3,0)*VLOOKUP('Données projet'!$B$9,Paramètres!$A$1:$I$89,5,0)</f>
        <v>-1.0197709343628959E-13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150.79185880109804</v>
      </c>
      <c r="T71" s="62">
        <f t="shared" si="88"/>
        <v>231.70571415193996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3.9018425510870642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4.490502218721532E-5</v>
      </c>
      <c r="AC71" s="24">
        <f t="shared" si="57"/>
        <v>3.9018874561092516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228.39999999999995</v>
      </c>
      <c r="AJ71" s="14">
        <f>AI71*VLOOKUP('Données projet'!$B$10,Paramètres!$A$1:$I$89,3,0)*VLOOKUP('Données projet'!$B$10,Paramètres!$A$1:$I$89,5,0)</f>
        <v>231.59759999999997</v>
      </c>
      <c r="AK71" s="14">
        <f t="shared" si="89"/>
        <v>56.627980714948151</v>
      </c>
      <c r="AL71" s="22">
        <f t="shared" si="58"/>
        <v>501.99288641186791</v>
      </c>
      <c r="AM71" s="62">
        <f t="shared" si="59"/>
        <v>795.32621974520123</v>
      </c>
      <c r="AN71" s="62">
        <f ca="1">AVERAGE(OFFSET($AM$3,0,0,'Données projet'!$E$10+1,1))-AVERAGE(OFFSET($H$3,0,0,'Données projet'!$E$10+1,1))</f>
        <v>305.55480846093275</v>
      </c>
      <c r="AO71" s="62">
        <f t="shared" si="90"/>
        <v>179.56041631665812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1.0546664208127154</v>
      </c>
      <c r="AW71" s="23">
        <f>EXP(-LN(2)/2)*AW70+(1-EXP(-LN(2)/2))/(LN(2)/2)*AQ71*AT71*VLOOKUP('Données projet'!$B$10,Paramètres!$A$1:$I$89,3,0)*0.475*44/12</f>
        <v>2.6824995963525766E-5</v>
      </c>
      <c r="AX71" s="23">
        <f t="shared" si="60"/>
        <v>1.0546932458086791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40.594438615105105</v>
      </c>
      <c r="BJ71" s="62">
        <f t="shared" si="92"/>
        <v>238.55583229663102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21.538202967807361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2.0249292478903254E-6</v>
      </c>
      <c r="BS71" s="24">
        <f t="shared" si="63"/>
        <v>21.53820499273661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>
        <f>BY71*VLOOKUP('Données projet'!$B$12,Paramètres!$A$1:$I$89,3,0)*VLOOKUP('Données projet'!$B$12,Paramètres!$A$1:$I$89,5,0)</f>
        <v>0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41.074766157499596</v>
      </c>
      <c r="CE71" s="62">
        <f t="shared" si="94"/>
        <v>240.92787656206917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21.73640728959699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2.0435635661224437E-6</v>
      </c>
      <c r="CN71" s="24">
        <f t="shared" si="66"/>
        <v>21.736409333160555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-1.7053025658242404E-13</v>
      </c>
      <c r="O72" s="14">
        <f>N72*VLOOKUP('Données projet'!$B$9,Paramètres!$A$1:$I$89,3,0)*VLOOKUP('Données projet'!$B$9,Paramètres!$A$1:$I$89,5,0)</f>
        <v>-1.0197709343628959E-13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150.79185880109804</v>
      </c>
      <c r="T72" s="62">
        <f t="shared" si="88"/>
        <v>231.70571415193996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3.8253297985492085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3.1752645697912324E-5</v>
      </c>
      <c r="AC72" s="24">
        <f t="shared" si="57"/>
        <v>3.8253615511949066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235.19999999999996</v>
      </c>
      <c r="AJ72" s="14">
        <f>AI72*VLOOKUP('Données projet'!$B$10,Paramètres!$A$1:$I$89,3,0)*VLOOKUP('Données projet'!$B$10,Paramètres!$A$1:$I$89,5,0)</f>
        <v>238.49279999999996</v>
      </c>
      <c r="AK72" s="14">
        <f t="shared" si="89"/>
        <v>58.115130258576542</v>
      </c>
      <c r="AL72" s="22">
        <f t="shared" si="58"/>
        <v>516.59214520035414</v>
      </c>
      <c r="AM72" s="62">
        <f t="shared" si="59"/>
        <v>809.92547853368751</v>
      </c>
      <c r="AN72" s="62">
        <f ca="1">AVERAGE(OFFSET($AM$3,0,0,'Données projet'!$E$10+1,1))-AVERAGE(OFFSET($H$3,0,0,'Données projet'!$E$10+1,1))</f>
        <v>305.55480846093275</v>
      </c>
      <c r="AO72" s="62">
        <f t="shared" si="90"/>
        <v>179.56041631665812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1.0258265120730952</v>
      </c>
      <c r="AW72" s="23">
        <f>EXP(-LN(2)/2)*AW71+(1-EXP(-LN(2)/2))/(LN(2)/2)*AQ72*AT72*VLOOKUP('Données projet'!$B$10,Paramètres!$A$1:$I$89,3,0)*0.475*44/12</f>
        <v>1.8968136551110834E-5</v>
      </c>
      <c r="AX72" s="23">
        <f t="shared" si="60"/>
        <v>1.0258454802096462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40.594438615105105</v>
      </c>
      <c r="BJ72" s="62">
        <f t="shared" si="92"/>
        <v>238.55583229663102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21.115851944615297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1.4318412026062246E-6</v>
      </c>
      <c r="BS72" s="24">
        <f t="shared" si="63"/>
        <v>21.115853376456499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>
        <f>BY72*VLOOKUP('Données projet'!$B$12,Paramètres!$A$1:$I$89,3,0)*VLOOKUP('Données projet'!$B$12,Paramètres!$A$1:$I$89,5,0)</f>
        <v>0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41.074766157499596</v>
      </c>
      <c r="CE72" s="62">
        <f t="shared" si="94"/>
        <v>240.92787656206917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21.310169600547329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1.4450176553909435E-6</v>
      </c>
      <c r="CN72" s="24">
        <f t="shared" si="66"/>
        <v>21.310171045564985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-1.7053025658242404E-13</v>
      </c>
      <c r="O73" s="14">
        <f>N73*VLOOKUP('Données projet'!$B$9,Paramètres!$A$1:$I$89,3,0)*VLOOKUP('Données projet'!$B$9,Paramètres!$A$1:$I$89,5,0)</f>
        <v>-1.0197709343628959E-13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150.79185880109804</v>
      </c>
      <c r="T73" s="62">
        <f t="shared" si="88"/>
        <v>231.70571415193996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3.7503174144204494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2.245251109360766E-5</v>
      </c>
      <c r="AC73" s="24">
        <f t="shared" si="57"/>
        <v>3.7503398669315429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241.99999999999997</v>
      </c>
      <c r="AJ73" s="14">
        <f>AI73*VLOOKUP('Données projet'!$B$10,Paramètres!$A$1:$I$89,3,0)*VLOOKUP('Données projet'!$B$10,Paramètres!$A$1:$I$89,5,0)</f>
        <v>245.38799999999998</v>
      </c>
      <c r="AK73" s="14">
        <f t="shared" si="89"/>
        <v>59.597282764919569</v>
      </c>
      <c r="AL73" s="22">
        <f t="shared" si="58"/>
        <v>531.18270081556818</v>
      </c>
      <c r="AM73" s="62">
        <f t="shared" si="59"/>
        <v>824.51603414890155</v>
      </c>
      <c r="AN73" s="62">
        <f ca="1">AVERAGE(OFFSET($AM$3,0,0,'Données projet'!$E$10+1,1))-AVERAGE(OFFSET($H$3,0,0,'Données projet'!$E$10+1,1))</f>
        <v>305.55480846093275</v>
      </c>
      <c r="AO73" s="62">
        <f t="shared" si="90"/>
        <v>179.56041631665812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0.99777523215458463</v>
      </c>
      <c r="AW73" s="23">
        <f>EXP(-LN(2)/2)*AW72+(1-EXP(-LN(2)/2))/(LN(2)/2)*AQ73*AT73*VLOOKUP('Données projet'!$B$10,Paramètres!$A$1:$I$89,3,0)*0.475*44/12</f>
        <v>1.3412497981762883E-5</v>
      </c>
      <c r="AX73" s="23">
        <f t="shared" si="60"/>
        <v>0.99778864465256645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40.594438615105105</v>
      </c>
      <c r="BJ73" s="62">
        <f t="shared" si="92"/>
        <v>238.55583229663102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20.701782967379344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1.0124646239451627E-6</v>
      </c>
      <c r="BS73" s="24">
        <f t="shared" si="63"/>
        <v>20.701783979843967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>
        <f>BY73*VLOOKUP('Données projet'!$B$12,Paramètres!$A$1:$I$89,3,0)*VLOOKUP('Données projet'!$B$12,Paramètres!$A$1:$I$89,5,0)</f>
        <v>0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41.074766157499596</v>
      </c>
      <c r="CE73" s="62">
        <f t="shared" si="94"/>
        <v>240.92787656206917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20.892290172600614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1.0217817830612218E-6</v>
      </c>
      <c r="CN73" s="24">
        <f t="shared" si="66"/>
        <v>20.892291194382398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-1.7053025658242404E-13</v>
      </c>
      <c r="O74" s="14">
        <f>N74*VLOOKUP('Données projet'!$B$9,Paramètres!$A$1:$I$89,3,0)*VLOOKUP('Données projet'!$B$9,Paramètres!$A$1:$I$89,5,0)</f>
        <v>-1.0197709343628959E-13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150.79185880109804</v>
      </c>
      <c r="T74" s="62">
        <f t="shared" si="88"/>
        <v>231.70571415193996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3.6767759773914186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1.5876322848956162E-5</v>
      </c>
      <c r="AC74" s="24">
        <f t="shared" si="57"/>
        <v>3.6767918537142674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227.19999999999996</v>
      </c>
      <c r="AJ74" s="14">
        <f>AI74*VLOOKUP('Données projet'!$B$10,Paramètres!$A$1:$I$89,3,0)*VLOOKUP('Données projet'!$B$10,Paramètres!$A$1:$I$89,5,0)</f>
        <v>230.38079999999997</v>
      </c>
      <c r="AK74" s="14">
        <f t="shared" si="89"/>
        <v>56.365011465139979</v>
      </c>
      <c r="AL74" s="22">
        <f t="shared" si="58"/>
        <v>499.41562163511867</v>
      </c>
      <c r="AM74" s="62">
        <f t="shared" si="59"/>
        <v>792.74895496845193</v>
      </c>
      <c r="AN74" s="62">
        <f ca="1">AVERAGE(OFFSET($AM$3,0,0,'Données projet'!$E$10+1,1))-AVERAGE(OFFSET($H$3,0,0,'Données projet'!$E$10+1,1))</f>
        <v>305.55480846093275</v>
      </c>
      <c r="AO74" s="62">
        <f t="shared" si="90"/>
        <v>179.56041631665812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0.9704910159605985</v>
      </c>
      <c r="AW74" s="23">
        <f>EXP(-LN(2)/2)*AW73+(1-EXP(-LN(2)/2))/(LN(2)/2)*AQ74*AT74*VLOOKUP('Données projet'!$B$10,Paramètres!$A$1:$I$89,3,0)*0.475*44/12</f>
        <v>9.4840682755554171E-6</v>
      </c>
      <c r="AX74" s="23">
        <f t="shared" si="60"/>
        <v>0.970500500028874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40.594438615105105</v>
      </c>
      <c r="BJ74" s="62">
        <f t="shared" si="92"/>
        <v>238.55583229663102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20.295833630229847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7.1592060130311231E-7</v>
      </c>
      <c r="BS74" s="24">
        <f t="shared" si="63"/>
        <v>20.29583434615045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>
        <f>BY74*VLOOKUP('Données projet'!$B$12,Paramètres!$A$1:$I$89,3,0)*VLOOKUP('Données projet'!$B$12,Paramètres!$A$1:$I$89,5,0)</f>
        <v>0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41.074766157499596</v>
      </c>
      <c r="CE74" s="62">
        <f t="shared" si="94"/>
        <v>240.92787656206917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20.482605105354651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7.2250882769547176E-7</v>
      </c>
      <c r="CN74" s="24">
        <f t="shared" si="66"/>
        <v>20.482605827863477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-1.7053025658242404E-13</v>
      </c>
      <c r="O75" s="14">
        <f>N75*VLOOKUP('Données projet'!$B$9,Paramètres!$A$1:$I$89,3,0)*VLOOKUP('Données projet'!$B$9,Paramètres!$A$1:$I$89,5,0)</f>
        <v>-1.0197709343628959E-13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150.79185880109804</v>
      </c>
      <c r="T75" s="62">
        <f t="shared" si="88"/>
        <v>231.70571415193996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3.6046766430866795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1.122625554680383E-5</v>
      </c>
      <c r="AC75" s="24">
        <f t="shared" si="57"/>
        <v>3.6046878693422264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233.39999999999995</v>
      </c>
      <c r="AJ75" s="14">
        <f>AI75*VLOOKUP('Données projet'!$B$10,Paramètres!$A$1:$I$89,3,0)*VLOOKUP('Données projet'!$B$10,Paramètres!$A$1:$I$89,5,0)</f>
        <v>236.66759999999996</v>
      </c>
      <c r="AK75" s="14">
        <f t="shared" si="89"/>
        <v>57.721965974560838</v>
      </c>
      <c r="AL75" s="22">
        <f t="shared" si="58"/>
        <v>512.72849407236004</v>
      </c>
      <c r="AM75" s="62">
        <f t="shared" si="59"/>
        <v>806.06182740569329</v>
      </c>
      <c r="AN75" s="62">
        <f ca="1">AVERAGE(OFFSET($AM$3,0,0,'Données projet'!$E$10+1,1))-AVERAGE(OFFSET($H$3,0,0,'Données projet'!$E$10+1,1))</f>
        <v>305.55480846093275</v>
      </c>
      <c r="AO75" s="62">
        <f t="shared" si="90"/>
        <v>179.56041631665812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0.94395288809325151</v>
      </c>
      <c r="AW75" s="23">
        <f>EXP(-LN(2)/2)*AW74+(1-EXP(-LN(2)/2))/(LN(2)/2)*AQ75*AT75*VLOOKUP('Données projet'!$B$10,Paramètres!$A$1:$I$89,3,0)*0.475*44/12</f>
        <v>6.7062489908814414E-6</v>
      </c>
      <c r="AX75" s="23">
        <f t="shared" si="60"/>
        <v>0.94395959434224241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40.594438615105105</v>
      </c>
      <c r="BJ75" s="62">
        <f t="shared" si="92"/>
        <v>238.55583229663102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19.897844711977207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5.0623231197258135E-7</v>
      </c>
      <c r="BS75" s="24">
        <f t="shared" si="63"/>
        <v>19.897845218209518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>
        <f>BY75*VLOOKUP('Données projet'!$B$12,Paramètres!$A$1:$I$89,3,0)*VLOOKUP('Données projet'!$B$12,Paramètres!$A$1:$I$89,5,0)</f>
        <v>0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41.074766157499596</v>
      </c>
      <c r="CE75" s="62">
        <f t="shared" si="94"/>
        <v>240.92787656206917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20.080953712394162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5.1089089153061092E-7</v>
      </c>
      <c r="CN75" s="24">
        <f t="shared" si="66"/>
        <v>20.080954223285055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-1.7053025658242404E-13</v>
      </c>
      <c r="O76" s="14">
        <f>N76*VLOOKUP('Données projet'!$B$9,Paramètres!$A$1:$I$89,3,0)*VLOOKUP('Données projet'!$B$9,Paramètres!$A$1:$I$89,5,0)</f>
        <v>-1.0197709343628959E-13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150.79185880109804</v>
      </c>
      <c r="T76" s="62">
        <f t="shared" si="88"/>
        <v>231.70571415193996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3.5339911327514049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7.938161424478081E-6</v>
      </c>
      <c r="AC76" s="24">
        <f t="shared" si="57"/>
        <v>3.5339990709128295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239.59999999999994</v>
      </c>
      <c r="AJ76" s="14">
        <f>AI76*VLOOKUP('Données projet'!$B$10,Paramètres!$A$1:$I$89,3,0)*VLOOKUP('Données projet'!$B$10,Paramètres!$A$1:$I$89,5,0)</f>
        <v>242.95439999999994</v>
      </c>
      <c r="AK76" s="14">
        <f t="shared" si="89"/>
        <v>59.074730698078945</v>
      </c>
      <c r="AL76" s="22">
        <f t="shared" si="58"/>
        <v>526.034069299154</v>
      </c>
      <c r="AM76" s="62">
        <f t="shared" si="59"/>
        <v>819.36740263248726</v>
      </c>
      <c r="AN76" s="62">
        <f ca="1">AVERAGE(OFFSET($AM$3,0,0,'Données projet'!$E$10+1,1))-AVERAGE(OFFSET($H$3,0,0,'Données projet'!$E$10+1,1))</f>
        <v>305.55480846093275</v>
      </c>
      <c r="AO76" s="62">
        <f t="shared" si="90"/>
        <v>179.56041631665812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0.91814044672801665</v>
      </c>
      <c r="AW76" s="23">
        <f>EXP(-LN(2)/2)*AW75+(1-EXP(-LN(2)/2))/(LN(2)/2)*AQ76*AT76*VLOOKUP('Données projet'!$B$10,Paramètres!$A$1:$I$89,3,0)*0.475*44/12</f>
        <v>4.7420341377777085E-6</v>
      </c>
      <c r="AX76" s="23">
        <f t="shared" si="60"/>
        <v>0.91814518876215445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40.594438615105105</v>
      </c>
      <c r="BJ76" s="62">
        <f t="shared" si="92"/>
        <v>238.55583229663102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19.507660113662229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3.5796030065155615E-7</v>
      </c>
      <c r="BS76" s="24">
        <f t="shared" si="63"/>
        <v>19.507660471622529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>
        <f>BY76*VLOOKUP('Données projet'!$B$12,Paramètres!$A$1:$I$89,3,0)*VLOOKUP('Données projet'!$B$12,Paramètres!$A$1:$I$89,5,0)</f>
        <v>0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41.074766157499596</v>
      </c>
      <c r="CE76" s="62">
        <f t="shared" si="94"/>
        <v>240.92787656206917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19.68717845826647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3.6125441384773588E-7</v>
      </c>
      <c r="CN76" s="24">
        <f t="shared" si="66"/>
        <v>19.687178819520884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-1.7053025658242404E-13</v>
      </c>
      <c r="O77" s="14">
        <f>N77*VLOOKUP('Données projet'!$B$9,Paramètres!$A$1:$I$89,3,0)*VLOOKUP('Données projet'!$B$9,Paramètres!$A$1:$I$89,5,0)</f>
        <v>-1.0197709343628959E-13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150.79185880109804</v>
      </c>
      <c r="T77" s="62">
        <f t="shared" si="88"/>
        <v>231.70571415193996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3.4646917221599005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5.613127773401915E-6</v>
      </c>
      <c r="AC77" s="24">
        <f t="shared" si="57"/>
        <v>3.4646973352876738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245.79999999999993</v>
      </c>
      <c r="AJ77" s="14">
        <f>AI77*VLOOKUP('Données projet'!$B$10,Paramètres!$A$1:$I$89,3,0)*VLOOKUP('Données projet'!$B$10,Paramètres!$A$1:$I$89,5,0)</f>
        <v>249.24119999999994</v>
      </c>
      <c r="AK77" s="14">
        <f t="shared" si="89"/>
        <v>60.42342651744692</v>
      </c>
      <c r="AL77" s="22">
        <f t="shared" si="58"/>
        <v>539.33255785121992</v>
      </c>
      <c r="AM77" s="62">
        <f t="shared" si="59"/>
        <v>832.66589118455317</v>
      </c>
      <c r="AN77" s="62">
        <f ca="1">AVERAGE(OFFSET($AM$3,0,0,'Données projet'!$E$10+1,1))-AVERAGE(OFFSET($H$3,0,0,'Données projet'!$E$10+1,1))</f>
        <v>305.55480846093275</v>
      </c>
      <c r="AO77" s="62">
        <f t="shared" si="90"/>
        <v>179.56041631665812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0.89303384792933138</v>
      </c>
      <c r="AW77" s="23">
        <f>EXP(-LN(2)/2)*AW76+(1-EXP(-LN(2)/2))/(LN(2)/2)*AQ77*AT77*VLOOKUP('Données projet'!$B$10,Paramètres!$A$1:$I$89,3,0)*0.475*44/12</f>
        <v>3.3531244954407207E-6</v>
      </c>
      <c r="AX77" s="23">
        <f t="shared" si="60"/>
        <v>0.89303720105382678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40.594438615105105</v>
      </c>
      <c r="BJ77" s="62">
        <f t="shared" si="92"/>
        <v>238.55583229663102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19.125126797331102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2.5311615598629068E-7</v>
      </c>
      <c r="BS77" s="24">
        <f t="shared" si="63"/>
        <v>19.125127050447258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>
        <f>BY77*VLOOKUP('Données projet'!$B$12,Paramètres!$A$1:$I$89,3,0)*VLOOKUP('Données projet'!$B$12,Paramètres!$A$1:$I$89,5,0)</f>
        <v>0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41.074766157499596</v>
      </c>
      <c r="CE77" s="62">
        <f t="shared" si="94"/>
        <v>240.92787656206917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19.301124896693032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2.5544544576530546E-7</v>
      </c>
      <c r="CN77" s="24">
        <f t="shared" si="66"/>
        <v>19.301125152138479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-1.7053025658242404E-13</v>
      </c>
      <c r="O78" s="14">
        <f>N78*VLOOKUP('Données projet'!$B$9,Paramètres!$A$1:$I$89,3,0)*VLOOKUP('Données projet'!$B$9,Paramètres!$A$1:$I$89,5,0)</f>
        <v>-1.0197709343628959E-13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150.79185880109804</v>
      </c>
      <c r="T78" s="62">
        <f t="shared" si="88"/>
        <v>231.70571415193996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3.396751230741629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3.9690807122390405E-6</v>
      </c>
      <c r="AC78" s="24">
        <f t="shared" si="57"/>
        <v>3.3967551998223411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251.99999999999991</v>
      </c>
      <c r="AJ78" s="14">
        <f>AI78*VLOOKUP('Données projet'!$B$10,Paramètres!$A$1:$I$89,3,0)*VLOOKUP('Données projet'!$B$10,Paramètres!$A$1:$I$89,5,0)</f>
        <v>255.52799999999993</v>
      </c>
      <c r="AK78" s="14">
        <f t="shared" si="89"/>
        <v>61.768167868721477</v>
      </c>
      <c r="AL78" s="22">
        <f t="shared" si="58"/>
        <v>552.62415903802309</v>
      </c>
      <c r="AM78" s="62">
        <f t="shared" si="59"/>
        <v>845.95749237135647</v>
      </c>
      <c r="AN78" s="62">
        <f ca="1">AVERAGE(OFFSET($AM$3,0,0,'Données projet'!$E$10+1,1))-AVERAGE(OFFSET($H$3,0,0,'Données projet'!$E$10+1,1))</f>
        <v>305.55480846093275</v>
      </c>
      <c r="AO78" s="62">
        <f t="shared" si="90"/>
        <v>179.56041631665812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0.86861379039509479</v>
      </c>
      <c r="AW78" s="23">
        <f>EXP(-LN(2)/2)*AW77+(1-EXP(-LN(2)/2))/(LN(2)/2)*AQ78*AT78*VLOOKUP('Données projet'!$B$10,Paramètres!$A$1:$I$89,3,0)*0.475*44/12</f>
        <v>2.3710170688888543E-6</v>
      </c>
      <c r="AX78" s="23">
        <f t="shared" si="60"/>
        <v>0.86861616141216369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40.594438615105105</v>
      </c>
      <c r="BJ78" s="62">
        <f t="shared" si="92"/>
        <v>238.55583229663102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18.750094726010946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1.7898015032577808E-7</v>
      </c>
      <c r="BS78" s="24">
        <f t="shared" si="63"/>
        <v>18.750094904991098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>
        <f>BY78*VLOOKUP('Données projet'!$B$12,Paramètres!$A$1:$I$89,3,0)*VLOOKUP('Données projet'!$B$12,Paramètres!$A$1:$I$89,5,0)</f>
        <v>0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41.074766157499596</v>
      </c>
      <c r="CE78" s="62">
        <f t="shared" si="94"/>
        <v>240.92787656206917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18.922641609992628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1.8062720692386794E-7</v>
      </c>
      <c r="CN78" s="24">
        <f t="shared" si="66"/>
        <v>18.922641790619835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-1.7053025658242404E-13</v>
      </c>
      <c r="O79" s="14">
        <f>N79*VLOOKUP('Données projet'!$B$9,Paramètres!$A$1:$I$89,3,0)*VLOOKUP('Données projet'!$B$9,Paramètres!$A$1:$I$89,5,0)</f>
        <v>-1.0197709343628959E-13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150.79185880109804</v>
      </c>
      <c r="T79" s="62">
        <f t="shared" si="88"/>
        <v>231.70571415193996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3.3301430109204619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2.8065638867009575E-6</v>
      </c>
      <c r="AC79" s="24">
        <f t="shared" si="57"/>
        <v>3.3301458174843486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236.99999999999989</v>
      </c>
      <c r="AJ79" s="14">
        <f>AI79*VLOOKUP('Données projet'!$B$10,Paramètres!$A$1:$I$89,3,0)*VLOOKUP('Données projet'!$B$10,Paramètres!$A$1:$I$89,5,0)</f>
        <v>240.3179999999999</v>
      </c>
      <c r="AK79" s="14">
        <f t="shared" si="89"/>
        <v>58.507944457766484</v>
      </c>
      <c r="AL79" s="22">
        <f t="shared" si="58"/>
        <v>520.45518659727634</v>
      </c>
      <c r="AM79" s="62">
        <f t="shared" si="59"/>
        <v>813.78851993060971</v>
      </c>
      <c r="AN79" s="62">
        <f ca="1">AVERAGE(OFFSET($AM$3,0,0,'Données projet'!$E$10+1,1))-AVERAGE(OFFSET($H$3,0,0,'Données projet'!$E$10+1,1))</f>
        <v>305.55480846093275</v>
      </c>
      <c r="AO79" s="62">
        <f t="shared" si="90"/>
        <v>179.56041631665812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0.84486150061832688</v>
      </c>
      <c r="AW79" s="23">
        <f>EXP(-LN(2)/2)*AW78+(1-EXP(-LN(2)/2))/(LN(2)/2)*AQ79*AT79*VLOOKUP('Données projet'!$B$10,Paramètres!$A$1:$I$89,3,0)*0.475*44/12</f>
        <v>1.6765622477203604E-6</v>
      </c>
      <c r="AX79" s="23">
        <f t="shared" si="60"/>
        <v>0.84486317718057458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40.594438615105105</v>
      </c>
      <c r="BJ79" s="62">
        <f t="shared" si="92"/>
        <v>238.55583229663102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18.382416804862402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1.2655807799314534E-7</v>
      </c>
      <c r="BS79" s="24">
        <f t="shared" si="63"/>
        <v>18.38241693142048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>
        <f>BY79*VLOOKUP('Données projet'!$B$12,Paramètres!$A$1:$I$89,3,0)*VLOOKUP('Données projet'!$B$12,Paramètres!$A$1:$I$89,5,0)</f>
        <v>0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41.074766157499596</v>
      </c>
      <c r="CE79" s="62">
        <f t="shared" si="94"/>
        <v>240.92787656206917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18.551580149692409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1.2772272288265273E-7</v>
      </c>
      <c r="CN79" s="24">
        <f t="shared" si="66"/>
        <v>18.55158027741513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-1.7053025658242404E-13</v>
      </c>
      <c r="O80" s="14">
        <f>N80*VLOOKUP('Données projet'!$B$9,Paramètres!$A$1:$I$89,3,0)*VLOOKUP('Données projet'!$B$9,Paramètres!$A$1:$I$89,5,0)</f>
        <v>-1.0197709343628959E-13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150.79185880109804</v>
      </c>
      <c r="T80" s="62">
        <f t="shared" si="88"/>
        <v>231.70571415193996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3.2648409376629854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1.9845403561195202E-6</v>
      </c>
      <c r="AC80" s="24">
        <f t="shared" si="57"/>
        <v>3.2648429222033415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242.99999999999989</v>
      </c>
      <c r="AJ80" s="14">
        <f>AI80*VLOOKUP('Données projet'!$B$10,Paramètres!$A$1:$I$89,3,0)*VLOOKUP('Données projet'!$B$10,Paramètres!$A$1:$I$89,5,0)</f>
        <v>246.4019999999999</v>
      </c>
      <c r="AK80" s="14">
        <f t="shared" si="89"/>
        <v>59.814834475385474</v>
      </c>
      <c r="AL80" s="22">
        <f t="shared" si="58"/>
        <v>533.32765337796286</v>
      </c>
      <c r="AM80" s="62">
        <f t="shared" si="59"/>
        <v>826.66098671129612</v>
      </c>
      <c r="AN80" s="62">
        <f ca="1">AVERAGE(OFFSET($AM$3,0,0,'Données projet'!$E$10+1,1))-AVERAGE(OFFSET($H$3,0,0,'Données projet'!$E$10+1,1))</f>
        <v>305.55480846093275</v>
      </c>
      <c r="AO80" s="62">
        <f t="shared" si="90"/>
        <v>179.56041631665812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0.82175871845458337</v>
      </c>
      <c r="AW80" s="23">
        <f>EXP(-LN(2)/2)*AW79+(1-EXP(-LN(2)/2))/(LN(2)/2)*AQ80*AT80*VLOOKUP('Données projet'!$B$10,Paramètres!$A$1:$I$89,3,0)*0.475*44/12</f>
        <v>1.1855085344444271E-6</v>
      </c>
      <c r="AX80" s="23">
        <f t="shared" si="60"/>
        <v>0.82175990396311782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40.594438615105105</v>
      </c>
      <c r="BJ80" s="62">
        <f t="shared" si="92"/>
        <v>238.55583229663102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18.021948823486191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8.9490075162889038E-8</v>
      </c>
      <c r="BS80" s="24">
        <f t="shared" si="63"/>
        <v>18.021948912976267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>
        <f>BY80*VLOOKUP('Données projet'!$B$12,Paramètres!$A$1:$I$89,3,0)*VLOOKUP('Données projet'!$B$12,Paramètres!$A$1:$I$89,5,0)</f>
        <v>0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41.074766157499596</v>
      </c>
      <c r="CE80" s="62">
        <f t="shared" si="94"/>
        <v>240.92787656206917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18.187794978303536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9.031360346193397E-8</v>
      </c>
      <c r="CN80" s="24">
        <f t="shared" si="66"/>
        <v>18.187795068617138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-1.7053025658242404E-13</v>
      </c>
      <c r="O81" s="14">
        <f>N81*VLOOKUP('Données projet'!$B$9,Paramètres!$A$1:$I$89,3,0)*VLOOKUP('Données projet'!$B$9,Paramètres!$A$1:$I$89,5,0)</f>
        <v>-1.0197709343628959E-13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150.79185880109804</v>
      </c>
      <c r="T81" s="62">
        <f t="shared" si="88"/>
        <v>231.70571415193996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3.2008193982317561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1.4032819433504787E-6</v>
      </c>
      <c r="AC81" s="24">
        <f t="shared" si="57"/>
        <v>3.2008208015136996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248.99999999999989</v>
      </c>
      <c r="AJ81" s="14">
        <f>AI81*VLOOKUP('Données projet'!$B$10,Paramètres!$A$1:$I$89,3,0)*VLOOKUP('Données projet'!$B$10,Paramètres!$A$1:$I$89,5,0)</f>
        <v>252.4859999999999</v>
      </c>
      <c r="AK81" s="14">
        <f t="shared" si="89"/>
        <v>61.117973383957384</v>
      </c>
      <c r="AL81" s="22">
        <f t="shared" si="58"/>
        <v>546.193586977059</v>
      </c>
      <c r="AM81" s="62">
        <f t="shared" si="59"/>
        <v>839.52692031039237</v>
      </c>
      <c r="AN81" s="62">
        <f ca="1">AVERAGE(OFFSET($AM$3,0,0,'Données projet'!$E$10+1,1))-AVERAGE(OFFSET($H$3,0,0,'Données projet'!$E$10+1,1))</f>
        <v>305.55480846093275</v>
      </c>
      <c r="AO81" s="62">
        <f t="shared" si="90"/>
        <v>179.56041631665812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0.79928768308402998</v>
      </c>
      <c r="AW81" s="23">
        <f>EXP(-LN(2)/2)*AW80+(1-EXP(-LN(2)/2))/(LN(2)/2)*AQ81*AT81*VLOOKUP('Données projet'!$B$10,Paramètres!$A$1:$I$89,3,0)*0.475*44/12</f>
        <v>8.3828112386018018E-7</v>
      </c>
      <c r="AX81" s="23">
        <f t="shared" si="60"/>
        <v>0.79928852136515383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40.594438615105105</v>
      </c>
      <c r="BJ81" s="62">
        <f t="shared" si="92"/>
        <v>238.55583229663102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17.668549399361009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6.3279038996572669E-8</v>
      </c>
      <c r="BS81" s="24">
        <f t="shared" si="63"/>
        <v>17.668549462640048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>
        <f>BY81*VLOOKUP('Données projet'!$B$12,Paramètres!$A$1:$I$89,3,0)*VLOOKUP('Données projet'!$B$12,Paramètres!$A$1:$I$89,5,0)</f>
        <v>0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41.074766157499596</v>
      </c>
      <c r="CE81" s="62">
        <f t="shared" si="94"/>
        <v>240.92787656206917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17.831143412238553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6.3861361441326365E-8</v>
      </c>
      <c r="CN81" s="24">
        <f t="shared" si="66"/>
        <v>17.831143476099914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-1.7053025658242404E-13</v>
      </c>
      <c r="O82" s="14">
        <f>N82*VLOOKUP('Données projet'!$B$9,Paramètres!$A$1:$I$89,3,0)*VLOOKUP('Données projet'!$B$9,Paramètres!$A$1:$I$89,5,0)</f>
        <v>-1.0197709343628959E-13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150.79185880109804</v>
      </c>
      <c r="T82" s="62">
        <f t="shared" si="88"/>
        <v>231.70571415193996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3.1380532821394898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9.9227017805976012E-7</v>
      </c>
      <c r="AC82" s="24">
        <f t="shared" si="57"/>
        <v>3.1380542744096678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254.99999999999989</v>
      </c>
      <c r="AJ82" s="14">
        <f>AI82*VLOOKUP('Données projet'!$B$10,Paramètres!$A$1:$I$89,3,0)*VLOOKUP('Données projet'!$B$10,Paramètres!$A$1:$I$89,5,0)</f>
        <v>258.56999999999994</v>
      </c>
      <c r="AK82" s="14">
        <f t="shared" si="89"/>
        <v>62.417461971173843</v>
      </c>
      <c r="AL82" s="22">
        <f t="shared" si="58"/>
        <v>559.05316293312762</v>
      </c>
      <c r="AM82" s="62">
        <f t="shared" si="59"/>
        <v>852.38649626646088</v>
      </c>
      <c r="AN82" s="62">
        <f ca="1">AVERAGE(OFFSET($AM$3,0,0,'Données projet'!$E$10+1,1))-AVERAGE(OFFSET($H$3,0,0,'Données projet'!$E$10+1,1))</f>
        <v>305.55480846093275</v>
      </c>
      <c r="AO82" s="62">
        <f t="shared" si="90"/>
        <v>179.56041631665812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0.77743111935738474</v>
      </c>
      <c r="AW82" s="23">
        <f>EXP(-LN(2)/2)*AW81+(1-EXP(-LN(2)/2))/(LN(2)/2)*AQ82*AT82*VLOOKUP('Données projet'!$B$10,Paramètres!$A$1:$I$89,3,0)*0.475*44/12</f>
        <v>5.9275426722221357E-7</v>
      </c>
      <c r="AX82" s="23">
        <f t="shared" si="60"/>
        <v>0.77743171211165196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40.594438615105105</v>
      </c>
      <c r="BJ82" s="62">
        <f t="shared" si="92"/>
        <v>238.55583229663102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17.322079922390557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4.4745037581444519E-8</v>
      </c>
      <c r="BS82" s="24">
        <f t="shared" si="63"/>
        <v>17.322079967135593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>
        <f>BY82*VLOOKUP('Données projet'!$B$12,Paramètres!$A$1:$I$89,3,0)*VLOOKUP('Données projet'!$B$12,Paramètres!$A$1:$I$89,5,0)</f>
        <v>0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41.074766157499596</v>
      </c>
      <c r="CE82" s="62">
        <f t="shared" si="94"/>
        <v>240.92787656206917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17.481485565848129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4.5156801730966985E-8</v>
      </c>
      <c r="CN82" s="24">
        <f t="shared" si="66"/>
        <v>17.481485611004931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-1.7053025658242404E-13</v>
      </c>
      <c r="O83" s="14">
        <f>N83*VLOOKUP('Données projet'!$B$9,Paramètres!$A$1:$I$89,3,0)*VLOOKUP('Données projet'!$B$9,Paramètres!$A$1:$I$89,5,0)</f>
        <v>-1.0197709343628959E-13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150.79185880109804</v>
      </c>
      <c r="T83" s="62">
        <f t="shared" si="88"/>
        <v>231.70571415193996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3.0765179713002424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7.0164097167523937E-7</v>
      </c>
      <c r="AC83" s="24">
        <f t="shared" si="57"/>
        <v>3.0765186729412139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261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260.99999999999989</v>
      </c>
      <c r="AJ83" s="14">
        <f>AI83*VLOOKUP('Données projet'!$B$10,Paramètres!$A$1:$I$89,3,0)*VLOOKUP('Données projet'!$B$10,Paramètres!$A$1:$I$89,5,0)</f>
        <v>264.65399999999988</v>
      </c>
      <c r="AK83" s="14">
        <f t="shared" si="89"/>
        <v>63.71339601121106</v>
      </c>
      <c r="AL83" s="22">
        <f t="shared" si="58"/>
        <v>571.90654805285897</v>
      </c>
      <c r="AM83" s="62">
        <f t="shared" si="59"/>
        <v>865.23988138619234</v>
      </c>
      <c r="AN83" s="62">
        <f ca="1">AVERAGE(OFFSET($AM$3,0,0,'Données projet'!$E$10+1,1))-AVERAGE(OFFSET($H$3,0,0,'Données projet'!$E$10+1,1))</f>
        <v>305.55480846093275</v>
      </c>
      <c r="AO83" s="62">
        <f t="shared" si="90"/>
        <v>179.56041631665812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0.75617222451523136</v>
      </c>
      <c r="AW83" s="23">
        <f>EXP(-LN(2)/2)*AW82+(1-EXP(-LN(2)/2))/(LN(2)/2)*AQ83*AT83*VLOOKUP('Données projet'!$B$10,Paramètres!$A$1:$I$89,3,0)*0.475*44/12</f>
        <v>4.1914056193009009E-7</v>
      </c>
      <c r="AX83" s="23">
        <f t="shared" si="60"/>
        <v>0.75617264365579329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40.594438615105105</v>
      </c>
      <c r="BJ83" s="62">
        <f t="shared" si="92"/>
        <v>238.55583229663102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16.982404500537982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3.1639519498286335E-8</v>
      </c>
      <c r="BS83" s="24">
        <f t="shared" si="63"/>
        <v>16.982404532177501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>
        <f>BY83*VLOOKUP('Données projet'!$B$12,Paramètres!$A$1:$I$89,3,0)*VLOOKUP('Données projet'!$B$12,Paramètres!$A$1:$I$89,5,0)</f>
        <v>0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41.074766157499596</v>
      </c>
      <c r="CE83" s="62">
        <f t="shared" si="94"/>
        <v>240.92787656206917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17.138684296555191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3.1930680720663182E-8</v>
      </c>
      <c r="CN83" s="24">
        <f t="shared" si="66"/>
        <v>17.138684328485873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-1.7053025658242404E-13</v>
      </c>
      <c r="O84" s="14">
        <f>N84*VLOOKUP('Données projet'!$B$9,Paramètres!$A$1:$I$89,3,0)*VLOOKUP('Données projet'!$B$9,Paramètres!$A$1:$I$89,5,0)</f>
        <v>-1.0197709343628959E-13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150.79185880109804</v>
      </c>
      <c r="T84" s="62">
        <f t="shared" si="88"/>
        <v>231.70571415193996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3.0161893303737193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4.9613508902988006E-7</v>
      </c>
      <c r="AC84" s="24">
        <f t="shared" si="57"/>
        <v>3.0161898265088083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5.8</v>
      </c>
      <c r="AI84" s="14">
        <f>IF('Données projet'!$A$62&gt;35,AI83+AH84-AQ83,IF(A84&lt;'Données projet'!$A$62,$AF$205^A84,IF(A84='Données projet'!$A$62,'Données projet'!$B$62,AI83+AH84-AQ83)))</f>
        <v>245.7999999999999</v>
      </c>
      <c r="AJ84" s="14">
        <f>AI84*VLOOKUP('Données projet'!$B$10,Paramètres!$A$1:$I$89,3,0)*VLOOKUP('Données projet'!$B$10,Paramètres!$A$1:$I$89,5,0)</f>
        <v>249.24119999999988</v>
      </c>
      <c r="AK84" s="14">
        <f t="shared" si="89"/>
        <v>60.42342651744687</v>
      </c>
      <c r="AL84" s="22">
        <f t="shared" si="58"/>
        <v>539.3325578512198</v>
      </c>
      <c r="AM84" s="62">
        <f t="shared" si="59"/>
        <v>832.66589118455317</v>
      </c>
      <c r="AN84" s="62">
        <f ca="1">AVERAGE(OFFSET($AM$3,0,0,'Données projet'!$E$10+1,1))-AVERAGE(OFFSET($H$3,0,0,'Données projet'!$E$10+1,1))</f>
        <v>305.55480846093275</v>
      </c>
      <c r="AO84" s="62">
        <f t="shared" si="90"/>
        <v>179.56041631665812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0.73549465527049329</v>
      </c>
      <c r="AW84" s="23">
        <f>EXP(-LN(2)/2)*AW83+(1-EXP(-LN(2)/2))/(LN(2)/2)*AQ84*AT84*VLOOKUP('Données projet'!$B$10,Paramètres!$A$1:$I$89,3,0)*0.475*44/12</f>
        <v>2.9637713361110678E-7</v>
      </c>
      <c r="AX84" s="23">
        <f t="shared" si="60"/>
        <v>0.7354949516476269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40.594438615105105</v>
      </c>
      <c r="BJ84" s="62">
        <f t="shared" si="92"/>
        <v>238.55583229663102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16.649389906526384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2.237251879072226E-8</v>
      </c>
      <c r="BS84" s="24">
        <f t="shared" si="63"/>
        <v>16.649389928898902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>
        <f>BY84*VLOOKUP('Données projet'!$B$12,Paramètres!$A$1:$I$89,3,0)*VLOOKUP('Données projet'!$B$12,Paramètres!$A$1:$I$89,5,0)</f>
        <v>0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41.074766157499596</v>
      </c>
      <c r="CE84" s="62">
        <f t="shared" si="94"/>
        <v>240.92787656206917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16.802605151064959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2.2578400865483493E-8</v>
      </c>
      <c r="CN84" s="24">
        <f t="shared" si="66"/>
        <v>16.802605173643361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-1.7053025658242404E-13</v>
      </c>
      <c r="O85" s="14">
        <f>N85*VLOOKUP('Données projet'!$B$9,Paramètres!$A$1:$I$89,3,0)*VLOOKUP('Données projet'!$B$9,Paramètres!$A$1:$I$89,5,0)</f>
        <v>-1.0197709343628959E-13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150.79185880109804</v>
      </c>
      <c r="T85" s="62">
        <f t="shared" si="88"/>
        <v>231.70571415193996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2.9570436972989276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3.5082048583761968E-7</v>
      </c>
      <c r="AC85" s="24">
        <f t="shared" si="57"/>
        <v>2.9570440481194136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5.8</v>
      </c>
      <c r="AI85" s="14">
        <f>IF('Données projet'!$A$62&gt;35,AI84+AH85-AQ84,IF(A85&lt;'Données projet'!$A$62,$AF$205^A85,IF(A85='Données projet'!$A$62,'Données projet'!$B$62,AI84+AH85-AQ84)))</f>
        <v>251.59999999999991</v>
      </c>
      <c r="AJ85" s="14">
        <f>AI85*VLOOKUP('Données projet'!$B$10,Paramètres!$A$1:$I$89,3,0)*VLOOKUP('Données projet'!$B$10,Paramètres!$A$1:$I$89,5,0)</f>
        <v>255.12239999999991</v>
      </c>
      <c r="AK85" s="14">
        <f t="shared" si="89"/>
        <v>61.681527554261443</v>
      </c>
      <c r="AL85" s="22">
        <f t="shared" si="58"/>
        <v>551.7668404903385</v>
      </c>
      <c r="AM85" s="62">
        <f t="shared" si="59"/>
        <v>845.10017382367187</v>
      </c>
      <c r="AN85" s="62">
        <f ca="1">AVERAGE(OFFSET($AM$3,0,0,'Données projet'!$E$10+1,1))-AVERAGE(OFFSET($H$3,0,0,'Données projet'!$E$10+1,1))</f>
        <v>305.55480846093275</v>
      </c>
      <c r="AO85" s="62">
        <f t="shared" si="90"/>
        <v>179.56041631665812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0.71538251524413876</v>
      </c>
      <c r="AW85" s="23">
        <f>EXP(-LN(2)/2)*AW84+(1-EXP(-LN(2)/2))/(LN(2)/2)*AQ85*AT85*VLOOKUP('Données projet'!$B$10,Paramètres!$A$1:$I$89,3,0)*0.475*44/12</f>
        <v>2.0957028096504504E-7</v>
      </c>
      <c r="AX85" s="23">
        <f t="shared" si="60"/>
        <v>0.71538272481441978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40.594438615105105</v>
      </c>
      <c r="BJ85" s="62">
        <f t="shared" si="92"/>
        <v>238.55583229663102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16.32290552558451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1.5819759749143167E-8</v>
      </c>
      <c r="BS85" s="24">
        <f t="shared" si="63"/>
        <v>16.322905541404271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>
        <f>BY85*VLOOKUP('Données projet'!$B$12,Paramètres!$A$1:$I$89,3,0)*VLOOKUP('Données projet'!$B$12,Paramètres!$A$1:$I$89,5,0)</f>
        <v>0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41.074766157499596</v>
      </c>
      <c r="CE85" s="62">
        <f t="shared" si="94"/>
        <v>240.92787656206917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16.473116312629756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1.5965340360331591E-8</v>
      </c>
      <c r="CN85" s="24">
        <f t="shared" si="66"/>
        <v>16.473116328595097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-1.7053025658242404E-13</v>
      </c>
      <c r="O86" s="14">
        <f>N86*VLOOKUP('Données projet'!$B$9,Paramètres!$A$1:$I$89,3,0)*VLOOKUP('Données projet'!$B$9,Paramètres!$A$1:$I$89,5,0)</f>
        <v>-1.0197709343628959E-13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150.79185880109804</v>
      </c>
      <c r="T86" s="62">
        <f t="shared" si="88"/>
        <v>231.70571415193996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2.8990578740134585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2.4806754451494003E-7</v>
      </c>
      <c r="AC86" s="24">
        <f t="shared" si="57"/>
        <v>2.8990581220810032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5.8</v>
      </c>
      <c r="AI86" s="14">
        <f>IF('Données projet'!$A$62&gt;35,AI85+AH86-AQ85,IF(A86&lt;'Données projet'!$A$62,$AF$205^A86,IF(A86='Données projet'!$A$62,'Données projet'!$B$62,AI85+AH86-AQ85)))</f>
        <v>257.39999999999992</v>
      </c>
      <c r="AJ86" s="14">
        <f>AI86*VLOOKUP('Données projet'!$B$10,Paramètres!$A$1:$I$89,3,0)*VLOOKUP('Données projet'!$B$10,Paramètres!$A$1:$I$89,5,0)</f>
        <v>261.00359999999995</v>
      </c>
      <c r="AK86" s="14">
        <f t="shared" si="89"/>
        <v>62.936256929541173</v>
      </c>
      <c r="AL86" s="22">
        <f t="shared" si="58"/>
        <v>564.19525081895074</v>
      </c>
      <c r="AM86" s="62">
        <f t="shared" si="59"/>
        <v>857.52858415228411</v>
      </c>
      <c r="AN86" s="62">
        <f ca="1">AVERAGE(OFFSET($AM$3,0,0,'Données projet'!$E$10+1,1))-AVERAGE(OFFSET($H$3,0,0,'Données projet'!$E$10+1,1))</f>
        <v>305.55480846093275</v>
      </c>
      <c r="AO86" s="62">
        <f t="shared" si="90"/>
        <v>179.56041631665812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0.69582034274445637</v>
      </c>
      <c r="AW86" s="23">
        <f>EXP(-LN(2)/2)*AW85+(1-EXP(-LN(2)/2))/(LN(2)/2)*AQ86*AT86*VLOOKUP('Données projet'!$B$10,Paramètres!$A$1:$I$89,3,0)*0.475*44/12</f>
        <v>1.4818856680555339E-7</v>
      </c>
      <c r="AX86" s="23">
        <f t="shared" si="60"/>
        <v>0.69582049093302312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40.594438615105105</v>
      </c>
      <c r="BJ86" s="62">
        <f t="shared" si="92"/>
        <v>238.55583229663102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16.002823304217095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1.118625939536113E-8</v>
      </c>
      <c r="BS86" s="24">
        <f t="shared" si="63"/>
        <v>16.002823315403354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>
        <f>BY86*VLOOKUP('Données projet'!$B$12,Paramètres!$A$1:$I$89,3,0)*VLOOKUP('Données projet'!$B$12,Paramètres!$A$1:$I$89,5,0)</f>
        <v>0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41.074766157499596</v>
      </c>
      <c r="CE86" s="62">
        <f t="shared" si="94"/>
        <v>240.92787656206917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16.150088549347917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1.1289200432741746E-8</v>
      </c>
      <c r="CN86" s="24">
        <f t="shared" si="66"/>
        <v>16.150088560637116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-1.7053025658242404E-13</v>
      </c>
      <c r="O87" s="14">
        <f>N87*VLOOKUP('Données projet'!$B$9,Paramètres!$A$1:$I$89,3,0)*VLOOKUP('Données projet'!$B$9,Paramètres!$A$1:$I$89,5,0)</f>
        <v>-1.0197709343628959E-13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150.79185880109804</v>
      </c>
      <c r="T87" s="62">
        <f t="shared" si="88"/>
        <v>231.70571415193996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2.8422091173547575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1.7541024291880984E-7</v>
      </c>
      <c r="AC87" s="24">
        <f t="shared" si="57"/>
        <v>2.8422092927650002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5.8</v>
      </c>
      <c r="AI87" s="14">
        <f>IF('Données projet'!$A$62&gt;35,AI86+AH87-AQ86,IF(A87&lt;'Données projet'!$A$62,$AF$205^A87,IF(A87='Données projet'!$A$62,'Données projet'!$B$62,AI86+AH87-AQ86)))</f>
        <v>263.19999999999993</v>
      </c>
      <c r="AJ87" s="14">
        <f>AI87*VLOOKUP('Données projet'!$B$10,Paramètres!$A$1:$I$89,3,0)*VLOOKUP('Données projet'!$B$10,Paramètres!$A$1:$I$89,5,0)</f>
        <v>266.88479999999993</v>
      </c>
      <c r="AK87" s="14">
        <f t="shared" si="89"/>
        <v>64.18769936370569</v>
      </c>
      <c r="AL87" s="22">
        <f t="shared" si="58"/>
        <v>576.61793639178723</v>
      </c>
      <c r="AM87" s="62">
        <f t="shared" si="59"/>
        <v>869.95126972512048</v>
      </c>
      <c r="AN87" s="62">
        <f ca="1">AVERAGE(OFFSET($AM$3,0,0,'Données projet'!$E$10+1,1))-AVERAGE(OFFSET($H$3,0,0,'Données projet'!$E$10+1,1))</f>
        <v>305.55480846093275</v>
      </c>
      <c r="AO87" s="62">
        <f t="shared" si="90"/>
        <v>179.56041631665812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0.67679309888050765</v>
      </c>
      <c r="AW87" s="23">
        <f>EXP(-LN(2)/2)*AW86+(1-EXP(-LN(2)/2))/(LN(2)/2)*AQ87*AT87*VLOOKUP('Données projet'!$B$10,Paramètres!$A$1:$I$89,3,0)*0.475*44/12</f>
        <v>1.0478514048252252E-7</v>
      </c>
      <c r="AX87" s="23">
        <f t="shared" si="60"/>
        <v>0.6767932036656481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40.594438615105105</v>
      </c>
      <c r="BJ87" s="62">
        <f t="shared" si="92"/>
        <v>238.55583229663102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15.68901769997982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7.9098798745715837E-9</v>
      </c>
      <c r="BS87" s="24">
        <f t="shared" si="63"/>
        <v>15.6890177078897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>
        <f>BY87*VLOOKUP('Données projet'!$B$12,Paramètres!$A$1:$I$89,3,0)*VLOOKUP('Données projet'!$B$12,Paramètres!$A$1:$I$89,5,0)</f>
        <v>0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41.074766157499596</v>
      </c>
      <c r="CE87" s="62">
        <f t="shared" si="94"/>
        <v>240.92787656206917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15.833395163476554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7.9826701801657956E-9</v>
      </c>
      <c r="CN87" s="24">
        <f t="shared" si="66"/>
        <v>15.833395171459225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-1.7053025658242404E-13</v>
      </c>
      <c r="O88" s="14">
        <f>N88*VLOOKUP('Données projet'!$B$9,Paramètres!$A$1:$I$89,3,0)*VLOOKUP('Données projet'!$B$9,Paramètres!$A$1:$I$89,5,0)</f>
        <v>-1.0197709343628959E-13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150.79185880109804</v>
      </c>
      <c r="T88" s="62">
        <f t="shared" si="88"/>
        <v>231.70571415193996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2.7864751301398156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1.2403377225747002E-7</v>
      </c>
      <c r="AC88" s="24">
        <f t="shared" si="57"/>
        <v>2.7864752541735878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5.8</v>
      </c>
      <c r="AH88" s="13">
        <f t="array" ref="AH88">INDEX(AG:AG,MIN(IF(ISNUMBER(AG88:AG284),ROW(AG88:AG284),"")))</f>
        <v>5.8</v>
      </c>
      <c r="AI88" s="14">
        <f>IF('Données projet'!$A$62&gt;35,AI87+AH88-AQ87,IF(A88&lt;'Données projet'!$A$62,$AF$205^A88,IF(A88='Données projet'!$A$62,'Données projet'!$B$62,AI87+AH88-AQ87)))</f>
        <v>268.99999999999994</v>
      </c>
      <c r="AJ88" s="14">
        <f>AI88*VLOOKUP('Données projet'!$B$10,Paramètres!$A$1:$I$89,3,0)*VLOOKUP('Données projet'!$B$10,Paramètres!$A$1:$I$89,5,0)</f>
        <v>272.76599999999996</v>
      </c>
      <c r="AK88" s="14">
        <f t="shared" si="89"/>
        <v>65.43593563008757</v>
      </c>
      <c r="AL88" s="22">
        <f t="shared" si="58"/>
        <v>589.03503788906914</v>
      </c>
      <c r="AM88" s="62">
        <f t="shared" si="59"/>
        <v>882.3683712224024</v>
      </c>
      <c r="AN88" s="62">
        <f ca="1">AVERAGE(OFFSET($AM$3,0,0,'Données projet'!$E$10+1,1))-AVERAGE(OFFSET($H$3,0,0,'Données projet'!$E$10+1,1))</f>
        <v>305.55480846093275</v>
      </c>
      <c r="AO88" s="62">
        <f t="shared" si="90"/>
        <v>179.56041631665812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0.65828615600061791</v>
      </c>
      <c r="AW88" s="23">
        <f>EXP(-LN(2)/2)*AW87+(1-EXP(-LN(2)/2))/(LN(2)/2)*AQ88*AT88*VLOOKUP('Données projet'!$B$10,Paramètres!$A$1:$I$89,3,0)*0.475*44/12</f>
        <v>7.4094283402776696E-8</v>
      </c>
      <c r="AX88" s="23">
        <f t="shared" si="60"/>
        <v>0.65828623009490128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40.594438615105105</v>
      </c>
      <c r="BJ88" s="62">
        <f t="shared" si="92"/>
        <v>238.55583229663102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15.381365632239117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5.5931296976805649E-9</v>
      </c>
      <c r="BS88" s="24">
        <f t="shared" si="63"/>
        <v>15.381365637832246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>
        <f>BY88*VLOOKUP('Données projet'!$B$12,Paramètres!$A$1:$I$89,3,0)*VLOOKUP('Données projet'!$B$12,Paramètres!$A$1:$I$89,5,0)</f>
        <v>0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41.074766157499596</v>
      </c>
      <c r="CE88" s="62">
        <f t="shared" si="94"/>
        <v>240.92787656206917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15.522911941738238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5.6446002163708731E-9</v>
      </c>
      <c r="CN88" s="24">
        <f t="shared" si="66"/>
        <v>15.522911947382838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-1.7053025658242404E-13</v>
      </c>
      <c r="O89" s="14">
        <f>N89*VLOOKUP('Données projet'!$B$9,Paramètres!$A$1:$I$89,3,0)*VLOOKUP('Données projet'!$B$9,Paramètres!$A$1:$I$89,5,0)</f>
        <v>-1.0197709343628959E-13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150.79185880109804</v>
      </c>
      <c r="T89" s="62">
        <f t="shared" si="88"/>
        <v>231.70571415193996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2.7318340524197833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8.7705121459404921E-8</v>
      </c>
      <c r="AC89" s="24">
        <f t="shared" si="57"/>
        <v>2.7318341401249047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253.39999999999992</v>
      </c>
      <c r="AJ89" s="14">
        <f>AI89*VLOOKUP('Données projet'!$B$10,Paramètres!$A$1:$I$89,3,0)*VLOOKUP('Données projet'!$B$10,Paramètres!$A$1:$I$89,5,0)</f>
        <v>256.94759999999991</v>
      </c>
      <c r="AK89" s="14">
        <f t="shared" si="89"/>
        <v>62.071283104858246</v>
      </c>
      <c r="AL89" s="22">
        <f t="shared" si="58"/>
        <v>555.62455474096134</v>
      </c>
      <c r="AM89" s="62">
        <f t="shared" si="59"/>
        <v>848.95788807429471</v>
      </c>
      <c r="AN89" s="62">
        <f ca="1">AVERAGE(OFFSET($AM$3,0,0,'Données projet'!$E$10+1,1))-AVERAGE(OFFSET($H$3,0,0,'Données projet'!$E$10+1,1))</f>
        <v>305.55480846093275</v>
      </c>
      <c r="AO89" s="62">
        <f t="shared" si="90"/>
        <v>179.56041631665812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0.64028528644701654</v>
      </c>
      <c r="AW89" s="23">
        <f>EXP(-LN(2)/2)*AW88+(1-EXP(-LN(2)/2))/(LN(2)/2)*AQ89*AT89*VLOOKUP('Données projet'!$B$10,Paramètres!$A$1:$I$89,3,0)*0.475*44/12</f>
        <v>5.2392570241261261E-8</v>
      </c>
      <c r="AX89" s="23">
        <f t="shared" si="60"/>
        <v>0.64028533883958683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40.594438615105105</v>
      </c>
      <c r="BJ89" s="62">
        <f t="shared" si="92"/>
        <v>238.55583229663102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15.079746433897578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3.9549399372857918E-9</v>
      </c>
      <c r="BS89" s="24">
        <f t="shared" si="63"/>
        <v>15.079746437852517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>
        <f>BY89*VLOOKUP('Données projet'!$B$12,Paramètres!$A$1:$I$89,3,0)*VLOOKUP('Données projet'!$B$12,Paramètres!$A$1:$I$89,5,0)</f>
        <v>0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41.074766157499596</v>
      </c>
      <c r="CE89" s="62">
        <f t="shared" si="94"/>
        <v>240.92787656206917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15.218517106602144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3.9913350900828978E-9</v>
      </c>
      <c r="CN89" s="24">
        <f t="shared" si="66"/>
        <v>15.21851711059348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-1.7053025658242404E-13</v>
      </c>
      <c r="O90" s="14">
        <f>N90*VLOOKUP('Données projet'!$B$9,Paramètres!$A$1:$I$89,3,0)*VLOOKUP('Données projet'!$B$9,Paramètres!$A$1:$I$89,5,0)</f>
        <v>-1.0197709343628959E-13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150.79185880109804</v>
      </c>
      <c r="T90" s="62">
        <f t="shared" si="88"/>
        <v>231.70571415193996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2.6782644529060744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6.2016886128735008E-8</v>
      </c>
      <c r="AC90" s="24">
        <f t="shared" si="57"/>
        <v>2.6782645149229607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258.7999999999999</v>
      </c>
      <c r="AJ90" s="14">
        <f>AI90*VLOOKUP('Données projet'!$B$10,Paramètres!$A$1:$I$89,3,0)*VLOOKUP('Données projet'!$B$10,Paramètres!$A$1:$I$89,5,0)</f>
        <v>262.42319999999989</v>
      </c>
      <c r="AK90" s="14">
        <f t="shared" si="89"/>
        <v>63.238627062047733</v>
      </c>
      <c r="AL90" s="22">
        <f t="shared" si="58"/>
        <v>567.19434879973289</v>
      </c>
      <c r="AM90" s="62">
        <f t="shared" si="59"/>
        <v>860.52768213306626</v>
      </c>
      <c r="AN90" s="62">
        <f ca="1">AVERAGE(OFFSET($AM$3,0,0,'Données projet'!$E$10+1,1))-AVERAGE(OFFSET($H$3,0,0,'Données projet'!$E$10+1,1))</f>
        <v>305.55480846093275</v>
      </c>
      <c r="AO90" s="62">
        <f t="shared" si="90"/>
        <v>179.56041631665812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0.62277665161798301</v>
      </c>
      <c r="AW90" s="23">
        <f>EXP(-LN(2)/2)*AW89+(1-EXP(-LN(2)/2))/(LN(2)/2)*AQ90*AT90*VLOOKUP('Données projet'!$B$10,Paramètres!$A$1:$I$89,3,0)*0.475*44/12</f>
        <v>3.7047141701388348E-8</v>
      </c>
      <c r="AX90" s="23">
        <f t="shared" si="60"/>
        <v>0.6227766886651247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40.594438615105105</v>
      </c>
      <c r="BJ90" s="62">
        <f t="shared" si="92"/>
        <v>238.55583229663102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14.78404180406597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2.7965648488402824E-9</v>
      </c>
      <c r="BS90" s="24">
        <f t="shared" si="63"/>
        <v>14.784041806862534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>
        <f>BY90*VLOOKUP('Données projet'!$B$12,Paramètres!$A$1:$I$89,3,0)*VLOOKUP('Données projet'!$B$12,Paramètres!$A$1:$I$89,5,0)</f>
        <v>0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41.074766157499596</v>
      </c>
      <c r="CE90" s="62">
        <f t="shared" si="94"/>
        <v>240.92787656206917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14.920091268520553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2.8223001081854366E-9</v>
      </c>
      <c r="CN90" s="24">
        <f t="shared" si="66"/>
        <v>14.920091271342853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-1.7053025658242404E-13</v>
      </c>
      <c r="O91" s="14">
        <f>N91*VLOOKUP('Données projet'!$B$9,Paramètres!$A$1:$I$89,3,0)*VLOOKUP('Données projet'!$B$9,Paramètres!$A$1:$I$89,5,0)</f>
        <v>-1.0197709343628959E-13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150.79185880109804</v>
      </c>
      <c r="T91" s="62">
        <f t="shared" si="88"/>
        <v>231.70571415193996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2.6257453205646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4.3852560729702461E-8</v>
      </c>
      <c r="AC91" s="24">
        <f t="shared" si="57"/>
        <v>2.6257453644171607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264.19999999999987</v>
      </c>
      <c r="AJ91" s="14">
        <f>AI91*VLOOKUP('Données projet'!$B$10,Paramètres!$A$1:$I$89,3,0)*VLOOKUP('Données projet'!$B$10,Paramètres!$A$1:$I$89,5,0)</f>
        <v>267.89879999999988</v>
      </c>
      <c r="AK91" s="14">
        <f t="shared" si="89"/>
        <v>64.403139057834508</v>
      </c>
      <c r="AL91" s="22">
        <f t="shared" si="58"/>
        <v>578.75921052572812</v>
      </c>
      <c r="AM91" s="62">
        <f t="shared" si="59"/>
        <v>872.09254385906138</v>
      </c>
      <c r="AN91" s="62">
        <f ca="1">AVERAGE(OFFSET($AM$3,0,0,'Données projet'!$E$10+1,1))-AVERAGE(OFFSET($H$3,0,0,'Données projet'!$E$10+1,1))</f>
        <v>305.55480846093275</v>
      </c>
      <c r="AO91" s="62">
        <f t="shared" si="90"/>
        <v>179.56041631665812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0.60574679132908849</v>
      </c>
      <c r="AW91" s="23">
        <f>EXP(-LN(2)/2)*AW90+(1-EXP(-LN(2)/2))/(LN(2)/2)*AQ91*AT91*VLOOKUP('Données projet'!$B$10,Paramètres!$A$1:$I$89,3,0)*0.475*44/12</f>
        <v>2.6196285120630631E-8</v>
      </c>
      <c r="AX91" s="23">
        <f t="shared" si="60"/>
        <v>0.60574681752537363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40.594438615105105</v>
      </c>
      <c r="BJ91" s="62">
        <f t="shared" si="92"/>
        <v>238.55583229663102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14.494135761663344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1.9774699686428959E-9</v>
      </c>
      <c r="BS91" s="24">
        <f t="shared" si="63"/>
        <v>14.494135763640815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>
        <f>BY91*VLOOKUP('Données projet'!$B$12,Paramètres!$A$1:$I$89,3,0)*VLOOKUP('Données projet'!$B$12,Paramètres!$A$1:$I$89,5,0)</f>
        <v>0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41.074766157499596</v>
      </c>
      <c r="CE91" s="62">
        <f t="shared" si="94"/>
        <v>240.92787656206917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14.627517379101953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1.9956675450414489E-9</v>
      </c>
      <c r="CN91" s="24">
        <f t="shared" si="66"/>
        <v>14.62751738109762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-1.7053025658242404E-13</v>
      </c>
      <c r="O92" s="14">
        <f>N92*VLOOKUP('Données projet'!$B$9,Paramètres!$A$1:$I$89,3,0)*VLOOKUP('Données projet'!$B$9,Paramètres!$A$1:$I$89,5,0)</f>
        <v>-1.0197709343628959E-13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150.79185880109804</v>
      </c>
      <c r="T92" s="62">
        <f t="shared" si="88"/>
        <v>231.70571415193996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2.5742560563748342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3.1008443064367504E-8</v>
      </c>
      <c r="AC92" s="24">
        <f t="shared" si="57"/>
        <v>2.5742560873832772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269.59999999999985</v>
      </c>
      <c r="AJ92" s="14">
        <f>AI92*VLOOKUP('Données projet'!$B$10,Paramètres!$A$1:$I$89,3,0)*VLOOKUP('Données projet'!$B$10,Paramètres!$A$1:$I$89,5,0)</f>
        <v>273.37439999999987</v>
      </c>
      <c r="AK92" s="14">
        <f t="shared" si="89"/>
        <v>65.564883644654373</v>
      </c>
      <c r="AL92" s="22">
        <f t="shared" si="58"/>
        <v>590.3192523477727</v>
      </c>
      <c r="AM92" s="62">
        <f t="shared" si="59"/>
        <v>883.65258568110607</v>
      </c>
      <c r="AN92" s="62">
        <f ca="1">AVERAGE(OFFSET($AM$3,0,0,'Données projet'!$E$10+1,1))-AVERAGE(OFFSET($H$3,0,0,'Données projet'!$E$10+1,1))</f>
        <v>305.55480846093275</v>
      </c>
      <c r="AO92" s="62">
        <f t="shared" si="90"/>
        <v>179.56041631665812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0.58918261346535528</v>
      </c>
      <c r="AW92" s="23">
        <f>EXP(-LN(2)/2)*AW91+(1-EXP(-LN(2)/2))/(LN(2)/2)*AQ92*AT92*VLOOKUP('Données projet'!$B$10,Paramètres!$A$1:$I$89,3,0)*0.475*44/12</f>
        <v>1.8523570850694174E-8</v>
      </c>
      <c r="AX92" s="23">
        <f t="shared" si="60"/>
        <v>0.58918263198892618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40.594438615105105</v>
      </c>
      <c r="BJ92" s="62">
        <f t="shared" si="92"/>
        <v>238.55583229663102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14.209914599927009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1.3982824244201412E-9</v>
      </c>
      <c r="BS92" s="24">
        <f t="shared" si="63"/>
        <v>14.209914601325291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>
        <f>BY92*VLOOKUP('Données projet'!$B$12,Paramètres!$A$1:$I$89,3,0)*VLOOKUP('Données projet'!$B$12,Paramètres!$A$1:$I$89,5,0)</f>
        <v>0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41.074766157499596</v>
      </c>
      <c r="CE92" s="62">
        <f t="shared" si="94"/>
        <v>240.92787656206917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14.3406806852024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1.4111500540927183E-9</v>
      </c>
      <c r="CN92" s="24">
        <f t="shared" si="66"/>
        <v>14.340680686613551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-1.7053025658242404E-13</v>
      </c>
      <c r="O93" s="14">
        <f>N93*VLOOKUP('Données projet'!$B$9,Paramètres!$A$1:$I$89,3,0)*VLOOKUP('Données projet'!$B$9,Paramètres!$A$1:$I$89,5,0)</f>
        <v>-1.0197709343628959E-13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150.79185880109804</v>
      </c>
      <c r="T93" s="62">
        <f t="shared" si="88"/>
        <v>231.70571415193996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2.5237764652504797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2.192628036485123E-8</v>
      </c>
      <c r="AC93" s="24">
        <f t="shared" si="57"/>
        <v>2.5237764871767601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274.99999999999983</v>
      </c>
      <c r="AJ93" s="14">
        <f>AI93*VLOOKUP('Données projet'!$B$10,Paramètres!$A$1:$I$89,3,0)*VLOOKUP('Données projet'!$B$10,Paramètres!$A$1:$I$89,5,0)</f>
        <v>278.84999999999985</v>
      </c>
      <c r="AK93" s="14">
        <f t="shared" si="89"/>
        <v>66.723922641152967</v>
      </c>
      <c r="AL93" s="22">
        <f t="shared" si="58"/>
        <v>601.87458193334112</v>
      </c>
      <c r="AM93" s="62">
        <f t="shared" si="59"/>
        <v>895.20791526667449</v>
      </c>
      <c r="AN93" s="62">
        <f ca="1">AVERAGE(OFFSET($AM$3,0,0,'Données projet'!$E$10+1,1))-AVERAGE(OFFSET($H$3,0,0,'Données projet'!$E$10+1,1))</f>
        <v>305.55480846093275</v>
      </c>
      <c r="AO93" s="62">
        <f t="shared" si="90"/>
        <v>179.56041631665812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0.57307138391637813</v>
      </c>
      <c r="AW93" s="23">
        <f>EXP(-LN(2)/2)*AW92+(1-EXP(-LN(2)/2))/(LN(2)/2)*AQ93*AT93*VLOOKUP('Données projet'!$B$10,Paramètres!$A$1:$I$89,3,0)*0.475*44/12</f>
        <v>1.3098142560315315E-8</v>
      </c>
      <c r="AX93" s="23">
        <f t="shared" si="60"/>
        <v>0.5730713970145207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40.594438615105105</v>
      </c>
      <c r="BJ93" s="62">
        <f t="shared" si="92"/>
        <v>238.55583229663102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13.931266841814532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9.8873498432144796E-10</v>
      </c>
      <c r="BS93" s="24">
        <f t="shared" si="63"/>
        <v>13.931266842803266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>
        <f>BY93*VLOOKUP('Données projet'!$B$12,Paramètres!$A$1:$I$89,3,0)*VLOOKUP('Données projet'!$B$12,Paramètres!$A$1:$I$89,5,0)</f>
        <v>0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41.074766157499596</v>
      </c>
      <c r="CE93" s="62">
        <f t="shared" si="94"/>
        <v>240.92787656206917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14.05946868391711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9.9783377252072445E-10</v>
      </c>
      <c r="CN93" s="24">
        <f t="shared" si="66"/>
        <v>14.059468684914943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-1.7053025658242404E-13</v>
      </c>
      <c r="O94" s="14">
        <f>N94*VLOOKUP('Données projet'!$B$9,Paramètres!$A$1:$I$89,3,0)*VLOOKUP('Données projet'!$B$9,Paramètres!$A$1:$I$89,5,0)</f>
        <v>-1.0197709343628959E-13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150.79185880109804</v>
      </c>
      <c r="T94" s="62">
        <f t="shared" si="88"/>
        <v>231.70571415193996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2.4742867481185633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1.5504221532183752E-8</v>
      </c>
      <c r="AC94" s="24">
        <f t="shared" si="57"/>
        <v>2.4742867636227848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258.99999999999983</v>
      </c>
      <c r="AJ94" s="14">
        <f>AI94*VLOOKUP('Données projet'!$B$10,Paramètres!$A$1:$I$89,3,0)*VLOOKUP('Données projet'!$B$10,Paramètres!$A$1:$I$89,5,0)</f>
        <v>262.62599999999986</v>
      </c>
      <c r="AK94" s="14">
        <f t="shared" si="89"/>
        <v>63.281807230823397</v>
      </c>
      <c r="AL94" s="22">
        <f t="shared" si="58"/>
        <v>567.62276426035044</v>
      </c>
      <c r="AM94" s="62">
        <f t="shared" si="59"/>
        <v>860.95609759368381</v>
      </c>
      <c r="AN94" s="62">
        <f ca="1">AVERAGE(OFFSET($AM$3,0,0,'Données projet'!$E$10+1,1))-AVERAGE(OFFSET($H$3,0,0,'Données projet'!$E$10+1,1))</f>
        <v>305.55480846093275</v>
      </c>
      <c r="AO94" s="62">
        <f t="shared" si="90"/>
        <v>179.56041631665812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0.55740071678667047</v>
      </c>
      <c r="AW94" s="23">
        <f>EXP(-LN(2)/2)*AW93+(1-EXP(-LN(2)/2))/(LN(2)/2)*AQ94*AT94*VLOOKUP('Données projet'!$B$10,Paramètres!$A$1:$I$89,3,0)*0.475*44/12</f>
        <v>9.261785425347087E-9</v>
      </c>
      <c r="AX94" s="23">
        <f t="shared" si="60"/>
        <v>0.55740072604845592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40.594438615105105</v>
      </c>
      <c r="BJ94" s="62">
        <f t="shared" si="92"/>
        <v>238.55583229663102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13.658083196280289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6.9914121221007061E-10</v>
      </c>
      <c r="BS94" s="24">
        <f t="shared" si="63"/>
        <v>13.658083196979431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>
        <f>BY94*VLOOKUP('Données projet'!$B$12,Paramètres!$A$1:$I$89,3,0)*VLOOKUP('Données projet'!$B$12,Paramètres!$A$1:$I$89,5,0)</f>
        <v>0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41.074766157499596</v>
      </c>
      <c r="CE94" s="62">
        <f t="shared" si="94"/>
        <v>240.92787656206917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13.78377107845464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7.0557502704635914E-10</v>
      </c>
      <c r="CN94" s="24">
        <f t="shared" si="66"/>
        <v>13.783771079160214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-1.7053025658242404E-13</v>
      </c>
      <c r="O95" s="14">
        <f>N95*VLOOKUP('Données projet'!$B$9,Paramètres!$A$1:$I$89,3,0)*VLOOKUP('Données projet'!$B$9,Paramètres!$A$1:$I$89,5,0)</f>
        <v>-1.0197709343628959E-13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150.79185880109804</v>
      </c>
      <c r="T95" s="62">
        <f t="shared" si="88"/>
        <v>231.70571415193996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2.425767494153857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1.0963140182425615E-8</v>
      </c>
      <c r="AC95" s="24">
        <f t="shared" si="57"/>
        <v>2.4257675051169971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263.99999999999983</v>
      </c>
      <c r="AJ95" s="14">
        <f>AI95*VLOOKUP('Données projet'!$B$10,Paramètres!$A$1:$I$89,3,0)*VLOOKUP('Données projet'!$B$10,Paramètres!$A$1:$I$89,5,0)</f>
        <v>267.69599999999986</v>
      </c>
      <c r="AK95" s="14">
        <f t="shared" si="89"/>
        <v>64.360058723585439</v>
      </c>
      <c r="AL95" s="22">
        <f t="shared" si="58"/>
        <v>578.33096894357766</v>
      </c>
      <c r="AM95" s="62">
        <f t="shared" si="59"/>
        <v>871.66430227691103</v>
      </c>
      <c r="AN95" s="62">
        <f ca="1">AVERAGE(OFFSET($AM$3,0,0,'Données projet'!$E$10+1,1))-AVERAGE(OFFSET($H$3,0,0,'Données projet'!$E$10+1,1))</f>
        <v>305.55480846093275</v>
      </c>
      <c r="AO95" s="62">
        <f t="shared" si="90"/>
        <v>179.56041631665812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0.54215856487370928</v>
      </c>
      <c r="AW95" s="23">
        <f>EXP(-LN(2)/2)*AW94+(1-EXP(-LN(2)/2))/(LN(2)/2)*AQ95*AT95*VLOOKUP('Données projet'!$B$10,Paramètres!$A$1:$I$89,3,0)*0.475*44/12</f>
        <v>6.5490712801576577E-9</v>
      </c>
      <c r="AX95" s="23">
        <f t="shared" si="60"/>
        <v>0.54215857142278057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40.594438615105105</v>
      </c>
      <c r="BJ95" s="62">
        <f t="shared" si="92"/>
        <v>238.55583229663102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13.390256515409403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4.9436749216072398E-10</v>
      </c>
      <c r="BS95" s="24">
        <f t="shared" si="63"/>
        <v>13.39025651590377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>
        <f>BY95*VLOOKUP('Données projet'!$B$12,Paramètres!$A$1:$I$89,3,0)*VLOOKUP('Données projet'!$B$12,Paramètres!$A$1:$I$89,5,0)</f>
        <v>0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41.074766157499596</v>
      </c>
      <c r="CE95" s="62">
        <f t="shared" si="94"/>
        <v>240.92787656206917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13.513479734876354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4.9891688626036223E-10</v>
      </c>
      <c r="CN95" s="24">
        <f t="shared" si="66"/>
        <v>13.51347973537527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-1.7053025658242404E-13</v>
      </c>
      <c r="O96" s="14">
        <f>N96*VLOOKUP('Données projet'!$B$9,Paramètres!$A$1:$I$89,3,0)*VLOOKUP('Données projet'!$B$9,Paramètres!$A$1:$I$89,5,0)</f>
        <v>-1.0197709343628959E-13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150.79185880109804</v>
      </c>
      <c r="T96" s="62">
        <f t="shared" si="88"/>
        <v>231.70571415193996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2.3781996731655757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7.7521107660918759E-9</v>
      </c>
      <c r="AC96" s="24">
        <f t="shared" si="57"/>
        <v>2.3781996809176866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268.99999999999983</v>
      </c>
      <c r="AJ96" s="14">
        <f>AI96*VLOOKUP('Données projet'!$B$10,Paramètres!$A$1:$I$89,3,0)*VLOOKUP('Données projet'!$B$10,Paramètres!$A$1:$I$89,5,0)</f>
        <v>272.76599999999985</v>
      </c>
      <c r="AK96" s="14">
        <f t="shared" si="89"/>
        <v>65.43593563008757</v>
      </c>
      <c r="AL96" s="22">
        <f t="shared" si="58"/>
        <v>589.03503788906892</v>
      </c>
      <c r="AM96" s="62">
        <f t="shared" si="59"/>
        <v>882.36837122240217</v>
      </c>
      <c r="AN96" s="62">
        <f ca="1">AVERAGE(OFFSET($AM$3,0,0,'Données projet'!$E$10+1,1))-AVERAGE(OFFSET($H$3,0,0,'Données projet'!$E$10+1,1))</f>
        <v>305.55480846093275</v>
      </c>
      <c r="AO96" s="62">
        <f t="shared" si="90"/>
        <v>179.56041631665812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0.52733321040635794</v>
      </c>
      <c r="AW96" s="23">
        <f>EXP(-LN(2)/2)*AW95+(1-EXP(-LN(2)/2))/(LN(2)/2)*AQ96*AT96*VLOOKUP('Données projet'!$B$10,Paramètres!$A$1:$I$89,3,0)*0.475*44/12</f>
        <v>4.6308927126735435E-9</v>
      </c>
      <c r="AX96" s="23">
        <f t="shared" si="60"/>
        <v>0.52733321503725061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40.594438615105105</v>
      </c>
      <c r="BJ96" s="62">
        <f t="shared" si="92"/>
        <v>238.55583229663102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13.127681752392251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3.4957060610503531E-10</v>
      </c>
      <c r="BS96" s="24">
        <f t="shared" si="63"/>
        <v>13.127681752741822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>
        <f>BY96*VLOOKUP('Données projet'!$B$12,Paramètres!$A$1:$I$89,3,0)*VLOOKUP('Données projet'!$B$12,Paramètres!$A$1:$I$89,5,0)</f>
        <v>0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41.074766157499596</v>
      </c>
      <c r="CE96" s="62">
        <f t="shared" si="94"/>
        <v>240.92787656206917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13.248488639684197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3.5278751352317957E-10</v>
      </c>
      <c r="CN96" s="24">
        <f t="shared" si="66"/>
        <v>13.248488640036985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-1.7053025658242404E-13</v>
      </c>
      <c r="O97" s="14">
        <f>N97*VLOOKUP('Données projet'!$B$9,Paramètres!$A$1:$I$89,3,0)*VLOOKUP('Données projet'!$B$9,Paramètres!$A$1:$I$89,5,0)</f>
        <v>-1.0197709343628959E-13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150.79185880109804</v>
      </c>
      <c r="T97" s="62">
        <f t="shared" si="88"/>
        <v>231.70571415193996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2.3315646281333686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5.4815700912128076E-9</v>
      </c>
      <c r="AC97" s="24">
        <f t="shared" si="57"/>
        <v>2.3315646336149389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273.99999999999983</v>
      </c>
      <c r="AJ97" s="14">
        <f>AI97*VLOOKUP('Données projet'!$B$10,Paramètres!$A$1:$I$89,3,0)*VLOOKUP('Données projet'!$B$10,Paramètres!$A$1:$I$89,5,0)</f>
        <v>277.83599999999984</v>
      </c>
      <c r="AK97" s="14">
        <f t="shared" si="89"/>
        <v>66.509487177652261</v>
      </c>
      <c r="AL97" s="22">
        <f t="shared" si="58"/>
        <v>599.73505683441078</v>
      </c>
      <c r="AM97" s="62">
        <f t="shared" si="59"/>
        <v>893.06839016774416</v>
      </c>
      <c r="AN97" s="62">
        <f ca="1">AVERAGE(OFFSET($AM$3,0,0,'Données projet'!$E$10+1,1))-AVERAGE(OFFSET($H$3,0,0,'Données projet'!$E$10+1,1))</f>
        <v>305.55480846093275</v>
      </c>
      <c r="AO97" s="62">
        <f t="shared" si="90"/>
        <v>179.56041631665812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0.5129132560365478</v>
      </c>
      <c r="AW97" s="23">
        <f>EXP(-LN(2)/2)*AW96+(1-EXP(-LN(2)/2))/(LN(2)/2)*AQ97*AT97*VLOOKUP('Données projet'!$B$10,Paramètres!$A$1:$I$89,3,0)*0.475*44/12</f>
        <v>3.2745356400788288E-9</v>
      </c>
      <c r="AX97" s="23">
        <f t="shared" si="60"/>
        <v>0.51291325931108345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40.594438615105105</v>
      </c>
      <c r="BJ97" s="62">
        <f t="shared" si="92"/>
        <v>238.55583229663102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12.870255920323073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2.4718374608036199E-10</v>
      </c>
      <c r="BS97" s="24">
        <f t="shared" si="63"/>
        <v>12.870255920570257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>
        <f>BY97*VLOOKUP('Données projet'!$B$12,Paramètres!$A$1:$I$89,3,0)*VLOOKUP('Données projet'!$B$12,Paramètres!$A$1:$I$89,5,0)</f>
        <v>0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41.074766157499596</v>
      </c>
      <c r="CE97" s="62">
        <f t="shared" si="94"/>
        <v>240.92787656206917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12.988693858240149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2.4945844313018111E-10</v>
      </c>
      <c r="CN97" s="24">
        <f t="shared" si="66"/>
        <v>12.988693858489608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-1.7053025658242404E-13</v>
      </c>
      <c r="O98" s="14">
        <f>N98*VLOOKUP('Données projet'!$B$9,Paramètres!$A$1:$I$89,3,0)*VLOOKUP('Données projet'!$B$9,Paramètres!$A$1:$I$89,5,0)</f>
        <v>-1.0197709343628959E-13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150.79185880109804</v>
      </c>
      <c r="T98" s="62">
        <f t="shared" si="88"/>
        <v>231.70571415193996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2.2858440678896743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3.876055383045938E-9</v>
      </c>
      <c r="AC98" s="24">
        <f t="shared" si="57"/>
        <v>2.2858440717657298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278.99999999999983</v>
      </c>
      <c r="AJ98" s="14">
        <f>AI98*VLOOKUP('Données projet'!$B$10,Paramètres!$A$1:$I$89,3,0)*VLOOKUP('Données projet'!$B$10,Paramètres!$A$1:$I$89,5,0)</f>
        <v>282.90599999999989</v>
      </c>
      <c r="AK98" s="14">
        <f t="shared" si="89"/>
        <v>67.580760694123455</v>
      </c>
      <c r="AL98" s="22">
        <f t="shared" si="58"/>
        <v>610.43110820893151</v>
      </c>
      <c r="AM98" s="62">
        <f t="shared" si="59"/>
        <v>903.76444154226488</v>
      </c>
      <c r="AN98" s="62">
        <f ca="1">AVERAGE(OFFSET($AM$3,0,0,'Données projet'!$E$10+1,1))-AVERAGE(OFFSET($H$3,0,0,'Données projet'!$E$10+1,1))</f>
        <v>305.55480846093275</v>
      </c>
      <c r="AO98" s="62">
        <f t="shared" si="90"/>
        <v>179.56041631665812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0.49888761607729254</v>
      </c>
      <c r="AW98" s="23">
        <f>EXP(-LN(2)/2)*AW97+(1-EXP(-LN(2)/2))/(LN(2)/2)*AQ98*AT98*VLOOKUP('Données projet'!$B$10,Paramètres!$A$1:$I$89,3,0)*0.475*44/12</f>
        <v>2.3154463563367717E-9</v>
      </c>
      <c r="AX98" s="23">
        <f t="shared" si="60"/>
        <v>0.49888761839273887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40.594438615105105</v>
      </c>
      <c r="BJ98" s="62">
        <f t="shared" si="92"/>
        <v>238.55583229663102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12.617878051806517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1.7478530305251765E-10</v>
      </c>
      <c r="BS98" s="24">
        <f t="shared" si="63"/>
        <v>12.617878051981302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>
        <f>BY98*VLOOKUP('Données projet'!$B$12,Paramètres!$A$1:$I$89,3,0)*VLOOKUP('Données projet'!$B$12,Paramètres!$A$1:$I$89,5,0)</f>
        <v>0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41.074766157499596</v>
      </c>
      <c r="CE98" s="62">
        <f t="shared" si="94"/>
        <v>240.92787656206917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12.733993494001048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1.7639375676158979E-10</v>
      </c>
      <c r="CN98" s="24">
        <f t="shared" si="66"/>
        <v>12.733993494177442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-1.7053025658242404E-13</v>
      </c>
      <c r="O99" s="14">
        <f>N99*VLOOKUP('Données projet'!$B$9,Paramètres!$A$1:$I$89,3,0)*VLOOKUP('Données projet'!$B$9,Paramètres!$A$1:$I$89,5,0)</f>
        <v>-1.0197709343628959E-13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150.79185880109804</v>
      </c>
      <c r="T99" s="62">
        <f t="shared" si="88"/>
        <v>231.70571415193996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2.2410200599455705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2.7407850456064038E-9</v>
      </c>
      <c r="AC99" s="24">
        <f t="shared" si="57"/>
        <v>2.2410200626863555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262.79999999999984</v>
      </c>
      <c r="AJ99" s="14">
        <f>AI99*VLOOKUP('Données projet'!$B$10,Paramètres!$A$1:$I$89,3,0)*VLOOKUP('Données projet'!$B$10,Paramètres!$A$1:$I$89,5,0)</f>
        <v>266.47919999999988</v>
      </c>
      <c r="AK99" s="14">
        <f t="shared" si="89"/>
        <v>64.101496824889622</v>
      </c>
      <c r="AL99" s="22">
        <f t="shared" si="58"/>
        <v>575.76138030334926</v>
      </c>
      <c r="AM99" s="62">
        <f t="shared" si="59"/>
        <v>869.09471363668263</v>
      </c>
      <c r="AN99" s="62">
        <f ca="1">AVERAGE(OFFSET($AM$3,0,0,'Données projet'!$E$10+1,1))-AVERAGE(OFFSET($H$3,0,0,'Données projet'!$E$10+1,1))</f>
        <v>305.55480846093275</v>
      </c>
      <c r="AO99" s="62">
        <f t="shared" si="90"/>
        <v>179.56041631665812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0.48524550798029947</v>
      </c>
      <c r="AW99" s="23">
        <f>EXP(-LN(2)/2)*AW98+(1-EXP(-LN(2)/2))/(LN(2)/2)*AQ99*AT99*VLOOKUP('Données projet'!$B$10,Paramètres!$A$1:$I$89,3,0)*0.475*44/12</f>
        <v>1.6372678200394144E-9</v>
      </c>
      <c r="AX99" s="23">
        <f t="shared" si="60"/>
        <v>0.48524550961756729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40.594438615105105</v>
      </c>
      <c r="BJ99" s="62">
        <f t="shared" si="92"/>
        <v>238.55583229663102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12.370449159356271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1.2359187304018099E-10</v>
      </c>
      <c r="BS99" s="24">
        <f t="shared" si="63"/>
        <v>12.370449159479863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>
        <f>BY99*VLOOKUP('Données projet'!$B$12,Paramètres!$A$1:$I$89,3,0)*VLOOKUP('Données projet'!$B$12,Paramètres!$A$1:$I$89,5,0)</f>
        <v>0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41.074766157499596</v>
      </c>
      <c r="CE99" s="62">
        <f t="shared" si="94"/>
        <v>240.92787656206917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12.484287648552794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1.2472922156509056E-10</v>
      </c>
      <c r="CN99" s="24">
        <f t="shared" si="66"/>
        <v>12.484287648677522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-1.7053025658242404E-13</v>
      </c>
      <c r="O100" s="14">
        <f>N100*VLOOKUP('Données projet'!$B$9,Paramètres!$A$1:$I$89,3,0)*VLOOKUP('Données projet'!$B$9,Paramètres!$A$1:$I$89,5,0)</f>
        <v>-1.0197709343628959E-13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150.79185880109804</v>
      </c>
      <c r="T100" s="62">
        <f t="shared" si="88"/>
        <v>231.70571415193996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2.1970750234573053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1.938027691522969E-9</v>
      </c>
      <c r="AC100" s="24">
        <f t="shared" si="57"/>
        <v>2.1970750253953328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267.59999999999985</v>
      </c>
      <c r="AJ100" s="14">
        <f>AI100*VLOOKUP('Données projet'!$B$10,Paramètres!$A$1:$I$89,3,0)*VLOOKUP('Données projet'!$B$10,Paramètres!$A$1:$I$89,5,0)</f>
        <v>271.34639999999985</v>
      </c>
      <c r="AK100" s="14">
        <f t="shared" si="89"/>
        <v>65.134926573557308</v>
      </c>
      <c r="AL100" s="22">
        <f t="shared" si="58"/>
        <v>586.03831044894537</v>
      </c>
      <c r="AM100" s="62">
        <f t="shared" si="59"/>
        <v>879.37164378227862</v>
      </c>
      <c r="AN100" s="62">
        <f ca="1">AVERAGE(OFFSET($AM$3,0,0,'Données projet'!$E$10+1,1))-AVERAGE(OFFSET($H$3,0,0,'Données projet'!$E$10+1,1))</f>
        <v>305.55480846093275</v>
      </c>
      <c r="AO100" s="62">
        <f t="shared" si="90"/>
        <v>179.56041631665812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0.47197644404662598</v>
      </c>
      <c r="AW100" s="23">
        <f>EXP(-LN(2)/2)*AW99+(1-EXP(-LN(2)/2))/(LN(2)/2)*AQ100*AT100*VLOOKUP('Données projet'!$B$10,Paramètres!$A$1:$I$89,3,0)*0.475*44/12</f>
        <v>1.1577231781683859E-9</v>
      </c>
      <c r="AX100" s="23">
        <f t="shared" si="60"/>
        <v>0.47197644520434917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40.594438615105105</v>
      </c>
      <c r="BJ100" s="62">
        <f t="shared" si="92"/>
        <v>238.55583229663102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12.127872196570252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8.7392651526258826E-11</v>
      </c>
      <c r="BS100" s="24">
        <f t="shared" si="63"/>
        <v>12.127872196657645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>
        <f>BY100*VLOOKUP('Données projet'!$B$12,Paramètres!$A$1:$I$89,3,0)*VLOOKUP('Données projet'!$B$12,Paramètres!$A$1:$I$89,5,0)</f>
        <v>0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41.074766157499596</v>
      </c>
      <c r="CE100" s="62">
        <f t="shared" si="94"/>
        <v>240.92787656206917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12.239478382428253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8.8196878380794893E-11</v>
      </c>
      <c r="CN100" s="24">
        <f t="shared" si="66"/>
        <v>12.239478382516449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-1.7053025658242404E-13</v>
      </c>
      <c r="O101" s="14">
        <f>N101*VLOOKUP('Données projet'!$B$9,Paramètres!$A$1:$I$89,3,0)*VLOOKUP('Données projet'!$B$9,Paramètres!$A$1:$I$89,5,0)</f>
        <v>-1.0197709343628959E-13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150.79185880109804</v>
      </c>
      <c r="T101" s="62">
        <f t="shared" si="88"/>
        <v>231.70571415193996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2.1539917223307494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1.3703925228032019E-9</v>
      </c>
      <c r="AC101" s="24">
        <f t="shared" si="57"/>
        <v>2.1539917237011421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272.39999999999986</v>
      </c>
      <c r="AJ101" s="14">
        <f>AI101*VLOOKUP('Données projet'!$B$10,Paramètres!$A$1:$I$89,3,0)*VLOOKUP('Données projet'!$B$10,Paramètres!$A$1:$I$89,5,0)</f>
        <v>276.21359999999987</v>
      </c>
      <c r="AK101" s="14">
        <f t="shared" si="89"/>
        <v>66.166200760877416</v>
      </c>
      <c r="AL101" s="22">
        <f t="shared" si="58"/>
        <v>596.31148632519455</v>
      </c>
      <c r="AM101" s="62">
        <f t="shared" si="59"/>
        <v>889.64481965852792</v>
      </c>
      <c r="AN101" s="62">
        <f ca="1">AVERAGE(OFFSET($AM$3,0,0,'Données projet'!$E$10+1,1))-AVERAGE(OFFSET($H$3,0,0,'Données projet'!$E$10+1,1))</f>
        <v>305.55480846093275</v>
      </c>
      <c r="AO101" s="62">
        <f t="shared" si="90"/>
        <v>179.56041631665812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0.45907022336400849</v>
      </c>
      <c r="AW101" s="23">
        <f>EXP(-LN(2)/2)*AW100+(1-EXP(-LN(2)/2))/(LN(2)/2)*AQ101*AT101*VLOOKUP('Données projet'!$B$10,Paramètres!$A$1:$I$89,3,0)*0.475*44/12</f>
        <v>8.1863391001970721E-10</v>
      </c>
      <c r="AX101" s="23">
        <f t="shared" si="60"/>
        <v>0.45907022418264237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40.594438615105105</v>
      </c>
      <c r="BJ101" s="62">
        <f t="shared" si="92"/>
        <v>238.55583229663102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11.890052020067129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6.1795936520090497E-11</v>
      </c>
      <c r="BS101" s="24">
        <f t="shared" si="63"/>
        <v>11.890052020128925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>
        <f>BY101*VLOOKUP('Données projet'!$B$12,Paramètres!$A$1:$I$89,3,0)*VLOOKUP('Données projet'!$B$12,Paramètres!$A$1:$I$89,5,0)</f>
        <v>0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41.074766157499596</v>
      </c>
      <c r="CE101" s="62">
        <f t="shared" si="94"/>
        <v>240.92787656206917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11.999469676693506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6.2364610782545278E-11</v>
      </c>
      <c r="CN101" s="24">
        <f t="shared" si="66"/>
        <v>11.99946967675587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-1.7053025658242404E-13</v>
      </c>
      <c r="O102" s="14">
        <f>N102*VLOOKUP('Données projet'!$B$9,Paramètres!$A$1:$I$89,3,0)*VLOOKUP('Données projet'!$B$9,Paramètres!$A$1:$I$89,5,0)</f>
        <v>-1.0197709343628959E-13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150.79185880109804</v>
      </c>
      <c r="T102" s="62">
        <f t="shared" si="88"/>
        <v>231.70571415193996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2.1117532584610665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9.6901384576148449E-10</v>
      </c>
      <c r="AC102" s="24">
        <f t="shared" si="57"/>
        <v>2.1117532594300803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277.19999999999987</v>
      </c>
      <c r="AJ102" s="14">
        <f>AI102*VLOOKUP('Données projet'!$B$10,Paramètres!$A$1:$I$89,3,0)*VLOOKUP('Données projet'!$B$10,Paramètres!$A$1:$I$89,5,0)</f>
        <v>281.0807999999999</v>
      </c>
      <c r="AK102" s="14">
        <f t="shared" si="89"/>
        <v>67.19536175254612</v>
      </c>
      <c r="AL102" s="22">
        <f t="shared" si="58"/>
        <v>606.58098171901759</v>
      </c>
      <c r="AM102" s="62">
        <f t="shared" si="59"/>
        <v>899.91431505235096</v>
      </c>
      <c r="AN102" s="62">
        <f ca="1">AVERAGE(OFFSET($AM$3,0,0,'Données projet'!$E$10+1,1))-AVERAGE(OFFSET($H$3,0,0,'Données projet'!$E$10+1,1))</f>
        <v>305.55480846093275</v>
      </c>
      <c r="AO102" s="62">
        <f t="shared" si="90"/>
        <v>179.56041631665812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0.44651692396466586</v>
      </c>
      <c r="AW102" s="23">
        <f>EXP(-LN(2)/2)*AW101+(1-EXP(-LN(2)/2))/(LN(2)/2)*AQ102*AT102*VLOOKUP('Données projet'!$B$10,Paramètres!$A$1:$I$89,3,0)*0.475*44/12</f>
        <v>5.7886158908419294E-10</v>
      </c>
      <c r="AX102" s="23">
        <f t="shared" si="60"/>
        <v>0.44651692454352743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40.594438615105105</v>
      </c>
      <c r="BJ102" s="62">
        <f t="shared" si="92"/>
        <v>238.55583229663102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11.656895352169249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4.3696325763129413E-11</v>
      </c>
      <c r="BS102" s="24">
        <f t="shared" si="63"/>
        <v>11.656895352212945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>
        <f>BY102*VLOOKUP('Données projet'!$B$12,Paramètres!$A$1:$I$89,3,0)*VLOOKUP('Données projet'!$B$12,Paramètres!$A$1:$I$89,5,0)</f>
        <v>0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41.074766157499596</v>
      </c>
      <c r="CE102" s="62">
        <f t="shared" si="94"/>
        <v>240.92787656206917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11.764167395287362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4.4098439190397446E-11</v>
      </c>
      <c r="CN102" s="24">
        <f t="shared" si="66"/>
        <v>11.76416739533146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-1.7053025658242404E-13</v>
      </c>
      <c r="O103" s="14">
        <f>N103*VLOOKUP('Données projet'!$B$9,Paramètres!$A$1:$I$89,3,0)*VLOOKUP('Données projet'!$B$9,Paramètres!$A$1:$I$89,5,0)</f>
        <v>-1.0197709343628959E-13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150.79185880109804</v>
      </c>
      <c r="T103" s="62">
        <f t="shared" si="88"/>
        <v>231.70571415193996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2.0703430651049493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6.8519626140160095E-10</v>
      </c>
      <c r="AC103" s="24">
        <f t="shared" si="57"/>
        <v>2.0703430657901456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281.99999999999989</v>
      </c>
      <c r="AJ103" s="14">
        <f>AI103*VLOOKUP('Données projet'!$B$10,Paramètres!$A$1:$I$89,3,0)*VLOOKUP('Données projet'!$B$10,Paramètres!$A$1:$I$89,5,0)</f>
        <v>285.94799999999992</v>
      </c>
      <c r="AK103" s="14">
        <f t="shared" si="89"/>
        <v>68.222450362989363</v>
      </c>
      <c r="AL103" s="22">
        <f t="shared" si="58"/>
        <v>616.84686771553959</v>
      </c>
      <c r="AM103" s="62">
        <f t="shared" si="59"/>
        <v>910.18020104887296</v>
      </c>
      <c r="AN103" s="62">
        <f ca="1">AVERAGE(OFFSET($AM$3,0,0,'Données projet'!$E$10+1,1))-AVERAGE(OFFSET($H$3,0,0,'Données projet'!$E$10+1,1))</f>
        <v>305.55480846093275</v>
      </c>
      <c r="AO103" s="62">
        <f t="shared" si="90"/>
        <v>179.56041631665812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0.43430689519754756</v>
      </c>
      <c r="AW103" s="23">
        <f>EXP(-LN(2)/2)*AW102+(1-EXP(-LN(2)/2))/(LN(2)/2)*AQ103*AT103*VLOOKUP('Données projet'!$B$10,Paramètres!$A$1:$I$89,3,0)*0.475*44/12</f>
        <v>4.093169550098536E-10</v>
      </c>
      <c r="AX103" s="23">
        <f t="shared" si="60"/>
        <v>0.43430689560686453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40.594438615105105</v>
      </c>
      <c r="BJ103" s="62">
        <f t="shared" si="92"/>
        <v>238.55583229663102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11.42831074431732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3.0897968260045249E-11</v>
      </c>
      <c r="BS103" s="24">
        <f t="shared" si="63"/>
        <v>11.428310744348218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>
        <f>BY103*VLOOKUP('Données projet'!$B$12,Paramètres!$A$1:$I$89,3,0)*VLOOKUP('Données projet'!$B$12,Paramètres!$A$1:$I$89,5,0)</f>
        <v>0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41.074766157499596</v>
      </c>
      <c r="CE103" s="62">
        <f t="shared" si="94"/>
        <v>240.92787656206917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11.533479248099374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3.1182305391272639E-11</v>
      </c>
      <c r="CN103" s="24">
        <f t="shared" si="66"/>
        <v>11.533479248130556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-1.7053025658242404E-13</v>
      </c>
      <c r="O104" s="14">
        <f>N104*VLOOKUP('Données projet'!$B$9,Paramètres!$A$1:$I$89,3,0)*VLOOKUP('Données projet'!$B$9,Paramètres!$A$1:$I$89,5,0)</f>
        <v>-1.0197709343628959E-13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150.79185880109804</v>
      </c>
      <c r="T104" s="62">
        <f t="shared" si="88"/>
        <v>231.70571415193996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2.0297449003828212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4.8450692288074225E-10</v>
      </c>
      <c r="AC104" s="24">
        <f t="shared" si="57"/>
        <v>2.0297449008673283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4.5999999999999996</v>
      </c>
      <c r="AI104" s="14">
        <f>IF('Données projet'!$A$62&gt;35,AI103+AH104-AQ103,IF(A104&lt;'Données projet'!$A$62,$AF$205^A104,IF(A104='Données projet'!$A$62,'Données projet'!$B$62,AI103+AH104-AQ103)))</f>
        <v>265.59999999999991</v>
      </c>
      <c r="AJ104" s="14">
        <f>AI104*VLOOKUP('Données projet'!$B$10,Paramètres!$A$1:$I$89,3,0)*VLOOKUP('Données projet'!$B$10,Paramètres!$A$1:$I$89,5,0)</f>
        <v>269.31839999999994</v>
      </c>
      <c r="AK104" s="14">
        <f t="shared" si="89"/>
        <v>64.70459529265311</v>
      </c>
      <c r="AL104" s="22">
        <f t="shared" si="58"/>
        <v>581.75671680137077</v>
      </c>
      <c r="AM104" s="62">
        <f t="shared" si="59"/>
        <v>875.09005013470414</v>
      </c>
      <c r="AN104" s="62">
        <f ca="1">AVERAGE(OFFSET($AM$3,0,0,'Données projet'!$E$10+1,1))-AVERAGE(OFFSET($H$3,0,0,'Données projet'!$E$10+1,1))</f>
        <v>305.55480846093275</v>
      </c>
      <c r="AO104" s="62">
        <f t="shared" si="90"/>
        <v>179.56041631665812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0.42243075030916361</v>
      </c>
      <c r="AW104" s="23">
        <f>EXP(-LN(2)/2)*AW103+(1-EXP(-LN(2)/2))/(LN(2)/2)*AQ104*AT104*VLOOKUP('Données projet'!$B$10,Paramètres!$A$1:$I$89,3,0)*0.475*44/12</f>
        <v>2.8943079454209647E-10</v>
      </c>
      <c r="AX104" s="23">
        <f t="shared" si="60"/>
        <v>0.42243075059859442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40.594438615105105</v>
      </c>
      <c r="BJ104" s="62">
        <f t="shared" si="92"/>
        <v>238.55583229663102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11.204208541202524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2.1848162881564707E-11</v>
      </c>
      <c r="BS104" s="24">
        <f t="shared" si="63"/>
        <v>11.204208541224371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>
        <f>BY104*VLOOKUP('Données projet'!$B$12,Paramètres!$A$1:$I$89,3,0)*VLOOKUP('Données projet'!$B$12,Paramètres!$A$1:$I$89,5,0)</f>
        <v>0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41.074766157499596</v>
      </c>
      <c r="CE104" s="62">
        <f t="shared" si="94"/>
        <v>240.92787656206917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11.307314754771864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2.2049219595198723E-11</v>
      </c>
      <c r="CN104" s="24">
        <f t="shared" si="66"/>
        <v>11.307314754793914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-1.7053025658242404E-13</v>
      </c>
      <c r="O105" s="14">
        <f>N105*VLOOKUP('Données projet'!$B$9,Paramètres!$A$1:$I$89,3,0)*VLOOKUP('Données projet'!$B$9,Paramètres!$A$1:$I$89,5,0)</f>
        <v>-1.0197709343628959E-13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150.79185880109804</v>
      </c>
      <c r="T105" s="62">
        <f t="shared" si="88"/>
        <v>231.70571415193996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1.9899428409084587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3.4259813070080047E-10</v>
      </c>
      <c r="AC105" s="24">
        <f t="shared" si="57"/>
        <v>1.9899428412510569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4.5999999999999996</v>
      </c>
      <c r="AI105" s="14">
        <f>IF('Données projet'!$A$62&gt;35,AI104+AH105-AQ104,IF(A105&lt;'Données projet'!$A$62,$AF$205^A105,IF(A105='Données projet'!$A$62,'Données projet'!$B$62,AI104+AH105-AQ104)))</f>
        <v>270.19999999999993</v>
      </c>
      <c r="AJ105" s="14">
        <f>AI105*VLOOKUP('Données projet'!$B$10,Paramètres!$A$1:$I$89,3,0)*VLOOKUP('Données projet'!$B$10,Paramètres!$A$1:$I$89,5,0)</f>
        <v>273.98279999999994</v>
      </c>
      <c r="AK105" s="14">
        <f t="shared" si="89"/>
        <v>65.693798259477774</v>
      </c>
      <c r="AL105" s="22">
        <f t="shared" si="58"/>
        <v>591.6034086352571</v>
      </c>
      <c r="AM105" s="62">
        <f t="shared" si="59"/>
        <v>884.93674196859047</v>
      </c>
      <c r="AN105" s="62">
        <f ca="1">AVERAGE(OFFSET($AM$3,0,0,'Données projet'!$E$10+1,1))-AVERAGE(OFFSET($H$3,0,0,'Données projet'!$E$10+1,1))</f>
        <v>305.55480846093275</v>
      </c>
      <c r="AO105" s="62">
        <f t="shared" si="90"/>
        <v>179.56041631665812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0.41087935922729185</v>
      </c>
      <c r="AW105" s="23">
        <f>EXP(-LN(2)/2)*AW104+(1-EXP(-LN(2)/2))/(LN(2)/2)*AQ105*AT105*VLOOKUP('Données projet'!$B$10,Paramètres!$A$1:$I$89,3,0)*0.475*44/12</f>
        <v>2.046584775049268E-10</v>
      </c>
      <c r="AX105" s="23">
        <f t="shared" si="60"/>
        <v>0.41087935943195031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40.594438615105105</v>
      </c>
      <c r="BJ105" s="62">
        <f t="shared" si="92"/>
        <v>238.55583229663102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10.984500845601962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1.5448984130022624E-11</v>
      </c>
      <c r="BS105" s="24">
        <f t="shared" si="63"/>
        <v>10.984500845617411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>
        <f>BY105*VLOOKUP('Données projet'!$B$12,Paramètres!$A$1:$I$89,3,0)*VLOOKUP('Données projet'!$B$12,Paramètres!$A$1:$I$89,5,0)</f>
        <v>0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41.074766157499596</v>
      </c>
      <c r="CE105" s="62">
        <f t="shared" si="94"/>
        <v>240.92787656206917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11.085585209211787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1.559115269563632E-11</v>
      </c>
      <c r="CN105" s="24">
        <f t="shared" si="66"/>
        <v>11.085585209227379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-1.7053025658242404E-13</v>
      </c>
      <c r="O106" s="14">
        <f>N106*VLOOKUP('Données projet'!$B$9,Paramètres!$A$1:$I$89,3,0)*VLOOKUP('Données projet'!$B$9,Paramètres!$A$1:$I$89,5,0)</f>
        <v>-1.0197709343628959E-13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150.79185880109804</v>
      </c>
      <c r="T106" s="62">
        <f t="shared" si="88"/>
        <v>231.70571415193996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1.9509212755435295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2.4225346144037112E-10</v>
      </c>
      <c r="AC106" s="24">
        <f t="shared" si="57"/>
        <v>1.950921275785783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4.5999999999999996</v>
      </c>
      <c r="AI106" s="14">
        <f>IF('Données projet'!$A$62&gt;35,AI105+AH106-AQ105,IF(A106&lt;'Données projet'!$A$62,$AF$205^A106,IF(A106='Données projet'!$A$62,'Données projet'!$B$62,AI105+AH106-AQ105)))</f>
        <v>274.79999999999995</v>
      </c>
      <c r="AJ106" s="14">
        <f>AI106*VLOOKUP('Données projet'!$B$10,Paramètres!$A$1:$I$89,3,0)*VLOOKUP('Données projet'!$B$10,Paramètres!$A$1:$I$89,5,0)</f>
        <v>278.6472</v>
      </c>
      <c r="AK106" s="14">
        <f t="shared" si="89"/>
        <v>66.681042819901123</v>
      </c>
      <c r="AL106" s="22">
        <f t="shared" si="58"/>
        <v>601.44668957799445</v>
      </c>
      <c r="AM106" s="62">
        <f t="shared" si="59"/>
        <v>894.78002291132771</v>
      </c>
      <c r="AN106" s="62">
        <f ca="1">AVERAGE(OFFSET($AM$3,0,0,'Données projet'!$E$10+1,1))-AVERAGE(OFFSET($H$3,0,0,'Données projet'!$E$10+1,1))</f>
        <v>305.55480846093275</v>
      </c>
      <c r="AO106" s="62">
        <f t="shared" si="90"/>
        <v>179.56041631665812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0.39964384154201515</v>
      </c>
      <c r="AW106" s="23">
        <f>EXP(-LN(2)/2)*AW105+(1-EXP(-LN(2)/2))/(LN(2)/2)*AQ106*AT106*VLOOKUP('Données projet'!$B$10,Paramètres!$A$1:$I$89,3,0)*0.475*44/12</f>
        <v>1.4471539727104823E-10</v>
      </c>
      <c r="AX106" s="23">
        <f t="shared" si="60"/>
        <v>0.39964384168673056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40.594438615105105</v>
      </c>
      <c r="BJ106" s="62">
        <f t="shared" si="92"/>
        <v>238.55583229663102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10.769101483903665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1.0924081440782353E-11</v>
      </c>
      <c r="BS106" s="24">
        <f t="shared" si="63"/>
        <v>10.769101483914589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>
        <f>BY106*VLOOKUP('Données projet'!$B$12,Paramètres!$A$1:$I$89,3,0)*VLOOKUP('Données projet'!$B$12,Paramètres!$A$1:$I$89,5,0)</f>
        <v>0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41.074766157499596</v>
      </c>
      <c r="CE106" s="62">
        <f t="shared" si="94"/>
        <v>240.92787656206917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10.868203644798475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1.1024609797599362E-11</v>
      </c>
      <c r="CN106" s="24">
        <f t="shared" si="66"/>
        <v>10.868203644809499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-1.7053025658242404E-13</v>
      </c>
      <c r="O107" s="14">
        <f>N107*VLOOKUP('Données projet'!$B$9,Paramètres!$A$1:$I$89,3,0)*VLOOKUP('Données projet'!$B$9,Paramètres!$A$1:$I$89,5,0)</f>
        <v>-1.0197709343628959E-13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150.79185880109804</v>
      </c>
      <c r="T107" s="62">
        <f t="shared" si="88"/>
        <v>231.70571415193996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1.9126648992746016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1.7129906535040024E-10</v>
      </c>
      <c r="AC107" s="24">
        <f t="shared" si="57"/>
        <v>1.9126648994459006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4.5999999999999996</v>
      </c>
      <c r="AI107" s="14">
        <f>IF('Données projet'!$A$62&gt;35,AI106+AH107-AQ106,IF(A107&lt;'Données projet'!$A$62,$AF$205^A107,IF(A107='Données projet'!$A$62,'Données projet'!$B$62,AI106+AH107-AQ106)))</f>
        <v>279.39999999999998</v>
      </c>
      <c r="AJ107" s="14">
        <f>AI107*VLOOKUP('Données projet'!$B$10,Paramètres!$A$1:$I$89,3,0)*VLOOKUP('Données projet'!$B$10,Paramètres!$A$1:$I$89,5,0)</f>
        <v>283.3116</v>
      </c>
      <c r="AK107" s="14">
        <f t="shared" si="89"/>
        <v>67.666365540271272</v>
      </c>
      <c r="AL107" s="22">
        <f t="shared" si="58"/>
        <v>611.28662331597241</v>
      </c>
      <c r="AM107" s="62">
        <f t="shared" si="59"/>
        <v>904.61995664930578</v>
      </c>
      <c r="AN107" s="62">
        <f ca="1">AVERAGE(OFFSET($AM$3,0,0,'Données projet'!$E$10+1,1))-AVERAGE(OFFSET($H$3,0,0,'Données projet'!$E$10+1,1))</f>
        <v>305.55480846093275</v>
      </c>
      <c r="AO107" s="62">
        <f t="shared" si="90"/>
        <v>179.56041631665812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0.38871555967869253</v>
      </c>
      <c r="AW107" s="23">
        <f>EXP(-LN(2)/2)*AW106+(1-EXP(-LN(2)/2))/(LN(2)/2)*AQ107*AT107*VLOOKUP('Données projet'!$B$10,Paramètres!$A$1:$I$89,3,0)*0.475*44/12</f>
        <v>1.023292387524634E-10</v>
      </c>
      <c r="AX107" s="23">
        <f t="shared" si="60"/>
        <v>0.38871555978102179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40.594438615105105</v>
      </c>
      <c r="BJ107" s="62">
        <f t="shared" si="92"/>
        <v>238.55583229663102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10.557925972307633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7.7244920650113122E-12</v>
      </c>
      <c r="BS107" s="24">
        <f t="shared" si="63"/>
        <v>10.557925972315358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>
        <f>BY107*VLOOKUP('Données projet'!$B$12,Paramètres!$A$1:$I$89,3,0)*VLOOKUP('Données projet'!$B$12,Paramètres!$A$1:$I$89,5,0)</f>
        <v>0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41.074766157499596</v>
      </c>
      <c r="CE107" s="62">
        <f t="shared" si="94"/>
        <v>240.92787656206917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10.655084800273647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7.7955763478181598E-12</v>
      </c>
      <c r="CN107" s="24">
        <f t="shared" si="66"/>
        <v>10.655084800281443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-1.7053025658242404E-13</v>
      </c>
      <c r="O108" s="14">
        <f>N108*VLOOKUP('Données projet'!$B$9,Paramètres!$A$1:$I$89,3,0)*VLOOKUP('Données projet'!$B$9,Paramètres!$A$1:$I$89,5,0)</f>
        <v>-1.0197709343628959E-13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150.79185880109804</v>
      </c>
      <c r="T108" s="62">
        <f t="shared" si="88"/>
        <v>231.70571415193996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1.875158707210222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1.2112673072018556E-10</v>
      </c>
      <c r="AC108" s="24">
        <f t="shared" si="57"/>
        <v>1.8751587073313487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284</v>
      </c>
      <c r="AG108" s="13">
        <f>VLOOKUP(A108,'Données projet'!$A$61:$I$81,9,0)</f>
        <v>4.5999999999999996</v>
      </c>
      <c r="AH108" s="13">
        <f t="array" ref="AH108">INDEX(AG:AG,MIN(IF(ISNUMBER(AG108:AG304),ROW(AG108:AG304),"")))</f>
        <v>4.5999999999999996</v>
      </c>
      <c r="AI108" s="14">
        <f>IF('Données projet'!$A$62&gt;35,AI107+AH108-AQ107,IF(A108&lt;'Données projet'!$A$62,$AF$205^A108,IF(A108='Données projet'!$A$62,'Données projet'!$B$62,AI107+AH108-AQ107)))</f>
        <v>284</v>
      </c>
      <c r="AJ108" s="14">
        <f>AI108*VLOOKUP('Données projet'!$B$10,Paramètres!$A$1:$I$89,3,0)*VLOOKUP('Données projet'!$B$10,Paramètres!$A$1:$I$89,5,0)</f>
        <v>287.976</v>
      </c>
      <c r="AK108" s="14">
        <f t="shared" si="89"/>
        <v>68.649801713863141</v>
      </c>
      <c r="AL108" s="22">
        <f t="shared" si="58"/>
        <v>621.12327131831159</v>
      </c>
      <c r="AM108" s="62">
        <f t="shared" si="59"/>
        <v>914.45660465164497</v>
      </c>
      <c r="AN108" s="62">
        <f ca="1">AVERAGE(OFFSET($AM$3,0,0,'Données projet'!$E$10+1,1))-AVERAGE(OFFSET($H$3,0,0,'Données projet'!$E$10+1,1))</f>
        <v>305.55480846093275</v>
      </c>
      <c r="AO108" s="62">
        <f t="shared" si="90"/>
        <v>179.56041631665812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0.37808611225761585</v>
      </c>
      <c r="AW108" s="23">
        <f>EXP(-LN(2)/2)*AW107+(1-EXP(-LN(2)/2))/(LN(2)/2)*AQ108*AT108*VLOOKUP('Données projet'!$B$10,Paramètres!$A$1:$I$89,3,0)*0.475*44/12</f>
        <v>7.2357698635524117E-11</v>
      </c>
      <c r="AX108" s="23">
        <f t="shared" si="60"/>
        <v>0.37808611232997352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40.594438615105105</v>
      </c>
      <c r="BJ108" s="62">
        <f t="shared" si="92"/>
        <v>238.55583229663102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10.350891483689656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5.4620407203911767E-12</v>
      </c>
      <c r="BS108" s="24">
        <f t="shared" si="63"/>
        <v>10.350891483695118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>
        <f>BY108*VLOOKUP('Données projet'!$B$12,Paramètres!$A$1:$I$89,3,0)*VLOOKUP('Données projet'!$B$12,Paramètres!$A$1:$I$89,5,0)</f>
        <v>0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41.074766157499596</v>
      </c>
      <c r="CE108" s="62">
        <f t="shared" si="94"/>
        <v>240.92787656206917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10.446145086300289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5.5123048987996808E-12</v>
      </c>
      <c r="CN108" s="24">
        <f t="shared" si="66"/>
        <v>10.446145086305801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-1.7053025658242404E-13</v>
      </c>
      <c r="O109" s="14">
        <f>N109*VLOOKUP('Données projet'!$B$9,Paramètres!$A$1:$I$89,3,0)*VLOOKUP('Données projet'!$B$9,Paramètres!$A$1:$I$89,5,0)</f>
        <v>-1.0197709343628959E-13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150.79185880109804</v>
      </c>
      <c r="T109" s="62">
        <f t="shared" si="88"/>
        <v>231.70571415193996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1.8383879886957066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8.5649532675200118E-11</v>
      </c>
      <c r="AC109" s="24">
        <f t="shared" si="57"/>
        <v>1.8383879887813561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268.2</v>
      </c>
      <c r="AJ109" s="14">
        <f>AI109*VLOOKUP('Données projet'!$B$10,Paramètres!$A$1:$I$89,3,0)*VLOOKUP('Données projet'!$B$10,Paramètres!$A$1:$I$89,5,0)</f>
        <v>271.95480000000003</v>
      </c>
      <c r="AK109" s="14">
        <f t="shared" si="89"/>
        <v>65.263952845017442</v>
      </c>
      <c r="AL109" s="22">
        <f t="shared" si="58"/>
        <v>587.322661205072</v>
      </c>
      <c r="AM109" s="62">
        <f t="shared" si="59"/>
        <v>880.65599453840537</v>
      </c>
      <c r="AN109" s="62">
        <f ca="1">AVERAGE(OFFSET($AM$3,0,0,'Données projet'!$E$10+1,1))-AVERAGE(OFFSET($H$3,0,0,'Données projet'!$E$10+1,1))</f>
        <v>305.55480846093275</v>
      </c>
      <c r="AO109" s="62">
        <f t="shared" si="90"/>
        <v>179.56041631665812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0.36774732763524681</v>
      </c>
      <c r="AW109" s="23">
        <f>EXP(-LN(2)/2)*AW108+(1-EXP(-LN(2)/2))/(LN(2)/2)*AQ109*AT109*VLOOKUP('Données projet'!$B$10,Paramètres!$A$1:$I$89,3,0)*0.475*44/12</f>
        <v>5.11646193762317E-11</v>
      </c>
      <c r="AX109" s="23">
        <f t="shared" si="60"/>
        <v>0.36774732768641144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40.594438615105105</v>
      </c>
      <c r="BJ109" s="62">
        <f t="shared" si="92"/>
        <v>238.55583229663102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10.147916815114909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3.8622460325056561E-12</v>
      </c>
      <c r="BS109" s="24">
        <f t="shared" si="63"/>
        <v>10.147916815118771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>
        <f>BY109*VLOOKUP('Données projet'!$B$12,Paramètres!$A$1:$I$89,3,0)*VLOOKUP('Données projet'!$B$12,Paramètres!$A$1:$I$89,5,0)</f>
        <v>0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41.074766157499596</v>
      </c>
      <c r="CE109" s="62">
        <f t="shared" si="94"/>
        <v>240.92787656206917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10.241302552677308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3.8977881739090799E-12</v>
      </c>
      <c r="CN109" s="24">
        <f t="shared" si="66"/>
        <v>10.241302552681205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-1.7053025658242404E-13</v>
      </c>
      <c r="O110" s="14">
        <f>N110*VLOOKUP('Données projet'!$B$9,Paramètres!$A$1:$I$89,3,0)*VLOOKUP('Données projet'!$B$9,Paramètres!$A$1:$I$89,5,0)</f>
        <v>-1.0197709343628959E-13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150.79185880109804</v>
      </c>
      <c r="T110" s="62">
        <f t="shared" si="88"/>
        <v>231.70571415193996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1.8023383215433371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6.0563365360092781E-11</v>
      </c>
      <c r="AC110" s="24">
        <f t="shared" si="57"/>
        <v>1.8023383216039004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272.39999999999998</v>
      </c>
      <c r="AJ110" s="14">
        <f>AI110*VLOOKUP('Données projet'!$B$10,Paramètres!$A$1:$I$89,3,0)*VLOOKUP('Données projet'!$B$10,Paramètres!$A$1:$I$89,5,0)</f>
        <v>276.21359999999999</v>
      </c>
      <c r="AK110" s="14">
        <f t="shared" si="89"/>
        <v>66.166200760877473</v>
      </c>
      <c r="AL110" s="22">
        <f t="shared" si="58"/>
        <v>596.31148632519489</v>
      </c>
      <c r="AM110" s="62">
        <f t="shared" si="59"/>
        <v>889.64481965852815</v>
      </c>
      <c r="AN110" s="62">
        <f ca="1">AVERAGE(OFFSET($AM$3,0,0,'Données projet'!$E$10+1,1))-AVERAGE(OFFSET($H$3,0,0,'Données projet'!$E$10+1,1))</f>
        <v>305.55480846093275</v>
      </c>
      <c r="AO110" s="62">
        <f t="shared" si="90"/>
        <v>179.56041631665812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0.35769125762206955</v>
      </c>
      <c r="AW110" s="23">
        <f>EXP(-LN(2)/2)*AW109+(1-EXP(-LN(2)/2))/(LN(2)/2)*AQ110*AT110*VLOOKUP('Données projet'!$B$10,Paramètres!$A$1:$I$89,3,0)*0.475*44/12</f>
        <v>3.6178849317762058E-11</v>
      </c>
      <c r="AX110" s="23">
        <f t="shared" si="60"/>
        <v>0.35769125765824838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40.594438615105105</v>
      </c>
      <c r="BJ110" s="62">
        <f t="shared" si="92"/>
        <v>238.55583229663102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9.9489223559885893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2.7310203601955883E-12</v>
      </c>
      <c r="BS110" s="24">
        <f t="shared" si="63"/>
        <v>9.9489223559913196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>
        <f>BY110*VLOOKUP('Données projet'!$B$12,Paramètres!$A$1:$I$89,3,0)*VLOOKUP('Données projet'!$B$12,Paramètres!$A$1:$I$89,5,0)</f>
        <v>0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41.074766157499596</v>
      </c>
      <c r="CE110" s="62">
        <f t="shared" si="94"/>
        <v>240.92787656206917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10.040476856197065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2.7561524493998404E-12</v>
      </c>
      <c r="CN110" s="24">
        <f t="shared" si="66"/>
        <v>10.040476856199822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-1.7053025658242404E-13</v>
      </c>
      <c r="O111" s="14">
        <f>N111*VLOOKUP('Données projet'!$B$9,Paramètres!$A$1:$I$89,3,0)*VLOOKUP('Données projet'!$B$9,Paramètres!$A$1:$I$89,5,0)</f>
        <v>-1.0197709343628959E-13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150.79185880109804</v>
      </c>
      <c r="T111" s="62">
        <f t="shared" si="88"/>
        <v>231.70571415193996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1.7669955663756998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4.2824766337600059E-11</v>
      </c>
      <c r="AC111" s="24">
        <f t="shared" si="57"/>
        <v>1.7669955664185246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276.59999999999997</v>
      </c>
      <c r="AJ111" s="14">
        <f>AI111*VLOOKUP('Données projet'!$B$10,Paramètres!$A$1:$I$89,3,0)*VLOOKUP('Données projet'!$B$10,Paramètres!$A$1:$I$89,5,0)</f>
        <v>280.47239999999999</v>
      </c>
      <c r="AK111" s="14">
        <f t="shared" si="89"/>
        <v>67.066830784504006</v>
      </c>
      <c r="AL111" s="22">
        <f t="shared" si="58"/>
        <v>605.29749361634447</v>
      </c>
      <c r="AM111" s="62">
        <f t="shared" si="59"/>
        <v>898.63082694967784</v>
      </c>
      <c r="AN111" s="62">
        <f ca="1">AVERAGE(OFFSET($AM$3,0,0,'Données projet'!$E$10+1,1))-AVERAGE(OFFSET($H$3,0,0,'Données projet'!$E$10+1,1))</f>
        <v>305.55480846093275</v>
      </c>
      <c r="AO111" s="62">
        <f t="shared" si="90"/>
        <v>179.56041631665812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0.34791017137222835</v>
      </c>
      <c r="AW111" s="23">
        <f>EXP(-LN(2)/2)*AW110+(1-EXP(-LN(2)/2))/(LN(2)/2)*AQ111*AT111*VLOOKUP('Données projet'!$B$10,Paramètres!$A$1:$I$89,3,0)*0.475*44/12</f>
        <v>2.558230968811585E-11</v>
      </c>
      <c r="AX111" s="23">
        <f t="shared" si="60"/>
        <v>0.34791017139781066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40.594438615105105</v>
      </c>
      <c r="BJ111" s="62">
        <f t="shared" si="92"/>
        <v>238.55583229663102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9.7538300568311005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1.931123016252828E-12</v>
      </c>
      <c r="BS111" s="24">
        <f t="shared" si="63"/>
        <v>9.7538300568330314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>
        <f>BY111*VLOOKUP('Données projet'!$B$12,Paramètres!$A$1:$I$89,3,0)*VLOOKUP('Données projet'!$B$12,Paramètres!$A$1:$I$89,5,0)</f>
        <v>0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41.074766157499596</v>
      </c>
      <c r="CE111" s="62">
        <f t="shared" si="94"/>
        <v>240.92787656206917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9.8435892291332205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1.9488940869545399E-12</v>
      </c>
      <c r="CN111" s="24">
        <f t="shared" si="66"/>
        <v>9.8435892291351692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-1.7053025658242404E-13</v>
      </c>
      <c r="O112" s="14">
        <f>N112*VLOOKUP('Données projet'!$B$9,Paramètres!$A$1:$I$89,3,0)*VLOOKUP('Données projet'!$B$9,Paramètres!$A$1:$I$89,5,0)</f>
        <v>-1.0197709343628959E-13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150.79185880109804</v>
      </c>
      <c r="T112" s="62">
        <f t="shared" si="88"/>
        <v>231.70571415193996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1.7323458610799478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3.028168268004639E-11</v>
      </c>
      <c r="AC112" s="24">
        <f t="shared" si="57"/>
        <v>1.7323458611102296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280.79999999999995</v>
      </c>
      <c r="AJ112" s="14">
        <f>AI112*VLOOKUP('Données projet'!$B$10,Paramètres!$A$1:$I$89,3,0)*VLOOKUP('Données projet'!$B$10,Paramètres!$A$1:$I$89,5,0)</f>
        <v>284.7312</v>
      </c>
      <c r="AK112" s="14">
        <f t="shared" si="89"/>
        <v>67.96587032005101</v>
      </c>
      <c r="AL112" s="22">
        <f t="shared" si="58"/>
        <v>614.28073080742217</v>
      </c>
      <c r="AM112" s="62">
        <f t="shared" si="59"/>
        <v>907.61406414075554</v>
      </c>
      <c r="AN112" s="62">
        <f ca="1">AVERAGE(OFFSET($AM$3,0,0,'Données projet'!$E$10+1,1))-AVERAGE(OFFSET($H$3,0,0,'Données projet'!$E$10+1,1))</f>
        <v>305.55480846093275</v>
      </c>
      <c r="AO112" s="62">
        <f t="shared" si="90"/>
        <v>179.56041631665812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0.33839654944025399</v>
      </c>
      <c r="AW112" s="23">
        <f>EXP(-LN(2)/2)*AW111+(1-EXP(-LN(2)/2))/(LN(2)/2)*AQ112*AT112*VLOOKUP('Données projet'!$B$10,Paramètres!$A$1:$I$89,3,0)*0.475*44/12</f>
        <v>1.8089424658881029E-11</v>
      </c>
      <c r="AX112" s="23">
        <f t="shared" si="60"/>
        <v>0.33839654945834341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40.594438615105105</v>
      </c>
      <c r="BJ112" s="62">
        <f t="shared" si="92"/>
        <v>238.55583229663102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9.562563398665537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1.3655101800977942E-12</v>
      </c>
      <c r="BS112" s="24">
        <f t="shared" si="63"/>
        <v>9.562563398666903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>
        <f>BY112*VLOOKUP('Données projet'!$B$12,Paramètres!$A$1:$I$89,3,0)*VLOOKUP('Données projet'!$B$12,Paramètres!$A$1:$I$89,5,0)</f>
        <v>0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41.074766157499596</v>
      </c>
      <c r="CE112" s="62">
        <f t="shared" si="94"/>
        <v>240.92787656206917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9.650562448346502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1.3780762246999202E-12</v>
      </c>
      <c r="CN112" s="24">
        <f t="shared" si="66"/>
        <v>9.6505624483478805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-1.7053025658242404E-13</v>
      </c>
      <c r="O113" s="14">
        <f>N113*VLOOKUP('Données projet'!$B$9,Paramètres!$A$1:$I$89,3,0)*VLOOKUP('Données projet'!$B$9,Paramètres!$A$1:$I$89,5,0)</f>
        <v>-1.0197709343628959E-13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150.79185880109804</v>
      </c>
      <c r="T113" s="62">
        <f t="shared" si="88"/>
        <v>231.70571415193996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1.6983756153708121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2.141238316880003E-11</v>
      </c>
      <c r="AC113" s="24">
        <f t="shared" si="57"/>
        <v>1.6983756153922245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285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284.99999999999994</v>
      </c>
      <c r="AJ113" s="14">
        <f>AI113*VLOOKUP('Données projet'!$B$10,Paramètres!$A$1:$I$89,3,0)*VLOOKUP('Données projet'!$B$10,Paramètres!$A$1:$I$89,5,0)</f>
        <v>288.98999999999995</v>
      </c>
      <c r="AK113" s="14">
        <f t="shared" si="89"/>
        <v>68.863345904836791</v>
      </c>
      <c r="AL113" s="22">
        <f t="shared" si="58"/>
        <v>623.26124411759065</v>
      </c>
      <c r="AM113" s="62">
        <f t="shared" si="59"/>
        <v>916.59457745092391</v>
      </c>
      <c r="AN113" s="62">
        <f ca="1">AVERAGE(OFFSET($AM$3,0,0,'Données projet'!$E$10+1,1))-AVERAGE(OFFSET($H$3,0,0,'Données projet'!$E$10+1,1))</f>
        <v>305.55480846093275</v>
      </c>
      <c r="AO113" s="62">
        <f t="shared" si="90"/>
        <v>179.56041631665812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0.32914307800030912</v>
      </c>
      <c r="AW113" s="23">
        <f>EXP(-LN(2)/2)*AW112+(1-EXP(-LN(2)/2))/(LN(2)/2)*AQ113*AT113*VLOOKUP('Données projet'!$B$10,Paramètres!$A$1:$I$89,3,0)*0.475*44/12</f>
        <v>1.2791154844057925E-11</v>
      </c>
      <c r="AX113" s="23">
        <f t="shared" si="60"/>
        <v>0.32914307801310028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40.594438615105105</v>
      </c>
      <c r="BJ113" s="62">
        <f t="shared" si="92"/>
        <v>238.55583229663102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9.3750473630054589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9.6556150812641402E-13</v>
      </c>
      <c r="BS113" s="24">
        <f t="shared" si="63"/>
        <v>9.3750473630064253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>
        <f>BY113*VLOOKUP('Données projet'!$B$12,Paramètres!$A$1:$I$89,3,0)*VLOOKUP('Données projet'!$B$12,Paramètres!$A$1:$I$89,5,0)</f>
        <v>0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41.074766157499596</v>
      </c>
      <c r="CE113" s="62">
        <f t="shared" si="94"/>
        <v>240.92787656206917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9.4613208049963013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9.7444704347726997E-13</v>
      </c>
      <c r="CN113" s="24">
        <f t="shared" si="66"/>
        <v>9.4613208049972766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-1.7053025658242404E-13</v>
      </c>
      <c r="O114" s="14">
        <f>N114*VLOOKUP('Données projet'!$B$9,Paramètres!$A$1:$I$89,3,0)*VLOOKUP('Données projet'!$B$9,Paramètres!$A$1:$I$89,5,0)</f>
        <v>-1.0197709343628959E-13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150.79185880109804</v>
      </c>
      <c r="T114" s="62">
        <f t="shared" si="88"/>
        <v>231.70571415193996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1.6650715054602285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1.5140841340023195E-11</v>
      </c>
      <c r="AC114" s="24">
        <f t="shared" si="57"/>
        <v>1.6650715054753693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269.79999999999995</v>
      </c>
      <c r="AJ114" s="14">
        <f>AI114*VLOOKUP('Données projet'!$B$10,Paramètres!$A$1:$I$89,3,0)*VLOOKUP('Données projet'!$B$10,Paramètres!$A$1:$I$89,5,0)</f>
        <v>273.57719999999995</v>
      </c>
      <c r="AK114" s="14">
        <f t="shared" si="89"/>
        <v>65.60785888991505</v>
      </c>
      <c r="AL114" s="22">
        <f t="shared" si="58"/>
        <v>590.74731089993531</v>
      </c>
      <c r="AM114" s="62">
        <f t="shared" si="59"/>
        <v>884.08064423326869</v>
      </c>
      <c r="AN114" s="62">
        <f ca="1">AVERAGE(OFFSET($AM$3,0,0,'Données projet'!$E$10+1,1))-AVERAGE(OFFSET($H$3,0,0,'Données projet'!$E$10+1,1))</f>
        <v>305.55480846093275</v>
      </c>
      <c r="AO114" s="62">
        <f t="shared" si="90"/>
        <v>179.56041631665812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0.32014264322350844</v>
      </c>
      <c r="AW114" s="23">
        <f>EXP(-LN(2)/2)*AW113+(1-EXP(-LN(2)/2))/(LN(2)/2)*AQ114*AT114*VLOOKUP('Données projet'!$B$10,Paramètres!$A$1:$I$89,3,0)*0.475*44/12</f>
        <v>9.0447123294405146E-12</v>
      </c>
      <c r="AX114" s="23">
        <f t="shared" si="60"/>
        <v>0.32014264323255315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40.594438615105105</v>
      </c>
      <c r="BJ114" s="62">
        <f t="shared" si="92"/>
        <v>238.55583229663102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9.1912084024311866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6.8275509004889708E-13</v>
      </c>
      <c r="BS114" s="24">
        <f t="shared" si="63"/>
        <v>9.1912084024318688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>
        <f>BY114*VLOOKUP('Données projet'!$B$12,Paramètres!$A$1:$I$89,3,0)*VLOOKUP('Données projet'!$B$12,Paramètres!$A$1:$I$89,5,0)</f>
        <v>0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41.074766157499596</v>
      </c>
      <c r="CE114" s="62">
        <f t="shared" si="94"/>
        <v>240.92787656206917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9.2757900748461921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6.890381123499601E-13</v>
      </c>
      <c r="CN114" s="24">
        <f t="shared" si="66"/>
        <v>9.2757900748468813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-1.7053025658242404E-13</v>
      </c>
      <c r="O115" s="14">
        <f>N115*VLOOKUP('Données projet'!$B$9,Paramètres!$A$1:$I$89,3,0)*VLOOKUP('Données projet'!$B$9,Paramètres!$A$1:$I$89,5,0)</f>
        <v>-1.0197709343628959E-13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150.79185880109804</v>
      </c>
      <c r="T115" s="62">
        <f t="shared" si="88"/>
        <v>231.70571415193996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1.6324204688314903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1.0706191584400015E-11</v>
      </c>
      <c r="AC115" s="24">
        <f t="shared" si="57"/>
        <v>1.6324204688421964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273.59999999999997</v>
      </c>
      <c r="AJ115" s="14">
        <f>AI115*VLOOKUP('Données projet'!$B$10,Paramètres!$A$1:$I$89,3,0)*VLOOKUP('Données projet'!$B$10,Paramètres!$A$1:$I$89,5,0)</f>
        <v>277.43039999999996</v>
      </c>
      <c r="AK115" s="14">
        <f t="shared" si="89"/>
        <v>66.423687500715673</v>
      </c>
      <c r="AL115" s="22">
        <f t="shared" si="58"/>
        <v>598.87920239707967</v>
      </c>
      <c r="AM115" s="62">
        <f t="shared" si="59"/>
        <v>892.21253573041304</v>
      </c>
      <c r="AN115" s="62">
        <f ca="1">AVERAGE(OFFSET($AM$3,0,0,'Données projet'!$E$10+1,1))-AVERAGE(OFFSET($H$3,0,0,'Données projet'!$E$10+1,1))</f>
        <v>305.55480846093275</v>
      </c>
      <c r="AO115" s="62">
        <f t="shared" si="90"/>
        <v>179.56041631665812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0.31138832580899167</v>
      </c>
      <c r="AW115" s="23">
        <f>EXP(-LN(2)/2)*AW114+(1-EXP(-LN(2)/2))/(LN(2)/2)*AQ115*AT115*VLOOKUP('Données projet'!$B$10,Paramètres!$A$1:$I$89,3,0)*0.475*44/12</f>
        <v>6.3955774220289625E-12</v>
      </c>
      <c r="AX115" s="23">
        <f t="shared" si="60"/>
        <v>0.31138832581538722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40.594438615105105</v>
      </c>
      <c r="BJ115" s="62">
        <f t="shared" si="92"/>
        <v>238.55583229663102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9.0109744117430814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4.8278075406320701E-13</v>
      </c>
      <c r="BS115" s="24">
        <f t="shared" si="63"/>
        <v>9.0109744117435646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>
        <f>BY115*VLOOKUP('Données projet'!$B$12,Paramètres!$A$1:$I$89,3,0)*VLOOKUP('Données projet'!$B$12,Paramètres!$A$1:$I$89,5,0)</f>
        <v>0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41.074766157499596</v>
      </c>
      <c r="CE115" s="62">
        <f t="shared" si="94"/>
        <v>240.92787656206917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9.0938974891517557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4.8722352173863499E-13</v>
      </c>
      <c r="CN115" s="24">
        <f t="shared" si="66"/>
        <v>9.0938974891522424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-1.7053025658242404E-13</v>
      </c>
      <c r="O116" s="14">
        <f>N116*VLOOKUP('Données projet'!$B$9,Paramètres!$A$1:$I$89,3,0)*VLOOKUP('Données projet'!$B$9,Paramètres!$A$1:$I$89,5,0)</f>
        <v>-1.0197709343628959E-13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150.79185880109804</v>
      </c>
      <c r="T116" s="62">
        <f t="shared" si="88"/>
        <v>231.70571415193996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1.6004096991158756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7.5704206700115976E-12</v>
      </c>
      <c r="AC116" s="24">
        <f t="shared" si="57"/>
        <v>1.600409699123446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277.39999999999998</v>
      </c>
      <c r="AJ116" s="14">
        <f>AI116*VLOOKUP('Données projet'!$B$10,Paramètres!$A$1:$I$89,3,0)*VLOOKUP('Données projet'!$B$10,Paramètres!$A$1:$I$89,5,0)</f>
        <v>281.28360000000004</v>
      </c>
      <c r="AK116" s="14">
        <f t="shared" si="89"/>
        <v>67.238198209347928</v>
      </c>
      <c r="AL116" s="22">
        <f t="shared" si="58"/>
        <v>607.00879854794766</v>
      </c>
      <c r="AM116" s="62">
        <f t="shared" si="59"/>
        <v>900.34213188128092</v>
      </c>
      <c r="AN116" s="62">
        <f ca="1">AVERAGE(OFFSET($AM$3,0,0,'Données projet'!$E$10+1,1))-AVERAGE(OFFSET($H$3,0,0,'Données projet'!$E$10+1,1))</f>
        <v>305.55480846093275</v>
      </c>
      <c r="AO116" s="62">
        <f t="shared" si="90"/>
        <v>179.56041631665812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0.30287339566454441</v>
      </c>
      <c r="AW116" s="23">
        <f>EXP(-LN(2)/2)*AW115+(1-EXP(-LN(2)/2))/(LN(2)/2)*AQ116*AT116*VLOOKUP('Données projet'!$B$10,Paramètres!$A$1:$I$89,3,0)*0.475*44/12</f>
        <v>4.5223561647202573E-12</v>
      </c>
      <c r="AX116" s="23">
        <f t="shared" si="60"/>
        <v>0.30287339566906679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40.594438615105105</v>
      </c>
      <c r="BJ116" s="62">
        <f t="shared" si="92"/>
        <v>238.55583229663102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8.8342746996804902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3.4137754502444854E-13</v>
      </c>
      <c r="BS116" s="24">
        <f t="shared" si="63"/>
        <v>8.8342746996808312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>
        <f>BY116*VLOOKUP('Données projet'!$B$12,Paramètres!$A$1:$I$89,3,0)*VLOOKUP('Données projet'!$B$12,Paramètres!$A$1:$I$89,5,0)</f>
        <v>0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41.074766157499596</v>
      </c>
      <c r="CE116" s="62">
        <f t="shared" si="94"/>
        <v>240.92787656206917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8.9155717061192643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3.4451905617498005E-13</v>
      </c>
      <c r="CN116" s="24">
        <f t="shared" si="66"/>
        <v>8.9155717061196089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-1.7053025658242404E-13</v>
      </c>
      <c r="O117" s="14">
        <f>N117*VLOOKUP('Données projet'!$B$9,Paramètres!$A$1:$I$89,3,0)*VLOOKUP('Données projet'!$B$9,Paramètres!$A$1:$I$89,5,0)</f>
        <v>-1.0197709343628959E-13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150.79185880109804</v>
      </c>
      <c r="T117" s="62">
        <f t="shared" si="88"/>
        <v>231.70571415193996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1.5690266410697427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5.3530957922000074E-12</v>
      </c>
      <c r="AC117" s="24">
        <f t="shared" si="57"/>
        <v>1.5690266410750957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281.2</v>
      </c>
      <c r="AJ117" s="14">
        <f>AI117*VLOOKUP('Données projet'!$B$10,Paramètres!$A$1:$I$89,3,0)*VLOOKUP('Données projet'!$B$10,Paramètres!$A$1:$I$89,5,0)</f>
        <v>285.13679999999999</v>
      </c>
      <c r="AK117" s="14">
        <f t="shared" si="89"/>
        <v>68.051411155895636</v>
      </c>
      <c r="AL117" s="22">
        <f t="shared" si="58"/>
        <v>615.1361344298515</v>
      </c>
      <c r="AM117" s="62">
        <f t="shared" si="59"/>
        <v>908.46946776318487</v>
      </c>
      <c r="AN117" s="62">
        <f ca="1">AVERAGE(OFFSET($AM$3,0,0,'Données projet'!$E$10+1,1))-AVERAGE(OFFSET($H$3,0,0,'Données projet'!$E$10+1,1))</f>
        <v>305.55480846093275</v>
      </c>
      <c r="AO117" s="62">
        <f t="shared" si="90"/>
        <v>179.56041631665812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0.2945913067326778</v>
      </c>
      <c r="AW117" s="23">
        <f>EXP(-LN(2)/2)*AW116+(1-EXP(-LN(2)/2))/(LN(2)/2)*AQ117*AT117*VLOOKUP('Données projet'!$B$10,Paramètres!$A$1:$I$89,3,0)*0.475*44/12</f>
        <v>3.1977887110144813E-12</v>
      </c>
      <c r="AX117" s="23">
        <f t="shared" si="60"/>
        <v>0.29459130673587558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40.594438615105105</v>
      </c>
      <c r="BJ117" s="62">
        <f t="shared" si="92"/>
        <v>238.55583229663102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8.6610399611952644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2.4139037703160351E-13</v>
      </c>
      <c r="BS117" s="24">
        <f t="shared" si="63"/>
        <v>8.661039961195506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>
        <f>BY117*VLOOKUP('Données projet'!$B$12,Paramètres!$A$1:$I$89,3,0)*VLOOKUP('Données projet'!$B$12,Paramètres!$A$1:$I$89,5,0)</f>
        <v>0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41.074766157499596</v>
      </c>
      <c r="CE117" s="62">
        <f t="shared" si="94"/>
        <v>240.92787656206917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8.7407427829240518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2.4361176086931749E-13</v>
      </c>
      <c r="CN117" s="24">
        <f t="shared" si="66"/>
        <v>8.7407427829242952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-1.7053025658242404E-13</v>
      </c>
      <c r="O118" s="14">
        <f>N118*VLOOKUP('Données projet'!$B$9,Paramètres!$A$1:$I$89,3,0)*VLOOKUP('Données projet'!$B$9,Paramètres!$A$1:$I$89,5,0)</f>
        <v>-1.0197709343628959E-13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150.79185880109804</v>
      </c>
      <c r="T118" s="62">
        <f t="shared" si="88"/>
        <v>231.70571415193996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1.538258985650119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3.7852103350057988E-12</v>
      </c>
      <c r="AC118" s="24">
        <f t="shared" si="57"/>
        <v>1.5382589856539042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285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285</v>
      </c>
      <c r="AJ118" s="14">
        <f>AI118*VLOOKUP('Données projet'!$B$10,Paramètres!$A$1:$I$89,3,0)*VLOOKUP('Données projet'!$B$10,Paramètres!$A$1:$I$89,5,0)</f>
        <v>288.99</v>
      </c>
      <c r="AK118" s="14">
        <f t="shared" si="89"/>
        <v>68.863345904836791</v>
      </c>
      <c r="AL118" s="22">
        <f t="shared" si="58"/>
        <v>623.26124411759076</v>
      </c>
      <c r="AM118" s="62">
        <f t="shared" si="59"/>
        <v>916.59457745092413</v>
      </c>
      <c r="AN118" s="62">
        <f ca="1">AVERAGE(OFFSET($AM$3,0,0,'Données projet'!$E$10+1,1))-AVERAGE(OFFSET($H$3,0,0,'Données projet'!$E$10+1,1))</f>
        <v>305.55480846093275</v>
      </c>
      <c r="AO118" s="62">
        <f t="shared" si="90"/>
        <v>179.56041631665812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18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0.28653569195818923</v>
      </c>
      <c r="AW118" s="23">
        <f>EXP(-LN(2)/2)*AW117+(1-EXP(-LN(2)/2))/(LN(2)/2)*AQ118*AT118*VLOOKUP('Données projet'!$B$10,Paramètres!$A$1:$I$89,3,0)*0.475*44/12</f>
        <v>2.2611780823601287E-12</v>
      </c>
      <c r="AX118" s="23">
        <f t="shared" si="60"/>
        <v>0.28653569196045042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40.594438615105105</v>
      </c>
      <c r="BJ118" s="62">
        <f t="shared" si="92"/>
        <v>238.55583229663102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8.4912022502689766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1.7068877251222427E-13</v>
      </c>
      <c r="BS118" s="24">
        <f t="shared" si="63"/>
        <v>8.4912022502691471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>
        <f>BY118*VLOOKUP('Données projet'!$B$12,Paramètres!$A$1:$I$89,3,0)*VLOOKUP('Données projet'!$B$12,Paramètres!$A$1:$I$89,5,0)</f>
        <v>0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41.074766157499596</v>
      </c>
      <c r="CE118" s="62">
        <f t="shared" si="94"/>
        <v>240.92787656206917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8.5693421482775847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1.7225952808749003E-13</v>
      </c>
      <c r="CN118" s="24">
        <f t="shared" si="66"/>
        <v>8.569342148277757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-1.7053025658242404E-13</v>
      </c>
      <c r="O119" s="14">
        <f>N119*VLOOKUP('Données projet'!$B$9,Paramètres!$A$1:$I$89,3,0)*VLOOKUP('Données projet'!$B$9,Paramètres!$A$1:$I$89,5,0)</f>
        <v>-1.0197709343628959E-13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150.79185880109804</v>
      </c>
      <c r="T119" s="62">
        <f t="shared" si="88"/>
        <v>231.70571415193996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1.5080946651868574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2.6765478961000037E-12</v>
      </c>
      <c r="AC119" s="24">
        <f t="shared" si="57"/>
        <v>1.5080946651895339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3.6</v>
      </c>
      <c r="AI119" s="14">
        <f>IF('Données projet'!$A$62&gt;35,AI118+AH119-AQ118,IF(A119&lt;'Données projet'!$A$62,$AF$205^A119,IF(A119='Données projet'!$A$62,'Données projet'!$B$62,AI118+AH119-AQ118)))</f>
        <v>270.60000000000002</v>
      </c>
      <c r="AJ119" s="14">
        <f>AI119*VLOOKUP('Données projet'!$B$10,Paramètres!$A$1:$I$89,3,0)*VLOOKUP('Données projet'!$B$10,Paramètres!$A$1:$I$89,5,0)</f>
        <v>274.38840000000005</v>
      </c>
      <c r="AK119" s="14">
        <f t="shared" si="89"/>
        <v>65.77972282151319</v>
      </c>
      <c r="AL119" s="22">
        <f t="shared" si="58"/>
        <v>592.45948058080216</v>
      </c>
      <c r="AM119" s="62">
        <f t="shared" si="59"/>
        <v>885.79281391413542</v>
      </c>
      <c r="AN119" s="62">
        <f ca="1">AVERAGE(OFFSET($AM$3,0,0,'Données projet'!$E$10+1,1))-AVERAGE(OFFSET($H$3,0,0,'Données projet'!$E$10+1,1))</f>
        <v>305.55480846093275</v>
      </c>
      <c r="AO119" s="62">
        <f t="shared" si="90"/>
        <v>179.56041631665812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0.2787003583933354</v>
      </c>
      <c r="AW119" s="23">
        <f>EXP(-LN(2)/2)*AW118+(1-EXP(-LN(2)/2))/(LN(2)/2)*AQ119*AT119*VLOOKUP('Données projet'!$B$10,Paramètres!$A$1:$I$89,3,0)*0.475*44/12</f>
        <v>1.5988943555072406E-12</v>
      </c>
      <c r="AX119" s="23">
        <f t="shared" si="60"/>
        <v>0.27870035839493429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40.594438615105105</v>
      </c>
      <c r="BJ119" s="62">
        <f t="shared" si="92"/>
        <v>238.55583229663102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8.3246949532631795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1.2069518851580175E-13</v>
      </c>
      <c r="BS119" s="24">
        <f t="shared" si="63"/>
        <v>8.3246949532633003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41.074766157499596</v>
      </c>
      <c r="CE119" s="62">
        <f t="shared" si="94"/>
        <v>240.92787656206917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8.4013025755324691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1.2180588043465875E-13</v>
      </c>
      <c r="CN119" s="24">
        <f t="shared" si="66"/>
        <v>8.4013025755325916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-1.7053025658242404E-13</v>
      </c>
      <c r="O120" s="14">
        <f>N120*VLOOKUP('Données projet'!$B$9,Paramètres!$A$1:$I$89,3,0)*VLOOKUP('Données projet'!$B$9,Paramètres!$A$1:$I$89,5,0)</f>
        <v>-1.0197709343628959E-13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150.79185880109804</v>
      </c>
      <c r="T120" s="62">
        <f t="shared" si="88"/>
        <v>231.70571415193996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1.4785218486494616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1.8926051675028994E-12</v>
      </c>
      <c r="AC120" s="24">
        <f t="shared" si="57"/>
        <v>1.4785218486513543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3.6</v>
      </c>
      <c r="AI120" s="14">
        <f>IF('Données projet'!$A$62&gt;35,AI119+AH120-AQ119,IF(A120&lt;'Données projet'!$A$62,$AF$205^A120,IF(A120='Données projet'!$A$62,'Données projet'!$B$62,AI119+AH120-AQ119)))</f>
        <v>274.20000000000005</v>
      </c>
      <c r="AJ120" s="14">
        <f>AI120*VLOOKUP('Données projet'!$B$10,Paramètres!$A$1:$I$89,3,0)*VLOOKUP('Données projet'!$B$10,Paramètres!$A$1:$I$89,5,0)</f>
        <v>278.03880000000009</v>
      </c>
      <c r="AK120" s="14">
        <f t="shared" si="89"/>
        <v>66.5523815477178</v>
      </c>
      <c r="AL120" s="22">
        <f t="shared" si="58"/>
        <v>600.16297452894207</v>
      </c>
      <c r="AM120" s="62">
        <f t="shared" si="59"/>
        <v>893.49630786227544</v>
      </c>
      <c r="AN120" s="62">
        <f ca="1">AVERAGE(OFFSET($AM$3,0,0,'Données projet'!$E$10+1,1))-AVERAGE(OFFSET($H$3,0,0,'Données projet'!$E$10+1,1))</f>
        <v>305.55480846093275</v>
      </c>
      <c r="AO120" s="62">
        <f t="shared" si="90"/>
        <v>179.56041631665812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0.27107928243685475</v>
      </c>
      <c r="AW120" s="23">
        <f>EXP(-LN(2)/2)*AW119+(1-EXP(-LN(2)/2))/(LN(2)/2)*AQ120*AT120*VLOOKUP('Données projet'!$B$10,Paramètres!$A$1:$I$89,3,0)*0.475*44/12</f>
        <v>1.1305890411800643E-12</v>
      </c>
      <c r="AX120" s="23">
        <f t="shared" si="60"/>
        <v>0.27107928243798535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40.594438615105105</v>
      </c>
      <c r="BJ120" s="62">
        <f t="shared" si="92"/>
        <v>238.55583229663102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8.1614527627922424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8.5344386256112135E-14</v>
      </c>
      <c r="BS120" s="24">
        <f t="shared" si="63"/>
        <v>8.1614527627923277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41.074766157499596</v>
      </c>
      <c r="CE120" s="62">
        <f t="shared" si="94"/>
        <v>240.92787656206917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8.2365581563148673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8.6129764043745013E-14</v>
      </c>
      <c r="CN120" s="24">
        <f t="shared" si="66"/>
        <v>8.2365581563149526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-1.7053025658242404E-13</v>
      </c>
      <c r="O121" s="14">
        <f>N121*VLOOKUP('Données projet'!$B$9,Paramètres!$A$1:$I$89,3,0)*VLOOKUP('Données projet'!$B$9,Paramètres!$A$1:$I$89,5,0)</f>
        <v>-1.0197709343628959E-13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150.79185880109804</v>
      </c>
      <c r="T121" s="62">
        <f t="shared" si="88"/>
        <v>231.70571415193996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1.449528937006727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1.3382739480500018E-12</v>
      </c>
      <c r="AC121" s="24">
        <f t="shared" si="57"/>
        <v>1.4495289370080653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3.6</v>
      </c>
      <c r="AI121" s="14">
        <f>IF('Données projet'!$A$62&gt;35,AI120+AH121-AQ120,IF(A121&lt;'Données projet'!$A$62,$AF$205^A121,IF(A121='Données projet'!$A$62,'Données projet'!$B$62,AI120+AH121-AQ120)))</f>
        <v>277.80000000000007</v>
      </c>
      <c r="AJ121" s="14">
        <f>AI121*VLOOKUP('Données projet'!$B$10,Paramètres!$A$1:$I$89,3,0)*VLOOKUP('Données projet'!$B$10,Paramètres!$A$1:$I$89,5,0)</f>
        <v>281.68920000000008</v>
      </c>
      <c r="AK121" s="14">
        <f t="shared" si="89"/>
        <v>67.323860341513637</v>
      </c>
      <c r="AL121" s="22">
        <f t="shared" si="58"/>
        <v>607.86441342813634</v>
      </c>
      <c r="AM121" s="62">
        <f t="shared" si="59"/>
        <v>901.19774676146972</v>
      </c>
      <c r="AN121" s="62">
        <f ca="1">AVERAGE(OFFSET($AM$3,0,0,'Données projet'!$E$10+1,1))-AVERAGE(OFFSET($H$3,0,0,'Données projet'!$E$10+1,1))</f>
        <v>305.55480846093275</v>
      </c>
      <c r="AO121" s="62">
        <f t="shared" si="90"/>
        <v>179.56041631665812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0.26366660520317903</v>
      </c>
      <c r="AW121" s="23">
        <f>EXP(-LN(2)/2)*AW120+(1-EXP(-LN(2)/2))/(LN(2)/2)*AQ121*AT121*VLOOKUP('Données projet'!$B$10,Paramètres!$A$1:$I$89,3,0)*0.475*44/12</f>
        <v>7.9944717775362032E-13</v>
      </c>
      <c r="AX121" s="23">
        <f t="shared" si="60"/>
        <v>0.2636666052039785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40.594438615105105</v>
      </c>
      <c r="BJ121" s="62">
        <f t="shared" si="92"/>
        <v>238.55583229663102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8.0014116521085352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6.0347594257900876E-14</v>
      </c>
      <c r="BS121" s="24">
        <f t="shared" si="63"/>
        <v>8.0014116521085956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41.074766157499596</v>
      </c>
      <c r="CE121" s="62">
        <f t="shared" si="94"/>
        <v>240.92787656206917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8.0750442746739495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6.0902940217329373E-14</v>
      </c>
      <c r="CN121" s="24">
        <f t="shared" si="66"/>
        <v>8.0750442746740099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-1.7053025658242404E-13</v>
      </c>
      <c r="O122" s="14">
        <f>N122*VLOOKUP('Données projet'!$B$9,Paramètres!$A$1:$I$89,3,0)*VLOOKUP('Données projet'!$B$9,Paramètres!$A$1:$I$89,5,0)</f>
        <v>-1.0197709343628959E-13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150.79185880109804</v>
      </c>
      <c r="T122" s="62">
        <f t="shared" si="88"/>
        <v>231.70571415193996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1.4211045586773765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9.463025837514497E-13</v>
      </c>
      <c r="AC122" s="24">
        <f t="shared" si="57"/>
        <v>1.4211045586783229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3.6</v>
      </c>
      <c r="AI122" s="14">
        <f>IF('Données projet'!$A$62&gt;35,AI121+AH122-AQ121,IF(A122&lt;'Données projet'!$A$62,$AF$205^A122,IF(A122='Données projet'!$A$62,'Données projet'!$B$62,AI121+AH122-AQ121)))</f>
        <v>281.40000000000009</v>
      </c>
      <c r="AJ122" s="14">
        <f>AI122*VLOOKUP('Données projet'!$B$10,Paramètres!$A$1:$I$89,3,0)*VLOOKUP('Données projet'!$B$10,Paramètres!$A$1:$I$89,5,0)</f>
        <v>285.33960000000008</v>
      </c>
      <c r="AK122" s="14">
        <f t="shared" si="89"/>
        <v>68.094176261531288</v>
      </c>
      <c r="AL122" s="22">
        <f t="shared" si="58"/>
        <v>615.56382698883374</v>
      </c>
      <c r="AM122" s="62">
        <f t="shared" si="59"/>
        <v>908.89716032216711</v>
      </c>
      <c r="AN122" s="62">
        <f ca="1">AVERAGE(OFFSET($AM$3,0,0,'Données projet'!$E$10+1,1))-AVERAGE(OFFSET($H$3,0,0,'Données projet'!$E$10+1,1))</f>
        <v>305.55480846093275</v>
      </c>
      <c r="AO122" s="62">
        <f t="shared" si="90"/>
        <v>179.56041631665812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0.25645662801827396</v>
      </c>
      <c r="AW122" s="23">
        <f>EXP(-LN(2)/2)*AW121+(1-EXP(-LN(2)/2))/(LN(2)/2)*AQ122*AT122*VLOOKUP('Données projet'!$B$10,Paramètres!$A$1:$I$89,3,0)*0.475*44/12</f>
        <v>5.6529452059003216E-13</v>
      </c>
      <c r="AX122" s="23">
        <f t="shared" si="60"/>
        <v>0.25645662801883923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40.594438615105105</v>
      </c>
      <c r="BJ122" s="62">
        <f t="shared" si="92"/>
        <v>238.55583229663102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7.8445088499898974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4.2672193128056068E-14</v>
      </c>
      <c r="BS122" s="24">
        <f t="shared" si="63"/>
        <v>7.84450884998994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41.074766157499596</v>
      </c>
      <c r="CE122" s="62">
        <f t="shared" si="94"/>
        <v>240.92787656206917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7.9166975817382692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4.3064882021872506E-14</v>
      </c>
      <c r="CN122" s="24">
        <f t="shared" si="66"/>
        <v>7.9166975817383118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-1.7053025658242404E-13</v>
      </c>
      <c r="O123" s="14">
        <f>N123*VLOOKUP('Données projet'!$B$9,Paramètres!$A$1:$I$89,3,0)*VLOOKUP('Données projet'!$B$9,Paramètres!$A$1:$I$89,5,0)</f>
        <v>-1.0197709343628959E-13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150.79185880109804</v>
      </c>
      <c r="T123" s="62">
        <f t="shared" si="88"/>
        <v>231.70571415193996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1.3932375650699058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6.6913697402500092E-13</v>
      </c>
      <c r="AC123" s="24">
        <f t="shared" si="57"/>
        <v>1.3932375650705751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285</v>
      </c>
      <c r="AG123" s="13">
        <f>VLOOKUP(A123,'Données projet'!$A$61:$I$81,9,0)</f>
        <v>3.6</v>
      </c>
      <c r="AH123" s="13">
        <f t="array" ref="AH123">INDEX(AG:AG,MIN(IF(ISNUMBER(AG123:AG319),ROW(AG123:AG319),"")))</f>
        <v>3.6</v>
      </c>
      <c r="AI123" s="14">
        <f>IF('Données projet'!$A$62&gt;35,AI122+AH123-AQ122,IF(A123&lt;'Données projet'!$A$62,$AF$205^A123,IF(A123='Données projet'!$A$62,'Données projet'!$B$62,AI122+AH123-AQ122)))</f>
        <v>285.00000000000011</v>
      </c>
      <c r="AJ123" s="14">
        <f>AI123*VLOOKUP('Données projet'!$B$10,Paramètres!$A$1:$I$89,3,0)*VLOOKUP('Données projet'!$B$10,Paramètres!$A$1:$I$89,5,0)</f>
        <v>288.99000000000012</v>
      </c>
      <c r="AK123" s="14">
        <f t="shared" si="89"/>
        <v>68.863345904836791</v>
      </c>
      <c r="AL123" s="22">
        <f t="shared" si="58"/>
        <v>623.26124411759099</v>
      </c>
      <c r="AM123" s="62">
        <f t="shared" si="59"/>
        <v>916.59457745092436</v>
      </c>
      <c r="AN123" s="62">
        <f ca="1">AVERAGE(OFFSET($AM$3,0,0,'Données projet'!$E$10+1,1))-AVERAGE(OFFSET($H$3,0,0,'Données projet'!$E$10+1,1))</f>
        <v>305.55480846093275</v>
      </c>
      <c r="AO123" s="62">
        <f t="shared" si="90"/>
        <v>179.56041631665812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285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0.24944380803864633</v>
      </c>
      <c r="AW123" s="23">
        <f>EXP(-LN(2)/2)*AW122+(1-EXP(-LN(2)/2))/(LN(2)/2)*AQ123*AT123*VLOOKUP('Données projet'!$B$10,Paramètres!$A$1:$I$89,3,0)*0.475*44/12</f>
        <v>3.9972358887681016E-13</v>
      </c>
      <c r="AX123" s="23">
        <f t="shared" si="60"/>
        <v>0.24944380803904606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40.594438615105105</v>
      </c>
      <c r="BJ123" s="62">
        <f t="shared" si="92"/>
        <v>238.55583229663102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7.690682816119546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3.0173797128950438E-14</v>
      </c>
      <c r="BS123" s="24">
        <f t="shared" si="63"/>
        <v>7.6906828161195762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41.074766157499596</v>
      </c>
      <c r="CE123" s="62">
        <f t="shared" si="94"/>
        <v>240.92787656206917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7.7614559708691111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3.0451470108664687E-14</v>
      </c>
      <c r="CN123" s="24">
        <f t="shared" si="66"/>
        <v>7.7614559708691413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-1.7053025658242404E-13</v>
      </c>
      <c r="O124" s="14">
        <f>N124*VLOOKUP('Données projet'!$B$9,Paramètres!$A$1:$I$89,3,0)*VLOOKUP('Données projet'!$B$9,Paramètres!$A$1:$I$89,5,0)</f>
        <v>-1.0197709343628959E-13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150.79185880109804</v>
      </c>
      <c r="T124" s="62">
        <f t="shared" si="88"/>
        <v>231.70571415193996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1.3659170262098899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4.7315129187572485E-13</v>
      </c>
      <c r="AC124" s="24">
        <f t="shared" si="57"/>
        <v>1.365917026210363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1.1527845344971866E-13</v>
      </c>
      <c r="AK124" s="14">
        <f t="shared" si="89"/>
        <v>1.7033846239409443E-12</v>
      </c>
      <c r="AL124" s="22">
        <f t="shared" si="58"/>
        <v>3.1675048597887374E-12</v>
      </c>
      <c r="AM124" s="62">
        <f t="shared" si="59"/>
        <v>293.3333333333365</v>
      </c>
      <c r="AN124" s="62">
        <f ca="1">AVERAGE(OFFSET($AM$3,0,0,'Données projet'!$E$10+1,1))-AVERAGE(OFFSET($H$3,0,0,'Données projet'!$E$10+1,1))</f>
        <v>305.55480846093275</v>
      </c>
      <c r="AO124" s="62">
        <f t="shared" si="90"/>
        <v>179.56041631665812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0.24262275399014979</v>
      </c>
      <c r="AW124" s="23">
        <f>EXP(-LN(2)/2)*AW123+(1-EXP(-LN(2)/2))/(LN(2)/2)*AQ124*AT124*VLOOKUP('Données projet'!$B$10,Paramètres!$A$1:$I$89,3,0)*0.475*44/12</f>
        <v>2.8264726029501608E-13</v>
      </c>
      <c r="AX124" s="23">
        <f t="shared" si="60"/>
        <v>0.24262275399043243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40.594438615105105</v>
      </c>
      <c r="BJ124" s="62">
        <f t="shared" si="92"/>
        <v>238.55583229663102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7.5398732169487763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2.1336096564028034E-14</v>
      </c>
      <c r="BS124" s="24">
        <f t="shared" si="63"/>
        <v>7.5398732169487976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41.074766157499596</v>
      </c>
      <c r="CE124" s="62">
        <f t="shared" si="94"/>
        <v>240.92787656206917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7.6092585533010642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2.1532441010936253E-14</v>
      </c>
      <c r="CN124" s="24">
        <f t="shared" si="66"/>
        <v>7.6092585533010855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-1.7053025658242404E-13</v>
      </c>
      <c r="O125" s="14">
        <f>N125*VLOOKUP('Données projet'!$B$9,Paramètres!$A$1:$I$89,3,0)*VLOOKUP('Données projet'!$B$9,Paramètres!$A$1:$I$89,5,0)</f>
        <v>-1.0197709343628959E-13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150.79185880109804</v>
      </c>
      <c r="T125" s="62">
        <f t="shared" si="88"/>
        <v>231.70571415193996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1.3391322264530354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3.3456848701250046E-13</v>
      </c>
      <c r="AC125" s="24">
        <f t="shared" si="57"/>
        <v>1.33913222645337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1.1527845344971866E-13</v>
      </c>
      <c r="AK125" s="14">
        <f t="shared" si="89"/>
        <v>1.7033846239409443E-12</v>
      </c>
      <c r="AL125" s="22">
        <f t="shared" si="58"/>
        <v>3.1675048597887374E-12</v>
      </c>
      <c r="AM125" s="62">
        <f t="shared" si="59"/>
        <v>293.3333333333365</v>
      </c>
      <c r="AN125" s="62">
        <f ca="1">AVERAGE(OFFSET($AM$3,0,0,'Données projet'!$E$10+1,1))-AVERAGE(OFFSET($H$3,0,0,'Données projet'!$E$10+1,1))</f>
        <v>305.55480846093275</v>
      </c>
      <c r="AO125" s="62">
        <f t="shared" si="90"/>
        <v>179.56041631665812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0.23598822202331304</v>
      </c>
      <c r="AW125" s="23">
        <f>EXP(-LN(2)/2)*AW124+(1-EXP(-LN(2)/2))/(LN(2)/2)*AQ125*AT125*VLOOKUP('Données projet'!$B$10,Paramètres!$A$1:$I$89,3,0)*0.475*44/12</f>
        <v>1.9986179443840508E-13</v>
      </c>
      <c r="AX125" s="23">
        <f t="shared" si="60"/>
        <v>0.23598822202351291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40.594438615105105</v>
      </c>
      <c r="BJ125" s="62">
        <f t="shared" si="92"/>
        <v>238.55583229663102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7.3920209020329724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1.5086898564475219E-14</v>
      </c>
      <c r="BS125" s="24">
        <f t="shared" si="63"/>
        <v>7.3920209020329875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41.074766157499596</v>
      </c>
      <c r="CE125" s="62">
        <f t="shared" si="94"/>
        <v>240.92787656206917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7.4600456342602683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1.5225735054332343E-14</v>
      </c>
      <c r="CN125" s="24">
        <f t="shared" si="66"/>
        <v>7.4600456342602834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-1.7053025658242404E-13</v>
      </c>
      <c r="O126" s="14">
        <f>N126*VLOOKUP('Données projet'!$B$9,Paramètres!$A$1:$I$89,3,0)*VLOOKUP('Données projet'!$B$9,Paramètres!$A$1:$I$89,5,0)</f>
        <v>-1.0197709343628959E-13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150.79185880109804</v>
      </c>
      <c r="T126" s="62">
        <f t="shared" si="88"/>
        <v>231.70571415193996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1.3128726602822982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2.3657564593786243E-13</v>
      </c>
      <c r="AC126" s="24">
        <f t="shared" si="57"/>
        <v>1.3128726602825347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1.1527845344971866E-13</v>
      </c>
      <c r="AK126" s="14">
        <f t="shared" si="89"/>
        <v>1.7033846239409443E-12</v>
      </c>
      <c r="AL126" s="22">
        <f t="shared" si="58"/>
        <v>3.1675048597887374E-12</v>
      </c>
      <c r="AM126" s="62">
        <f t="shared" si="59"/>
        <v>293.3333333333365</v>
      </c>
      <c r="AN126" s="62">
        <f ca="1">AVERAGE(OFFSET($AM$3,0,0,'Données projet'!$E$10+1,1))-AVERAGE(OFFSET($H$3,0,0,'Données projet'!$E$10+1,1))</f>
        <v>305.55480846093275</v>
      </c>
      <c r="AO126" s="62">
        <f t="shared" si="90"/>
        <v>179.56041631665812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0.2295351116820043</v>
      </c>
      <c r="AW126" s="23">
        <f>EXP(-LN(2)/2)*AW125+(1-EXP(-LN(2)/2))/(LN(2)/2)*AQ126*AT126*VLOOKUP('Données projet'!$B$10,Paramètres!$A$1:$I$89,3,0)*0.475*44/12</f>
        <v>1.4132363014750804E-13</v>
      </c>
      <c r="AX126" s="23">
        <f t="shared" si="60"/>
        <v>0.22953511168214563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40.594438615105105</v>
      </c>
      <c r="BJ126" s="62">
        <f t="shared" si="92"/>
        <v>238.55583229663102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7.2470678808316604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1.0668048282014017E-14</v>
      </c>
      <c r="BS126" s="24">
        <f t="shared" si="63"/>
        <v>7.2470678808316711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41.074766157499596</v>
      </c>
      <c r="CE126" s="62">
        <f t="shared" si="94"/>
        <v>240.92787656206917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7.3137586895509683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1.0766220505468127E-14</v>
      </c>
      <c r="CN126" s="24">
        <f t="shared" si="66"/>
        <v>7.313758689550979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-1.7053025658242404E-13</v>
      </c>
      <c r="O127" s="14">
        <f>N127*VLOOKUP('Données projet'!$B$9,Paramètres!$A$1:$I$89,3,0)*VLOOKUP('Données projet'!$B$9,Paramètres!$A$1:$I$89,5,0)</f>
        <v>-1.0197709343628959E-13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150.79185880109804</v>
      </c>
      <c r="T127" s="62">
        <f t="shared" si="88"/>
        <v>231.70571415193996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1.2871280281874153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1.6728424350625023E-13</v>
      </c>
      <c r="AC127" s="24">
        <f t="shared" si="57"/>
        <v>1.2871280281875825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1.1527845344971866E-13</v>
      </c>
      <c r="AK127" s="14">
        <f t="shared" si="89"/>
        <v>1.7033846239409443E-12</v>
      </c>
      <c r="AL127" s="22">
        <f t="shared" si="58"/>
        <v>3.1675048597887374E-12</v>
      </c>
      <c r="AM127" s="62">
        <f t="shared" si="59"/>
        <v>293.3333333333365</v>
      </c>
      <c r="AN127" s="62">
        <f ca="1">AVERAGE(OFFSET($AM$3,0,0,'Données projet'!$E$10+1,1))-AVERAGE(OFFSET($H$3,0,0,'Données projet'!$E$10+1,1))</f>
        <v>305.55480846093275</v>
      </c>
      <c r="AO127" s="62">
        <f t="shared" si="90"/>
        <v>179.56041631665812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0.22325846198233298</v>
      </c>
      <c r="AW127" s="23">
        <f>EXP(-LN(2)/2)*AW126+(1-EXP(-LN(2)/2))/(LN(2)/2)*AQ127*AT127*VLOOKUP('Données projet'!$B$10,Paramètres!$A$1:$I$89,3,0)*0.475*44/12</f>
        <v>9.993089721920254E-14</v>
      </c>
      <c r="AX127" s="23">
        <f t="shared" si="60"/>
        <v>0.2232584619824329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40.594438615105105</v>
      </c>
      <c r="BJ127" s="62">
        <f t="shared" si="92"/>
        <v>238.55583229663102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7.1049572999634929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7.5434492822376095E-15</v>
      </c>
      <c r="BS127" s="24">
        <f t="shared" si="63"/>
        <v>7.1049572999635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41.074766157499596</v>
      </c>
      <c r="CE127" s="62">
        <f t="shared" si="94"/>
        <v>240.92787656206917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7.1703403426011922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7.6128675271661717E-15</v>
      </c>
      <c r="CN127" s="24">
        <f t="shared" si="66"/>
        <v>7.1703403426012002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-1.7053025658242404E-13</v>
      </c>
      <c r="O128" s="14">
        <f>N128*VLOOKUP('Données projet'!$B$9,Paramètres!$A$1:$I$89,3,0)*VLOOKUP('Données projet'!$B$9,Paramètres!$A$1:$I$89,5,0)</f>
        <v>-1.0197709343628959E-13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150.79185880109804</v>
      </c>
      <c r="T128" s="62">
        <f t="shared" si="88"/>
        <v>231.70571415193996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1.2618882326252381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1.1828782296893121E-13</v>
      </c>
      <c r="AC128" s="24">
        <f t="shared" si="57"/>
        <v>1.2618882326253564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1.1527845344971866E-13</v>
      </c>
      <c r="AK128" s="14">
        <f t="shared" si="89"/>
        <v>1.7033846239409443E-12</v>
      </c>
      <c r="AL128" s="22">
        <f t="shared" si="58"/>
        <v>3.1675048597887374E-12</v>
      </c>
      <c r="AM128" s="62">
        <f t="shared" si="59"/>
        <v>293.3333333333365</v>
      </c>
      <c r="AN128" s="62">
        <f ca="1">AVERAGE(OFFSET($AM$3,0,0,'Données projet'!$E$10+1,1))-AVERAGE(OFFSET($H$3,0,0,'Données projet'!$E$10+1,1))</f>
        <v>305.55480846093275</v>
      </c>
      <c r="AO128" s="62">
        <f t="shared" si="90"/>
        <v>179.56041631665812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0.21715344759877384</v>
      </c>
      <c r="AW128" s="23">
        <f>EXP(-LN(2)/2)*AW127+(1-EXP(-LN(2)/2))/(LN(2)/2)*AQ128*AT128*VLOOKUP('Données projet'!$B$10,Paramètres!$A$1:$I$89,3,0)*0.475*44/12</f>
        <v>7.066181507375402E-14</v>
      </c>
      <c r="AX128" s="23">
        <f t="shared" si="60"/>
        <v>0.2171534475988445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40.594438615105105</v>
      </c>
      <c r="BJ128" s="62">
        <f t="shared" si="92"/>
        <v>238.55583229663102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6.9656334209072543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5.3340241410070084E-15</v>
      </c>
      <c r="BS128" s="24">
        <f t="shared" si="63"/>
        <v>6.9656334209072597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41.074766157499596</v>
      </c>
      <c r="CE128" s="62">
        <f t="shared" si="94"/>
        <v>240.92787656206917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7.0297343419585472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5.3831102527340633E-15</v>
      </c>
      <c r="CN128" s="24">
        <f t="shared" si="66"/>
        <v>7.0297343419585525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-1.7053025658242404E-13</v>
      </c>
      <c r="O129" s="14">
        <f>N129*VLOOKUP('Données projet'!$B$9,Paramètres!$A$1:$I$89,3,0)*VLOOKUP('Données projet'!$B$9,Paramètres!$A$1:$I$89,5,0)</f>
        <v>-1.0197709343628959E-13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150.79185880109804</v>
      </c>
      <c r="T129" s="62">
        <f t="shared" si="88"/>
        <v>231.70571415193996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1.2371433740592799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8.3642121753125116E-14</v>
      </c>
      <c r="AC129" s="24">
        <f t="shared" si="57"/>
        <v>1.2371433740593636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1.1527845344971866E-13</v>
      </c>
      <c r="AK129" s="14">
        <f t="shared" si="89"/>
        <v>1.7033846239409443E-12</v>
      </c>
      <c r="AL129" s="22">
        <f t="shared" si="58"/>
        <v>3.1675048597887374E-12</v>
      </c>
      <c r="AM129" s="62">
        <f t="shared" si="59"/>
        <v>293.3333333333365</v>
      </c>
      <c r="AN129" s="62">
        <f ca="1">AVERAGE(OFFSET($AM$3,0,0,'Données projet'!$E$10+1,1))-AVERAGE(OFFSET($H$3,0,0,'Données projet'!$E$10+1,1))</f>
        <v>305.55480846093275</v>
      </c>
      <c r="AO129" s="62">
        <f t="shared" si="90"/>
        <v>179.56041631665812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0.21121537515458186</v>
      </c>
      <c r="AW129" s="23">
        <f>EXP(-LN(2)/2)*AW128+(1-EXP(-LN(2)/2))/(LN(2)/2)*AQ129*AT129*VLOOKUP('Données projet'!$B$10,Paramètres!$A$1:$I$89,3,0)*0.475*44/12</f>
        <v>4.996544860960127E-14</v>
      </c>
      <c r="AX129" s="23">
        <f t="shared" si="60"/>
        <v>0.21121537515463182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40.594438615105105</v>
      </c>
      <c r="BJ129" s="62">
        <f t="shared" si="92"/>
        <v>238.55583229663102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6.829041598140134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3.7717246411188048E-15</v>
      </c>
      <c r="BS129" s="24">
        <f t="shared" si="63"/>
        <v>6.8290415981401376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41.074766157499596</v>
      </c>
      <c r="CE129" s="62">
        <f t="shared" si="94"/>
        <v>240.92787656206917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6.891885539227312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3.8064337635830858E-15</v>
      </c>
      <c r="CN129" s="24">
        <f t="shared" si="66"/>
        <v>6.8918855392273155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-1.7053025658242404E-13</v>
      </c>
      <c r="O130" s="14">
        <f>N130*VLOOKUP('Données projet'!$B$9,Paramètres!$A$1:$I$89,3,0)*VLOOKUP('Données projet'!$B$9,Paramètres!$A$1:$I$89,5,0)</f>
        <v>-1.0197709343628959E-13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150.79185880109804</v>
      </c>
      <c r="T130" s="62">
        <f t="shared" si="88"/>
        <v>231.70571415193996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1.2128837470769267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5.9143911484465606E-14</v>
      </c>
      <c r="AC130" s="24">
        <f t="shared" si="57"/>
        <v>1.2128837470769858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1.1527845344971866E-13</v>
      </c>
      <c r="AK130" s="14">
        <f t="shared" si="89"/>
        <v>1.7033846239409443E-12</v>
      </c>
      <c r="AL130" s="22">
        <f t="shared" si="58"/>
        <v>3.1675048597887374E-12</v>
      </c>
      <c r="AM130" s="62">
        <f t="shared" si="59"/>
        <v>293.3333333333365</v>
      </c>
      <c r="AN130" s="62">
        <f ca="1">AVERAGE(OFFSET($AM$3,0,0,'Données projet'!$E$10+1,1))-AVERAGE(OFFSET($H$3,0,0,'Données projet'!$E$10+1,1))</f>
        <v>305.55480846093275</v>
      </c>
      <c r="AO130" s="62">
        <f t="shared" si="90"/>
        <v>179.56041631665812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0.20543967961364598</v>
      </c>
      <c r="AW130" s="23">
        <f>EXP(-LN(2)/2)*AW129+(1-EXP(-LN(2)/2))/(LN(2)/2)*AQ130*AT130*VLOOKUP('Données projet'!$B$10,Paramètres!$A$1:$I$89,3,0)*0.475*44/12</f>
        <v>3.533090753687701E-14</v>
      </c>
      <c r="AX130" s="23">
        <f t="shared" si="60"/>
        <v>0.20543967961368131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40.594438615105105</v>
      </c>
      <c r="BJ130" s="62">
        <f t="shared" si="92"/>
        <v>238.55583229663102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6.6951282577046909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2.6670120705035042E-15</v>
      </c>
      <c r="BS130" s="24">
        <f t="shared" si="63"/>
        <v>6.6951282577046936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41.074766157499596</v>
      </c>
      <c r="CE130" s="62">
        <f t="shared" si="94"/>
        <v>240.92787656206917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6.7567398674381689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2.6915551263670316E-15</v>
      </c>
      <c r="CN130" s="24">
        <f t="shared" si="66"/>
        <v>6.7567398674381716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-1.7053025658242404E-13</v>
      </c>
      <c r="O131" s="14">
        <f>N131*VLOOKUP('Données projet'!$B$9,Paramètres!$A$1:$I$89,3,0)*VLOOKUP('Données projet'!$B$9,Paramètres!$A$1:$I$89,5,0)</f>
        <v>-1.0197709343628959E-13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150.79185880109804</v>
      </c>
      <c r="T131" s="62">
        <f t="shared" si="88"/>
        <v>231.70571415193996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1.1890998365827861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4.1821060876562558E-14</v>
      </c>
      <c r="AC131" s="24">
        <f t="shared" si="57"/>
        <v>1.1890998365828278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1.1527845344971866E-13</v>
      </c>
      <c r="AK131" s="14">
        <f t="shared" si="89"/>
        <v>1.7033846239409443E-12</v>
      </c>
      <c r="AL131" s="22">
        <f t="shared" si="58"/>
        <v>3.1675048597887374E-12</v>
      </c>
      <c r="AM131" s="62">
        <f t="shared" si="59"/>
        <v>293.3333333333365</v>
      </c>
      <c r="AN131" s="62">
        <f ca="1">AVERAGE(OFFSET($AM$3,0,0,'Données projet'!$E$10+1,1))-AVERAGE(OFFSET($H$3,0,0,'Données projet'!$E$10+1,1))</f>
        <v>305.55480846093275</v>
      </c>
      <c r="AO131" s="62">
        <f t="shared" si="90"/>
        <v>179.56041631665812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0.19982192077100763</v>
      </c>
      <c r="AW131" s="23">
        <f>EXP(-LN(2)/2)*AW130+(1-EXP(-LN(2)/2))/(LN(2)/2)*AQ131*AT131*VLOOKUP('Données projet'!$B$10,Paramètres!$A$1:$I$89,3,0)*0.475*44/12</f>
        <v>2.4982724304800635E-14</v>
      </c>
      <c r="AX131" s="23">
        <f t="shared" si="60"/>
        <v>0.19982192077103261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40.594438615105105</v>
      </c>
      <c r="BJ131" s="62">
        <f t="shared" si="92"/>
        <v>238.55583229663102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6.5638408761961147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1.8858623205594024E-15</v>
      </c>
      <c r="BS131" s="24">
        <f t="shared" si="63"/>
        <v>6.5638408761961164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41.074766157499596</v>
      </c>
      <c r="CE131" s="62">
        <f t="shared" si="94"/>
        <v>240.92787656206917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6.6242443198420906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1.9032168817915429E-15</v>
      </c>
      <c r="CN131" s="24">
        <f t="shared" si="66"/>
        <v>6.6242443198420924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-1.7053025658242404E-13</v>
      </c>
      <c r="O132" s="14">
        <f>N132*VLOOKUP('Données projet'!$B$9,Paramètres!$A$1:$I$89,3,0)*VLOOKUP('Données projet'!$B$9,Paramètres!$A$1:$I$89,5,0)</f>
        <v>-1.0197709343628959E-13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150.79185880109804</v>
      </c>
      <c r="T132" s="62">
        <f t="shared" si="88"/>
        <v>231.70571415193996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1.1657823140666825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2.9571955742232803E-14</v>
      </c>
      <c r="AC132" s="24">
        <f t="shared" ref="AC132:AC153" si="111">SUM(Z132:AB132)</f>
        <v>1.1657823140667121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1.1527845344971866E-13</v>
      </c>
      <c r="AK132" s="14">
        <f t="shared" si="89"/>
        <v>1.7033846239409443E-12</v>
      </c>
      <c r="AL132" s="22">
        <f t="shared" ref="AL132:AL153" si="112">(AJ132+AK132)*0.475*44/12</f>
        <v>3.1675048597887374E-12</v>
      </c>
      <c r="AM132" s="62">
        <f t="shared" ref="AM132:AM195" si="113">AL132+(AD132+AE132)*44/12</f>
        <v>293.3333333333365</v>
      </c>
      <c r="AN132" s="62">
        <f ca="1">AVERAGE(OFFSET($AM$3,0,0,'Données projet'!$E$10+1,1))-AVERAGE(OFFSET($H$3,0,0,'Données projet'!$E$10+1,1))</f>
        <v>305.55480846093275</v>
      </c>
      <c r="AO132" s="62">
        <f t="shared" si="90"/>
        <v>179.56041631665812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0.19435777983934632</v>
      </c>
      <c r="AW132" s="23">
        <f>EXP(-LN(2)/2)*AW131+(1-EXP(-LN(2)/2))/(LN(2)/2)*AQ132*AT132*VLOOKUP('Données projet'!$B$10,Paramètres!$A$1:$I$89,3,0)*0.475*44/12</f>
        <v>1.7665453768438505E-14</v>
      </c>
      <c r="AX132" s="23">
        <f t="shared" ref="AX132:AX153" si="114">SUM(AU132:AW132)</f>
        <v>0.19435777983936398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40.594438615105105</v>
      </c>
      <c r="BJ132" s="62">
        <f t="shared" si="92"/>
        <v>238.55583229663102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6.4351279601615259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1.3335060352517521E-15</v>
      </c>
      <c r="BS132" s="24">
        <f t="shared" ref="BS132:BS153" si="117">SUM(BP132:BR132)</f>
        <v>6.4351279601615277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41.074766157499596</v>
      </c>
      <c r="CE132" s="62">
        <f t="shared" si="94"/>
        <v>240.92787656206917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6.4943469291200673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1.3457775631835158E-15</v>
      </c>
      <c r="CN132" s="24">
        <f t="shared" ref="CN132:CN153" si="120">SUM(CK132:CM132)</f>
        <v>6.4943469291200691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-1.7053025658242404E-13</v>
      </c>
      <c r="O133" s="14">
        <f>N133*VLOOKUP('Données projet'!$B$9,Paramètres!$A$1:$I$89,3,0)*VLOOKUP('Données projet'!$B$9,Paramètres!$A$1:$I$89,5,0)</f>
        <v>-1.0197709343628959E-13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150.79185880109804</v>
      </c>
      <c r="T133" s="62">
        <f t="shared" ref="T133:T196" si="142">$T$3</f>
        <v>231.70571415193996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1.1429220339448354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2.0910530438281279E-14</v>
      </c>
      <c r="AC133" s="24">
        <f t="shared" si="111"/>
        <v>1.1429220339448563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1.1527845344971866E-13</v>
      </c>
      <c r="AK133" s="14">
        <f t="shared" ref="AK133:AK153" si="143">EXP(-1.0587+0.8836*LN(AJ133)+0.284)</f>
        <v>1.7033846239409443E-12</v>
      </c>
      <c r="AL133" s="22">
        <f t="shared" si="112"/>
        <v>3.1675048597887374E-12</v>
      </c>
      <c r="AM133" s="62">
        <f t="shared" si="113"/>
        <v>293.3333333333365</v>
      </c>
      <c r="AN133" s="62">
        <f ca="1">AVERAGE(OFFSET($AM$3,0,0,'Données projet'!$E$10+1,1))-AVERAGE(OFFSET($H$3,0,0,'Données projet'!$E$10+1,1))</f>
        <v>305.55480846093275</v>
      </c>
      <c r="AO133" s="62">
        <f t="shared" ref="AO133:AO196" si="144">$AO$3</f>
        <v>179.56041631665812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0.18904305612880798</v>
      </c>
      <c r="AW133" s="23">
        <f>EXP(-LN(2)/2)*AW132+(1-EXP(-LN(2)/2))/(LN(2)/2)*AQ133*AT133*VLOOKUP('Données projet'!$B$10,Paramètres!$A$1:$I$89,3,0)*0.475*44/12</f>
        <v>1.2491362152400317E-14</v>
      </c>
      <c r="AX133" s="23">
        <f t="shared" si="114"/>
        <v>0.18904305612882047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40.594438615105105</v>
      </c>
      <c r="BJ133" s="62">
        <f t="shared" ref="BJ133:BJ196" si="146">$BJ$3</f>
        <v>238.55583229663102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6.3089390259032481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9.4293116027970119E-16</v>
      </c>
      <c r="BS133" s="24">
        <f t="shared" si="117"/>
        <v>6.308939025903249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41.074766157499596</v>
      </c>
      <c r="CE133" s="62">
        <f t="shared" ref="CE133:CE196" si="148">$CE$3</f>
        <v>240.92787656206917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6.3669967470005178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9.5160844089577146E-16</v>
      </c>
      <c r="CN133" s="24">
        <f t="shared" si="120"/>
        <v>6.3669967470005187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-1.7053025658242404E-13</v>
      </c>
      <c r="O134" s="14">
        <f>N134*VLOOKUP('Données projet'!$B$9,Paramètres!$A$1:$I$89,3,0)*VLOOKUP('Données projet'!$B$9,Paramètres!$A$1:$I$89,5,0)</f>
        <v>-1.0197709343628959E-13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150.79185880109804</v>
      </c>
      <c r="T134" s="62">
        <f t="shared" si="142"/>
        <v>231.70571415193996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1.1205100299727837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1.4785977871116402E-14</v>
      </c>
      <c r="AC134" s="24">
        <f t="shared" si="111"/>
        <v>1.1205100299727986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1.1527845344971866E-13</v>
      </c>
      <c r="AK134" s="14">
        <f t="shared" si="143"/>
        <v>1.7033846239409443E-12</v>
      </c>
      <c r="AL134" s="22">
        <f t="shared" si="112"/>
        <v>3.1675048597887374E-12</v>
      </c>
      <c r="AM134" s="62">
        <f t="shared" si="113"/>
        <v>293.3333333333365</v>
      </c>
      <c r="AN134" s="62">
        <f ca="1">AVERAGE(OFFSET($AM$3,0,0,'Données projet'!$E$10+1,1))-AVERAGE(OFFSET($H$3,0,0,'Données projet'!$E$10+1,1))</f>
        <v>305.55480846093275</v>
      </c>
      <c r="AO134" s="62">
        <f t="shared" si="144"/>
        <v>179.56041631665812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0.18387366381762346</v>
      </c>
      <c r="AW134" s="23">
        <f>EXP(-LN(2)/2)*AW133+(1-EXP(-LN(2)/2))/(LN(2)/2)*AQ134*AT134*VLOOKUP('Données projet'!$B$10,Paramètres!$A$1:$I$89,3,0)*0.475*44/12</f>
        <v>8.8327268842192526E-15</v>
      </c>
      <c r="AX134" s="23">
        <f t="shared" si="114"/>
        <v>0.18387366381763229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40.594438615105105</v>
      </c>
      <c r="BJ134" s="62">
        <f t="shared" si="146"/>
        <v>238.55583229663102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6.1852245796781258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6.6675301762587606E-16</v>
      </c>
      <c r="BS134" s="24">
        <f t="shared" si="117"/>
        <v>6.1852245796781267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41.074766157499596</v>
      </c>
      <c r="CE134" s="62">
        <f t="shared" si="148"/>
        <v>240.92787656206917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6.2421438242763907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6.7288878159175791E-16</v>
      </c>
      <c r="CN134" s="24">
        <f t="shared" si="120"/>
        <v>6.2421438242763916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-1.7053025658242404E-13</v>
      </c>
      <c r="O135" s="14">
        <f>N135*VLOOKUP('Données projet'!$B$9,Paramètres!$A$1:$I$89,3,0)*VLOOKUP('Données projet'!$B$9,Paramètres!$A$1:$I$89,5,0)</f>
        <v>-1.0197709343628959E-13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150.79185880109804</v>
      </c>
      <c r="T135" s="62">
        <f t="shared" si="142"/>
        <v>231.70571415193996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1.0985375117286513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1.0455265219140639E-14</v>
      </c>
      <c r="AC135" s="24">
        <f t="shared" si="111"/>
        <v>1.0985375117286618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1.1527845344971866E-13</v>
      </c>
      <c r="AK135" s="14">
        <f t="shared" si="143"/>
        <v>1.7033846239409443E-12</v>
      </c>
      <c r="AL135" s="22">
        <f t="shared" si="112"/>
        <v>3.1675048597887374E-12</v>
      </c>
      <c r="AM135" s="62">
        <f t="shared" si="113"/>
        <v>293.3333333333365</v>
      </c>
      <c r="AN135" s="62">
        <f ca="1">AVERAGE(OFFSET($AM$3,0,0,'Données projet'!$E$10+1,1))-AVERAGE(OFFSET($H$3,0,0,'Données projet'!$E$10+1,1))</f>
        <v>305.55480846093275</v>
      </c>
      <c r="AO135" s="62">
        <f t="shared" si="144"/>
        <v>179.56041631665812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0.17884562881103483</v>
      </c>
      <c r="AW135" s="23">
        <f>EXP(-LN(2)/2)*AW134+(1-EXP(-LN(2)/2))/(LN(2)/2)*AQ135*AT135*VLOOKUP('Données projet'!$B$10,Paramètres!$A$1:$I$89,3,0)*0.475*44/12</f>
        <v>6.2456810762001587E-15</v>
      </c>
      <c r="AX135" s="23">
        <f t="shared" si="114"/>
        <v>0.17884562881104107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40.594438615105105</v>
      </c>
      <c r="BJ135" s="62">
        <f t="shared" si="146"/>
        <v>238.55583229663102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6.0639360982851169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4.714655801398506E-16</v>
      </c>
      <c r="BS135" s="24">
        <f t="shared" si="117"/>
        <v>6.0639360982851178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41.074766157499596</v>
      </c>
      <c r="CE135" s="62">
        <f t="shared" si="148"/>
        <v>240.92787656206917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6.119739191214121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4.7580422044788573E-16</v>
      </c>
      <c r="CN135" s="24">
        <f t="shared" si="120"/>
        <v>6.1197391912141219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-1.7053025658242404E-13</v>
      </c>
      <c r="O136" s="14">
        <f>N136*VLOOKUP('Données projet'!$B$9,Paramètres!$A$1:$I$89,3,0)*VLOOKUP('Données projet'!$B$9,Paramètres!$A$1:$I$89,5,0)</f>
        <v>-1.0197709343628959E-13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150.79185880109804</v>
      </c>
      <c r="T136" s="62">
        <f t="shared" si="142"/>
        <v>231.70571415193996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1.0769958611653736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7.3929889355582008E-15</v>
      </c>
      <c r="AC136" s="24">
        <f t="shared" si="111"/>
        <v>1.0769958611653809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1.1527845344971866E-13</v>
      </c>
      <c r="AK136" s="14">
        <f t="shared" si="143"/>
        <v>1.7033846239409443E-12</v>
      </c>
      <c r="AL136" s="22">
        <f t="shared" si="112"/>
        <v>3.1675048597887374E-12</v>
      </c>
      <c r="AM136" s="62">
        <f t="shared" si="113"/>
        <v>293.3333333333365</v>
      </c>
      <c r="AN136" s="62">
        <f ca="1">AVERAGE(OFFSET($AM$3,0,0,'Données projet'!$E$10+1,1))-AVERAGE(OFFSET($H$3,0,0,'Données projet'!$E$10+1,1))</f>
        <v>305.55480846093275</v>
      </c>
      <c r="AO136" s="62">
        <f t="shared" si="144"/>
        <v>179.56041631665812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0.17395508568611423</v>
      </c>
      <c r="AW136" s="23">
        <f>EXP(-LN(2)/2)*AW135+(1-EXP(-LN(2)/2))/(LN(2)/2)*AQ136*AT136*VLOOKUP('Données projet'!$B$10,Paramètres!$A$1:$I$89,3,0)*0.475*44/12</f>
        <v>4.4163634421096263E-15</v>
      </c>
      <c r="AX136" s="23">
        <f t="shared" si="114"/>
        <v>0.17395508568611864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40.594438615105105</v>
      </c>
      <c r="BJ136" s="62">
        <f t="shared" si="146"/>
        <v>238.55583229663102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5.9450260100335557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3.3337650881293803E-16</v>
      </c>
      <c r="BS136" s="24">
        <f t="shared" si="117"/>
        <v>5.9450260100335557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41.074766157499596</v>
      </c>
      <c r="CE136" s="62">
        <f t="shared" si="148"/>
        <v>240.92787656206917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5.9997348383467477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3.3644439079587896E-16</v>
      </c>
      <c r="CN136" s="24">
        <f t="shared" si="120"/>
        <v>5.9997348383467477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-1.7053025658242404E-13</v>
      </c>
      <c r="O137" s="14">
        <f>N137*VLOOKUP('Données projet'!$B$9,Paramètres!$A$1:$I$89,3,0)*VLOOKUP('Données projet'!$B$9,Paramètres!$A$1:$I$89,5,0)</f>
        <v>-1.0197709343628959E-13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150.79185880109804</v>
      </c>
      <c r="T137" s="62">
        <f t="shared" si="142"/>
        <v>231.70571415193996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1.0558766292305322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5.2276326095703197E-15</v>
      </c>
      <c r="AC137" s="24">
        <f t="shared" si="111"/>
        <v>1.0558766292305375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1.1527845344971866E-13</v>
      </c>
      <c r="AK137" s="14">
        <f t="shared" si="143"/>
        <v>1.7033846239409443E-12</v>
      </c>
      <c r="AL137" s="22">
        <f t="shared" si="112"/>
        <v>3.1675048597887374E-12</v>
      </c>
      <c r="AM137" s="62">
        <f t="shared" si="113"/>
        <v>293.3333333333365</v>
      </c>
      <c r="AN137" s="62">
        <f ca="1">AVERAGE(OFFSET($AM$3,0,0,'Données projet'!$E$10+1,1))-AVERAGE(OFFSET($H$3,0,0,'Données projet'!$E$10+1,1))</f>
        <v>305.55480846093275</v>
      </c>
      <c r="AO137" s="62">
        <f t="shared" si="144"/>
        <v>179.56041631665812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0.16919827472012705</v>
      </c>
      <c r="AW137" s="23">
        <f>EXP(-LN(2)/2)*AW136+(1-EXP(-LN(2)/2))/(LN(2)/2)*AQ137*AT137*VLOOKUP('Données projet'!$B$10,Paramètres!$A$1:$I$89,3,0)*0.475*44/12</f>
        <v>3.1228405381000794E-15</v>
      </c>
      <c r="AX137" s="23">
        <f t="shared" si="114"/>
        <v>0.16919827472013019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40.594438615105105</v>
      </c>
      <c r="BJ137" s="62">
        <f t="shared" si="146"/>
        <v>238.55583229663102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5.8284476760846156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2.357327900699253E-16</v>
      </c>
      <c r="BS137" s="24">
        <f t="shared" si="117"/>
        <v>5.8284476760846156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41.074766157499596</v>
      </c>
      <c r="CE137" s="62">
        <f t="shared" si="148"/>
        <v>240.92787656206917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5.8820836976436759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2.3790211022394286E-16</v>
      </c>
      <c r="CN137" s="24">
        <f t="shared" si="120"/>
        <v>5.8820836976436759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-1.7053025658242404E-13</v>
      </c>
      <c r="O138" s="14">
        <f>N138*VLOOKUP('Données projet'!$B$9,Paramètres!$A$1:$I$89,3,0)*VLOOKUP('Données projet'!$B$9,Paramètres!$A$1:$I$89,5,0)</f>
        <v>-1.0197709343628959E-13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150.79185880109804</v>
      </c>
      <c r="T138" s="62">
        <f t="shared" si="142"/>
        <v>231.70571415193996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1.0351715325524735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3.6964944677791004E-15</v>
      </c>
      <c r="AC138" s="24">
        <f t="shared" si="111"/>
        <v>1.0351715325524773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1.1527845344971866E-13</v>
      </c>
      <c r="AK138" s="14">
        <f t="shared" si="143"/>
        <v>1.7033846239409443E-12</v>
      </c>
      <c r="AL138" s="22">
        <f t="shared" si="112"/>
        <v>3.1675048597887374E-12</v>
      </c>
      <c r="AM138" s="62">
        <f t="shared" si="113"/>
        <v>293.3333333333365</v>
      </c>
      <c r="AN138" s="62">
        <f ca="1">AVERAGE(OFFSET($AM$3,0,0,'Données projet'!$E$10+1,1))-AVERAGE(OFFSET($H$3,0,0,'Données projet'!$E$10+1,1))</f>
        <v>305.55480846093275</v>
      </c>
      <c r="AO138" s="62">
        <f t="shared" si="144"/>
        <v>179.56041631665812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0.16457153900015462</v>
      </c>
      <c r="AW138" s="23">
        <f>EXP(-LN(2)/2)*AW137+(1-EXP(-LN(2)/2))/(LN(2)/2)*AQ138*AT138*VLOOKUP('Données projet'!$B$10,Paramètres!$A$1:$I$89,3,0)*0.475*44/12</f>
        <v>2.2081817210548131E-15</v>
      </c>
      <c r="AX138" s="23">
        <f t="shared" si="114"/>
        <v>0.16457153900015684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40.594438615105105</v>
      </c>
      <c r="BJ138" s="62">
        <f t="shared" si="146"/>
        <v>238.55583229663102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5.7141553721586513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1.6668825440646901E-16</v>
      </c>
      <c r="BS138" s="24">
        <f t="shared" si="117"/>
        <v>5.7141553721586513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41.074766157499596</v>
      </c>
      <c r="CE138" s="62">
        <f t="shared" si="148"/>
        <v>240.92787656206917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5.7667396240496815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1.6822219539793948E-16</v>
      </c>
      <c r="CN138" s="24">
        <f t="shared" si="120"/>
        <v>5.7667396240496815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-1.7053025658242404E-13</v>
      </c>
      <c r="O139" s="14">
        <f>N139*VLOOKUP('Données projet'!$B$9,Paramètres!$A$1:$I$89,3,0)*VLOOKUP('Données projet'!$B$9,Paramètres!$A$1:$I$89,5,0)</f>
        <v>-1.0197709343628959E-13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150.79185880109804</v>
      </c>
      <c r="T139" s="62">
        <f t="shared" si="142"/>
        <v>231.70571415193996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1.0148724501914095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2.6138163047851599E-15</v>
      </c>
      <c r="AC139" s="24">
        <f t="shared" si="111"/>
        <v>1.0148724501914121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1.1527845344971866E-13</v>
      </c>
      <c r="AK139" s="14">
        <f t="shared" si="143"/>
        <v>1.7033846239409443E-12</v>
      </c>
      <c r="AL139" s="22">
        <f t="shared" si="112"/>
        <v>3.1675048597887374E-12</v>
      </c>
      <c r="AM139" s="62">
        <f t="shared" si="113"/>
        <v>293.3333333333365</v>
      </c>
      <c r="AN139" s="62">
        <f ca="1">AVERAGE(OFFSET($AM$3,0,0,'Données projet'!$E$10+1,1))-AVERAGE(OFFSET($H$3,0,0,'Données projet'!$E$10+1,1))</f>
        <v>305.55480846093275</v>
      </c>
      <c r="AO139" s="62">
        <f t="shared" si="144"/>
        <v>179.56041631665812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0.16007132161175427</v>
      </c>
      <c r="AW139" s="23">
        <f>EXP(-LN(2)/2)*AW138+(1-EXP(-LN(2)/2))/(LN(2)/2)*AQ139*AT139*VLOOKUP('Données projet'!$B$10,Paramètres!$A$1:$I$89,3,0)*0.475*44/12</f>
        <v>1.5614202690500397E-15</v>
      </c>
      <c r="AX139" s="23">
        <f t="shared" si="114"/>
        <v>0.16007132161175583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40.594438615105105</v>
      </c>
      <c r="BJ139" s="62">
        <f t="shared" si="146"/>
        <v>238.55583229663102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5.6021042706012532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1.1786639503496265E-16</v>
      </c>
      <c r="BS139" s="24">
        <f t="shared" si="117"/>
        <v>5.6021042706012532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41.074766157499596</v>
      </c>
      <c r="CE139" s="62">
        <f t="shared" si="148"/>
        <v>240.92787656206917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5.6536573773859269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1.1895105511197143E-16</v>
      </c>
      <c r="CN139" s="24">
        <f t="shared" si="120"/>
        <v>5.6536573773859269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-1.7053025658242404E-13</v>
      </c>
      <c r="O140" s="14">
        <f>N140*VLOOKUP('Données projet'!$B$9,Paramètres!$A$1:$I$89,3,0)*VLOOKUP('Données projet'!$B$9,Paramètres!$A$1:$I$89,5,0)</f>
        <v>-1.0197709343628959E-13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150.79185880109804</v>
      </c>
      <c r="T140" s="62">
        <f t="shared" si="142"/>
        <v>231.70571415193996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0.99497142045422826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1.8482472338895502E-15</v>
      </c>
      <c r="AC140" s="24">
        <f t="shared" si="111"/>
        <v>0.99497142045423015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1.1527845344971866E-13</v>
      </c>
      <c r="AK140" s="14">
        <f t="shared" si="143"/>
        <v>1.7033846239409443E-12</v>
      </c>
      <c r="AL140" s="22">
        <f t="shared" si="112"/>
        <v>3.1675048597887374E-12</v>
      </c>
      <c r="AM140" s="62">
        <f t="shared" si="113"/>
        <v>293.3333333333365</v>
      </c>
      <c r="AN140" s="62">
        <f ca="1">AVERAGE(OFFSET($AM$3,0,0,'Données projet'!$E$10+1,1))-AVERAGE(OFFSET($H$3,0,0,'Données projet'!$E$10+1,1))</f>
        <v>305.55480846093275</v>
      </c>
      <c r="AO140" s="62">
        <f t="shared" si="144"/>
        <v>179.56041631665812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0.15569416290449589</v>
      </c>
      <c r="AW140" s="23">
        <f>EXP(-LN(2)/2)*AW139+(1-EXP(-LN(2)/2))/(LN(2)/2)*AQ140*AT140*VLOOKUP('Données projet'!$B$10,Paramètres!$A$1:$I$89,3,0)*0.475*44/12</f>
        <v>1.1040908605274066E-15</v>
      </c>
      <c r="AX140" s="23">
        <f t="shared" si="114"/>
        <v>0.155694162904497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40.594438615105105</v>
      </c>
      <c r="BJ140" s="62">
        <f t="shared" si="146"/>
        <v>238.55583229663102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5.4922504228009723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8.3344127203234507E-17</v>
      </c>
      <c r="BS140" s="24">
        <f t="shared" si="117"/>
        <v>5.4922504228009723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41.074766157499596</v>
      </c>
      <c r="CE140" s="62">
        <f t="shared" si="148"/>
        <v>240.92787656206917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5.5427926046058884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8.4111097698969739E-17</v>
      </c>
      <c r="CN140" s="24">
        <f t="shared" si="120"/>
        <v>5.5427926046058884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-1.7053025658242404E-13</v>
      </c>
      <c r="O141" s="14">
        <f>N141*VLOOKUP('Données projet'!$B$9,Paramètres!$A$1:$I$89,3,0)*VLOOKUP('Données projet'!$B$9,Paramètres!$A$1:$I$89,5,0)</f>
        <v>-1.0197709343628959E-13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150.79185880109804</v>
      </c>
      <c r="T141" s="62">
        <f t="shared" si="142"/>
        <v>231.70571415193996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0.97546063777176362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1.3069081523925799E-15</v>
      </c>
      <c r="AC141" s="24">
        <f t="shared" si="111"/>
        <v>0.97546063777176495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1.1527845344971866E-13</v>
      </c>
      <c r="AK141" s="14">
        <f t="shared" si="143"/>
        <v>1.7033846239409443E-12</v>
      </c>
      <c r="AL141" s="22">
        <f t="shared" si="112"/>
        <v>3.1675048597887374E-12</v>
      </c>
      <c r="AM141" s="62">
        <f t="shared" si="113"/>
        <v>293.3333333333365</v>
      </c>
      <c r="AN141" s="62">
        <f ca="1">AVERAGE(OFFSET($AM$3,0,0,'Données projet'!$E$10+1,1))-AVERAGE(OFFSET($H$3,0,0,'Données projet'!$E$10+1,1))</f>
        <v>305.55480846093275</v>
      </c>
      <c r="AO141" s="62">
        <f t="shared" si="144"/>
        <v>179.56041631665812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0.15143669783227226</v>
      </c>
      <c r="AW141" s="23">
        <f>EXP(-LN(2)/2)*AW140+(1-EXP(-LN(2)/2))/(LN(2)/2)*AQ141*AT141*VLOOKUP('Données projet'!$B$10,Paramètres!$A$1:$I$89,3,0)*0.475*44/12</f>
        <v>7.8071013452501984E-16</v>
      </c>
      <c r="AX141" s="23">
        <f t="shared" si="114"/>
        <v>0.15143669783227304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40.594438615105105</v>
      </c>
      <c r="BJ141" s="62">
        <f t="shared" si="146"/>
        <v>238.55583229663102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5.3845507419518235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5.8933197517481325E-17</v>
      </c>
      <c r="BS141" s="24">
        <f t="shared" si="117"/>
        <v>5.3845507419518235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41.074766157499596</v>
      </c>
      <c r="CE141" s="62">
        <f t="shared" si="148"/>
        <v>240.92787656206917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5.4341018223992323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5.9475527555985716E-17</v>
      </c>
      <c r="CN141" s="24">
        <f t="shared" si="120"/>
        <v>5.4341018223992323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-1.7053025658242404E-13</v>
      </c>
      <c r="O142" s="14">
        <f>N142*VLOOKUP('Données projet'!$B$9,Paramètres!$A$1:$I$89,3,0)*VLOOKUP('Données projet'!$B$9,Paramètres!$A$1:$I$89,5,0)</f>
        <v>-1.0197709343628959E-13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150.79185880109804</v>
      </c>
      <c r="T142" s="62">
        <f t="shared" si="142"/>
        <v>231.70571415193996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0.9563324496372998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9.241236169447751E-16</v>
      </c>
      <c r="AC142" s="24">
        <f t="shared" si="111"/>
        <v>0.95633244963730069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1.1527845344971866E-13</v>
      </c>
      <c r="AK142" s="14">
        <f t="shared" si="143"/>
        <v>1.7033846239409443E-12</v>
      </c>
      <c r="AL142" s="22">
        <f t="shared" si="112"/>
        <v>3.1675048597887374E-12</v>
      </c>
      <c r="AM142" s="62">
        <f t="shared" si="113"/>
        <v>293.3333333333365</v>
      </c>
      <c r="AN142" s="62">
        <f ca="1">AVERAGE(OFFSET($AM$3,0,0,'Données projet'!$E$10+1,1))-AVERAGE(OFFSET($H$3,0,0,'Données projet'!$E$10+1,1))</f>
        <v>305.55480846093275</v>
      </c>
      <c r="AO142" s="62">
        <f t="shared" si="144"/>
        <v>179.56041631665812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0.14729565336633896</v>
      </c>
      <c r="AW142" s="23">
        <f>EXP(-LN(2)/2)*AW141+(1-EXP(-LN(2)/2))/(LN(2)/2)*AQ142*AT142*VLOOKUP('Données projet'!$B$10,Paramètres!$A$1:$I$89,3,0)*0.475*44/12</f>
        <v>5.5204543026370328E-16</v>
      </c>
      <c r="AX142" s="23">
        <f t="shared" si="114"/>
        <v>0.14729565336633951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40.594438615105105</v>
      </c>
      <c r="BJ142" s="62">
        <f t="shared" si="146"/>
        <v>238.55583229663102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5.2789629861538083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4.1672063601617253E-17</v>
      </c>
      <c r="BS142" s="24">
        <f t="shared" si="117"/>
        <v>5.2789629861538083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41.074766157499596</v>
      </c>
      <c r="CE142" s="62">
        <f t="shared" si="148"/>
        <v>240.92787656206917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5.3275424001368181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4.2055548849484869E-17</v>
      </c>
      <c r="CN142" s="24">
        <f t="shared" si="120"/>
        <v>5.3275424001368181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-1.7053025658242404E-13</v>
      </c>
      <c r="O143" s="14">
        <f>N143*VLOOKUP('Données projet'!$B$9,Paramètres!$A$1:$I$89,3,0)*VLOOKUP('Données projet'!$B$9,Paramètres!$A$1:$I$89,5,0)</f>
        <v>-1.0197709343628959E-13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150.79185880109804</v>
      </c>
      <c r="T143" s="62">
        <f t="shared" si="142"/>
        <v>231.70571415193996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0.93757935360511002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6.5345407619628997E-16</v>
      </c>
      <c r="AC143" s="24">
        <f t="shared" si="111"/>
        <v>0.93757935360511069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1.1527845344971866E-13</v>
      </c>
      <c r="AK143" s="14">
        <f t="shared" si="143"/>
        <v>1.7033846239409443E-12</v>
      </c>
      <c r="AL143" s="22">
        <f t="shared" si="112"/>
        <v>3.1675048597887374E-12</v>
      </c>
      <c r="AM143" s="62">
        <f t="shared" si="113"/>
        <v>293.3333333333365</v>
      </c>
      <c r="AN143" s="62">
        <f ca="1">AVERAGE(OFFSET($AM$3,0,0,'Données projet'!$E$10+1,1))-AVERAGE(OFFSET($H$3,0,0,'Données projet'!$E$10+1,1))</f>
        <v>305.55480846093275</v>
      </c>
      <c r="AO143" s="62">
        <f t="shared" si="144"/>
        <v>179.56041631665812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0.14326784597909464</v>
      </c>
      <c r="AW143" s="23">
        <f>EXP(-LN(2)/2)*AW142+(1-EXP(-LN(2)/2))/(LN(2)/2)*AQ143*AT143*VLOOKUP('Données projet'!$B$10,Paramètres!$A$1:$I$89,3,0)*0.475*44/12</f>
        <v>3.9035506726250992E-16</v>
      </c>
      <c r="AX143" s="23">
        <f t="shared" si="114"/>
        <v>0.14326784597909503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40.594438615105105</v>
      </c>
      <c r="BJ143" s="62">
        <f t="shared" si="146"/>
        <v>238.55583229663102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5.1754457418448201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2.9466598758740662E-17</v>
      </c>
      <c r="BS143" s="24">
        <f t="shared" si="117"/>
        <v>5.1754457418448201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41.074766157499596</v>
      </c>
      <c r="CE143" s="62">
        <f t="shared" si="148"/>
        <v>240.92787656206917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5.2230725431501401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2.9737763777992858E-17</v>
      </c>
      <c r="CN143" s="24">
        <f t="shared" si="120"/>
        <v>5.2230725431501401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-1.7053025658242404E-13</v>
      </c>
      <c r="O144" s="14">
        <f>N144*VLOOKUP('Données projet'!$B$9,Paramètres!$A$1:$I$89,3,0)*VLOOKUP('Données projet'!$B$9,Paramètres!$A$1:$I$89,5,0)</f>
        <v>-1.0197709343628959E-13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150.79185880109804</v>
      </c>
      <c r="T144" s="62">
        <f t="shared" si="142"/>
        <v>231.70571415193996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0.91919399434785232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4.6206180847238755E-16</v>
      </c>
      <c r="AC144" s="24">
        <f t="shared" si="111"/>
        <v>0.91919399434785276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1.1527845344971866E-13</v>
      </c>
      <c r="AK144" s="14">
        <f t="shared" si="143"/>
        <v>1.7033846239409443E-12</v>
      </c>
      <c r="AL144" s="22">
        <f t="shared" si="112"/>
        <v>3.1675048597887374E-12</v>
      </c>
      <c r="AM144" s="62">
        <f t="shared" si="113"/>
        <v>293.3333333333365</v>
      </c>
      <c r="AN144" s="62">
        <f ca="1">AVERAGE(OFFSET($AM$3,0,0,'Données projet'!$E$10+1,1))-AVERAGE(OFFSET($H$3,0,0,'Données projet'!$E$10+1,1))</f>
        <v>305.55480846093275</v>
      </c>
      <c r="AO144" s="62">
        <f t="shared" si="144"/>
        <v>179.56041631665812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0.13935017919666773</v>
      </c>
      <c r="AW144" s="23">
        <f>EXP(-LN(2)/2)*AW143+(1-EXP(-LN(2)/2))/(LN(2)/2)*AQ144*AT144*VLOOKUP('Données projet'!$B$10,Paramètres!$A$1:$I$89,3,0)*0.475*44/12</f>
        <v>2.7602271513185164E-16</v>
      </c>
      <c r="AX144" s="23">
        <f t="shared" si="114"/>
        <v>0.13935017919666801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40.594438615105105</v>
      </c>
      <c r="BJ144" s="62">
        <f t="shared" si="146"/>
        <v>238.55583229663102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5.0739584075574466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2.0836031800808627E-17</v>
      </c>
      <c r="BS144" s="24">
        <f t="shared" si="117"/>
        <v>5.0739584075574466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41.074766157499596</v>
      </c>
      <c r="CE144" s="62">
        <f t="shared" si="148"/>
        <v>240.92787656206917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5.1206512763386494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2.1027774424742435E-17</v>
      </c>
      <c r="CN144" s="24">
        <f t="shared" si="120"/>
        <v>5.1206512763386494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-1.7053025658242404E-13</v>
      </c>
      <c r="O145" s="14">
        <f>N145*VLOOKUP('Données projet'!$B$9,Paramètres!$A$1:$I$89,3,0)*VLOOKUP('Données projet'!$B$9,Paramètres!$A$1:$I$89,5,0)</f>
        <v>-1.0197709343628959E-13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150.79185880109804</v>
      </c>
      <c r="T145" s="62">
        <f t="shared" si="142"/>
        <v>231.70571415193996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0.90116916077166764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3.2672703809814498E-16</v>
      </c>
      <c r="AC145" s="24">
        <f t="shared" si="111"/>
        <v>0.90116916077166798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1.1527845344971866E-13</v>
      </c>
      <c r="AK145" s="14">
        <f t="shared" si="143"/>
        <v>1.7033846239409443E-12</v>
      </c>
      <c r="AL145" s="22">
        <f t="shared" si="112"/>
        <v>3.1675048597887374E-12</v>
      </c>
      <c r="AM145" s="62">
        <f t="shared" si="113"/>
        <v>293.3333333333365</v>
      </c>
      <c r="AN145" s="62">
        <f ca="1">AVERAGE(OFFSET($AM$3,0,0,'Données projet'!$E$10+1,1))-AVERAGE(OFFSET($H$3,0,0,'Données projet'!$E$10+1,1))</f>
        <v>305.55480846093275</v>
      </c>
      <c r="AO145" s="62">
        <f t="shared" si="144"/>
        <v>179.56041631665812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0.1355396412184274</v>
      </c>
      <c r="AW145" s="23">
        <f>EXP(-LN(2)/2)*AW144+(1-EXP(-LN(2)/2))/(LN(2)/2)*AQ145*AT145*VLOOKUP('Données projet'!$B$10,Paramètres!$A$1:$I$89,3,0)*0.475*44/12</f>
        <v>1.9517753363125496E-16</v>
      </c>
      <c r="AX145" s="23">
        <f t="shared" si="114"/>
        <v>0.1355396412184276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40.594438615105105</v>
      </c>
      <c r="BJ145" s="62">
        <f t="shared" si="146"/>
        <v>238.55583229663102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4.9744611779942867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1.4733299379370331E-17</v>
      </c>
      <c r="BS145" s="24">
        <f t="shared" si="117"/>
        <v>4.9744611779942867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41.074766157499596</v>
      </c>
      <c r="CE145" s="62">
        <f t="shared" si="148"/>
        <v>240.92787656206917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5.0202384280985282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1.4868881888996429E-17</v>
      </c>
      <c r="CN145" s="24">
        <f t="shared" si="120"/>
        <v>5.0202384280985282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-1.7053025658242404E-13</v>
      </c>
      <c r="O146" s="14">
        <f>N146*VLOOKUP('Données projet'!$B$9,Paramètres!$A$1:$I$89,3,0)*VLOOKUP('Données projet'!$B$9,Paramètres!$A$1:$I$89,5,0)</f>
        <v>-1.0197709343628959E-13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150.79185880109804</v>
      </c>
      <c r="T146" s="62">
        <f t="shared" si="142"/>
        <v>231.70571415193996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0.883497783187849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2.3103090423619377E-16</v>
      </c>
      <c r="AC146" s="24">
        <f t="shared" si="111"/>
        <v>0.88349778318784922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1.1527845344971866E-13</v>
      </c>
      <c r="AK146" s="14">
        <f t="shared" si="143"/>
        <v>1.7033846239409443E-12</v>
      </c>
      <c r="AL146" s="22">
        <f t="shared" si="112"/>
        <v>3.1675048597887374E-12</v>
      </c>
      <c r="AM146" s="62">
        <f t="shared" si="113"/>
        <v>293.3333333333365</v>
      </c>
      <c r="AN146" s="62">
        <f ca="1">AVERAGE(OFFSET($AM$3,0,0,'Données projet'!$E$10+1,1))-AVERAGE(OFFSET($H$3,0,0,'Données projet'!$E$10+1,1))</f>
        <v>305.55480846093275</v>
      </c>
      <c r="AO146" s="62">
        <f t="shared" si="144"/>
        <v>179.56041631665812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0.13183330260158954</v>
      </c>
      <c r="AW146" s="23">
        <f>EXP(-LN(2)/2)*AW145+(1-EXP(-LN(2)/2))/(LN(2)/2)*AQ146*AT146*VLOOKUP('Données projet'!$B$10,Paramètres!$A$1:$I$89,3,0)*0.475*44/12</f>
        <v>1.3801135756592582E-16</v>
      </c>
      <c r="AX146" s="23">
        <f t="shared" si="114"/>
        <v>0.13183330260158968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40.594438615105105</v>
      </c>
      <c r="BJ146" s="62">
        <f t="shared" si="146"/>
        <v>238.55583229663102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4.8769150284155423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1.0418015900404313E-17</v>
      </c>
      <c r="BS146" s="24">
        <f t="shared" si="117"/>
        <v>4.8769150284155423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41.074766157499596</v>
      </c>
      <c r="CE146" s="62">
        <f t="shared" si="148"/>
        <v>240.92787656206917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4.9217946145666058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1.0513887212371217E-17</v>
      </c>
      <c r="CN146" s="24">
        <f t="shared" si="120"/>
        <v>4.9217946145666058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-1.7053025658242404E-13</v>
      </c>
      <c r="O147" s="14">
        <f>N147*VLOOKUP('Données projet'!$B$9,Paramètres!$A$1:$I$89,3,0)*VLOOKUP('Données projet'!$B$9,Paramètres!$A$1:$I$89,5,0)</f>
        <v>-1.0197709343628959E-13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150.79185880109804</v>
      </c>
      <c r="T147" s="62">
        <f t="shared" si="142"/>
        <v>231.70571415193996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0.86617293053997302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1.6336351904907249E-16</v>
      </c>
      <c r="AC147" s="24">
        <f t="shared" si="111"/>
        <v>0.86617293053997313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1.1527845344971866E-13</v>
      </c>
      <c r="AK147" s="14">
        <f t="shared" si="143"/>
        <v>1.7033846239409443E-12</v>
      </c>
      <c r="AL147" s="22">
        <f t="shared" si="112"/>
        <v>3.1675048597887374E-12</v>
      </c>
      <c r="AM147" s="62">
        <f t="shared" si="113"/>
        <v>293.3333333333365</v>
      </c>
      <c r="AN147" s="62">
        <f ca="1">AVERAGE(OFFSET($AM$3,0,0,'Données projet'!$E$10+1,1))-AVERAGE(OFFSET($H$3,0,0,'Données projet'!$E$10+1,1))</f>
        <v>305.55480846093275</v>
      </c>
      <c r="AO147" s="62">
        <f t="shared" si="144"/>
        <v>179.56041631665812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0.12822831400913701</v>
      </c>
      <c r="AW147" s="23">
        <f>EXP(-LN(2)/2)*AW146+(1-EXP(-LN(2)/2))/(LN(2)/2)*AQ147*AT147*VLOOKUP('Données projet'!$B$10,Paramètres!$A$1:$I$89,3,0)*0.475*44/12</f>
        <v>9.758876681562748E-17</v>
      </c>
      <c r="AX147" s="23">
        <f t="shared" si="114"/>
        <v>0.12822831400913712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40.594438615105105</v>
      </c>
      <c r="BJ147" s="62">
        <f t="shared" si="146"/>
        <v>238.55583229663102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4.7812816993327614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7.3666496896851656E-18</v>
      </c>
      <c r="BS147" s="24">
        <f t="shared" si="117"/>
        <v>4.7812816993327614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41.074766157499596</v>
      </c>
      <c r="CE147" s="62">
        <f t="shared" si="148"/>
        <v>240.92787656206917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4.8252812241732466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7.4344409444982145E-18</v>
      </c>
      <c r="CN147" s="24">
        <f t="shared" si="120"/>
        <v>4.8252812241732466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-1.7053025658242404E-13</v>
      </c>
      <c r="O148" s="14">
        <f>N148*VLOOKUP('Données projet'!$B$9,Paramètres!$A$1:$I$89,3,0)*VLOOKUP('Données projet'!$B$9,Paramètres!$A$1:$I$89,5,0)</f>
        <v>-1.0197709343628959E-13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150.79185880109804</v>
      </c>
      <c r="T148" s="62">
        <f t="shared" si="142"/>
        <v>231.70571415193996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0.84918780768540514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1.1551545211809689E-16</v>
      </c>
      <c r="AC148" s="24">
        <f t="shared" si="111"/>
        <v>0.84918780768540525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1.1527845344971866E-13</v>
      </c>
      <c r="AK148" s="14">
        <f t="shared" si="143"/>
        <v>1.7033846239409443E-12</v>
      </c>
      <c r="AL148" s="22">
        <f t="shared" si="112"/>
        <v>3.1675048597887374E-12</v>
      </c>
      <c r="AM148" s="62">
        <f t="shared" si="113"/>
        <v>293.3333333333365</v>
      </c>
      <c r="AN148" s="62">
        <f ca="1">AVERAGE(OFFSET($AM$3,0,0,'Données projet'!$E$10+1,1))-AVERAGE(OFFSET($H$3,0,0,'Données projet'!$E$10+1,1))</f>
        <v>305.55480846093275</v>
      </c>
      <c r="AO148" s="62">
        <f t="shared" si="144"/>
        <v>179.56041631665812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0.12472190401932319</v>
      </c>
      <c r="AW148" s="23">
        <f>EXP(-LN(2)/2)*AW147+(1-EXP(-LN(2)/2))/(LN(2)/2)*AQ148*AT148*VLOOKUP('Données projet'!$B$10,Paramètres!$A$1:$I$89,3,0)*0.475*44/12</f>
        <v>6.9005678782962911E-17</v>
      </c>
      <c r="AX148" s="23">
        <f t="shared" si="114"/>
        <v>0.12472190401932326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40.594438615105105</v>
      </c>
      <c r="BJ148" s="62">
        <f t="shared" si="146"/>
        <v>238.55583229663102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4.6875236815027224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5.2090079502021567E-18</v>
      </c>
      <c r="BS148" s="24">
        <f t="shared" si="117"/>
        <v>4.6875236815027224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41.074766157499596</v>
      </c>
      <c r="CE148" s="62">
        <f t="shared" si="148"/>
        <v>240.92787656206917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4.7306604024981462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5.2569436061856087E-18</v>
      </c>
      <c r="CN148" s="24">
        <f t="shared" si="120"/>
        <v>4.7306604024981462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-1.7053025658242404E-13</v>
      </c>
      <c r="O149" s="14">
        <f>N149*VLOOKUP('Données projet'!$B$9,Paramètres!$A$1:$I$89,3,0)*VLOOKUP('Données projet'!$B$9,Paramètres!$A$1:$I$89,5,0)</f>
        <v>-1.0197709343628959E-13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150.79185880109804</v>
      </c>
      <c r="T149" s="62">
        <f t="shared" si="142"/>
        <v>231.70571415193996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0.83253575273011338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8.1681759524536246E-17</v>
      </c>
      <c r="AC149" s="24">
        <f t="shared" si="111"/>
        <v>0.83253575273011349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1.1527845344971866E-13</v>
      </c>
      <c r="AK149" s="14">
        <f t="shared" si="143"/>
        <v>1.7033846239409443E-12</v>
      </c>
      <c r="AL149" s="22">
        <f t="shared" si="112"/>
        <v>3.1675048597887374E-12</v>
      </c>
      <c r="AM149" s="62">
        <f t="shared" si="113"/>
        <v>293.3333333333365</v>
      </c>
      <c r="AN149" s="62">
        <f ca="1">AVERAGE(OFFSET($AM$3,0,0,'Données projet'!$E$10+1,1))-AVERAGE(OFFSET($H$3,0,0,'Données projet'!$E$10+1,1))</f>
        <v>305.55480846093275</v>
      </c>
      <c r="AO149" s="62">
        <f t="shared" si="144"/>
        <v>179.56041631665812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0.12131137699507492</v>
      </c>
      <c r="AW149" s="23">
        <f>EXP(-LN(2)/2)*AW148+(1-EXP(-LN(2)/2))/(LN(2)/2)*AQ149*AT149*VLOOKUP('Données projet'!$B$10,Paramètres!$A$1:$I$89,3,0)*0.475*44/12</f>
        <v>4.879438340781374E-17</v>
      </c>
      <c r="AX149" s="23">
        <f t="shared" si="114"/>
        <v>0.12131137699507498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40.594438615105105</v>
      </c>
      <c r="BJ149" s="62">
        <f t="shared" si="146"/>
        <v>238.55583229663102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4.5956042012155862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3.6833248448425828E-18</v>
      </c>
      <c r="BS149" s="24">
        <f t="shared" si="117"/>
        <v>4.5956042012155862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41.074766157499596</v>
      </c>
      <c r="CE149" s="62">
        <f t="shared" si="148"/>
        <v>240.92787656206917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4.6378950374230916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3.7172204722491073E-18</v>
      </c>
      <c r="CN149" s="24">
        <f t="shared" si="120"/>
        <v>4.6378950374230916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-1.7053025658242404E-13</v>
      </c>
      <c r="O150" s="14">
        <f>N150*VLOOKUP('Données projet'!$B$9,Paramètres!$A$1:$I$89,3,0)*VLOOKUP('Données projet'!$B$9,Paramètres!$A$1:$I$89,5,0)</f>
        <v>-1.0197709343628959E-13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150.79185880109804</v>
      </c>
      <c r="T150" s="62">
        <f t="shared" si="142"/>
        <v>231.70571415193996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0.81621023441574425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5.7757726059048444E-17</v>
      </c>
      <c r="AC150" s="24">
        <f t="shared" si="111"/>
        <v>0.81621023441574436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1.1527845344971866E-13</v>
      </c>
      <c r="AK150" s="14">
        <f t="shared" si="143"/>
        <v>1.7033846239409443E-12</v>
      </c>
      <c r="AL150" s="22">
        <f t="shared" si="112"/>
        <v>3.1675048597887374E-12</v>
      </c>
      <c r="AM150" s="62">
        <f t="shared" si="113"/>
        <v>293.3333333333365</v>
      </c>
      <c r="AN150" s="62">
        <f ca="1">AVERAGE(OFFSET($AM$3,0,0,'Données projet'!$E$10+1,1))-AVERAGE(OFFSET($H$3,0,0,'Données projet'!$E$10+1,1))</f>
        <v>305.55480846093275</v>
      </c>
      <c r="AO150" s="62">
        <f t="shared" si="144"/>
        <v>179.56041631665812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0.11799411101165655</v>
      </c>
      <c r="AW150" s="23">
        <f>EXP(-LN(2)/2)*AW149+(1-EXP(-LN(2)/2))/(LN(2)/2)*AQ150*AT150*VLOOKUP('Données projet'!$B$10,Paramètres!$A$1:$I$89,3,0)*0.475*44/12</f>
        <v>3.4502839391481455E-17</v>
      </c>
      <c r="AX150" s="23">
        <f t="shared" si="114"/>
        <v>0.11799411101165658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40.594438615105105</v>
      </c>
      <c r="BJ150" s="62">
        <f t="shared" si="146"/>
        <v>238.55583229663102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4.5054872058715336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2.6045039751010783E-18</v>
      </c>
      <c r="BS150" s="24">
        <f t="shared" si="117"/>
        <v>4.5054872058715336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41.074766157499596</v>
      </c>
      <c r="CE150" s="62">
        <f t="shared" si="148"/>
        <v>240.92787656206917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4.5469487445758734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2.6284718030928043E-18</v>
      </c>
      <c r="CN150" s="24">
        <f t="shared" si="120"/>
        <v>4.5469487445758734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-1.7053025658242404E-13</v>
      </c>
      <c r="O151" s="14">
        <f>N151*VLOOKUP('Données projet'!$B$9,Paramètres!$A$1:$I$89,3,0)*VLOOKUP('Données projet'!$B$9,Paramètres!$A$1:$I$89,5,0)</f>
        <v>-1.0197709343628959E-13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150.79185880109804</v>
      </c>
      <c r="T151" s="62">
        <f t="shared" si="142"/>
        <v>231.70571415193996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0.80020484955793703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4.0840879762268123E-17</v>
      </c>
      <c r="AC151" s="24">
        <f t="shared" si="111"/>
        <v>0.80020484955793703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1.1527845344971866E-13</v>
      </c>
      <c r="AK151" s="14">
        <f t="shared" si="143"/>
        <v>1.7033846239409443E-12</v>
      </c>
      <c r="AL151" s="22">
        <f t="shared" si="112"/>
        <v>3.1675048597887374E-12</v>
      </c>
      <c r="AM151" s="62">
        <f t="shared" si="113"/>
        <v>293.3333333333365</v>
      </c>
      <c r="AN151" s="62">
        <f ca="1">AVERAGE(OFFSET($AM$3,0,0,'Données projet'!$E$10+1,1))-AVERAGE(OFFSET($H$3,0,0,'Données projet'!$E$10+1,1))</f>
        <v>305.55480846093275</v>
      </c>
      <c r="AO151" s="62">
        <f t="shared" si="144"/>
        <v>179.56041631665812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0.11476755584100218</v>
      </c>
      <c r="AW151" s="23">
        <f>EXP(-LN(2)/2)*AW150+(1-EXP(-LN(2)/2))/(LN(2)/2)*AQ151*AT151*VLOOKUP('Données projet'!$B$10,Paramètres!$A$1:$I$89,3,0)*0.475*44/12</f>
        <v>2.439719170390687E-17</v>
      </c>
      <c r="AX151" s="23">
        <f t="shared" si="114"/>
        <v>0.11476755584100221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40.594438615105105</v>
      </c>
      <c r="BJ151" s="62">
        <f t="shared" si="146"/>
        <v>238.55583229663102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4.4171373498402389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1.8416624224212914E-18</v>
      </c>
      <c r="BS151" s="24">
        <f t="shared" si="117"/>
        <v>4.4171373498402389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41.074766157499596</v>
      </c>
      <c r="CE151" s="62">
        <f t="shared" si="148"/>
        <v>240.92787656206917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4.4577858530596277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1.8586102361245536E-18</v>
      </c>
      <c r="CN151" s="24">
        <f t="shared" si="120"/>
        <v>4.4577858530596277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-1.7053025658242404E-13</v>
      </c>
      <c r="O152" s="14">
        <f>N152*VLOOKUP('Données projet'!$B$9,Paramètres!$A$1:$I$89,3,0)*VLOOKUP('Données projet'!$B$9,Paramètres!$A$1:$I$89,5,0)</f>
        <v>-1.0197709343628959E-13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150.79185880109804</v>
      </c>
      <c r="T152" s="62">
        <f t="shared" si="142"/>
        <v>231.70571415193996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0.78451332053487055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2.8878863029524222E-17</v>
      </c>
      <c r="AC152" s="24">
        <f t="shared" si="111"/>
        <v>0.78451332053487055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1.1527845344971866E-13</v>
      </c>
      <c r="AK152" s="14">
        <f t="shared" si="143"/>
        <v>1.7033846239409443E-12</v>
      </c>
      <c r="AL152" s="22">
        <f t="shared" si="112"/>
        <v>3.1675048597887374E-12</v>
      </c>
      <c r="AM152" s="62">
        <f t="shared" si="113"/>
        <v>293.3333333333365</v>
      </c>
      <c r="AN152" s="62">
        <f ca="1">AVERAGE(OFFSET($AM$3,0,0,'Données projet'!$E$10+1,1))-AVERAGE(OFFSET($H$3,0,0,'Données projet'!$E$10+1,1))</f>
        <v>305.55480846093275</v>
      </c>
      <c r="AO152" s="62">
        <f t="shared" si="144"/>
        <v>179.56041631665812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0.11162923099116652</v>
      </c>
      <c r="AW152" s="23">
        <f>EXP(-LN(2)/2)*AW151+(1-EXP(-LN(2)/2))/(LN(2)/2)*AQ152*AT152*VLOOKUP('Données projet'!$B$10,Paramètres!$A$1:$I$89,3,0)*0.475*44/12</f>
        <v>1.7251419695740728E-17</v>
      </c>
      <c r="AX152" s="23">
        <f t="shared" si="114"/>
        <v>0.11162923099116653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40.594438615105105</v>
      </c>
      <c r="BJ152" s="62">
        <f t="shared" si="146"/>
        <v>238.55583229663102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4.330519980597626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1.3022519875505392E-18</v>
      </c>
      <c r="BS152" s="24">
        <f t="shared" si="117"/>
        <v>4.330519980597626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41.074766157499596</v>
      </c>
      <c r="CE152" s="62">
        <f t="shared" si="148"/>
        <v>240.92787656206917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4.3703713914620215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1.3142359015464022E-18</v>
      </c>
      <c r="CN152" s="24">
        <f t="shared" si="120"/>
        <v>4.3703713914620215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-1.7053025658242404E-13</v>
      </c>
      <c r="O153" s="14">
        <f>N153*VLOOKUP('Données projet'!$B$9,Paramètres!$A$1:$I$89,3,0)*VLOOKUP('Données projet'!$B$9,Paramètres!$A$1:$I$89,5,0)</f>
        <v>-1.0197709343628959E-13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150.79185880109804</v>
      </c>
      <c r="T153" s="62">
        <f t="shared" si="142"/>
        <v>231.70571415193996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0.76912949282505871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2.0420439881134061E-17</v>
      </c>
      <c r="AC153" s="24">
        <f t="shared" si="111"/>
        <v>0.76912949282505871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1.1527845344971866E-13</v>
      </c>
      <c r="AK153" s="14">
        <f t="shared" si="143"/>
        <v>1.7033846239409443E-12</v>
      </c>
      <c r="AL153" s="22">
        <f t="shared" si="112"/>
        <v>3.1675048597887374E-12</v>
      </c>
      <c r="AM153" s="62">
        <f t="shared" si="113"/>
        <v>293.3333333333365</v>
      </c>
      <c r="AN153" s="62">
        <f ca="1">AVERAGE(OFFSET($AM$3,0,0,'Données projet'!$E$10+1,1))-AVERAGE(OFFSET($H$3,0,0,'Données projet'!$E$10+1,1))</f>
        <v>305.55480846093275</v>
      </c>
      <c r="AO153" s="62">
        <f t="shared" si="144"/>
        <v>179.56041631665812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0.10857672379938695</v>
      </c>
      <c r="AW153" s="23">
        <f>EXP(-LN(2)/2)*AW152+(1-EXP(-LN(2)/2))/(LN(2)/2)*AQ153*AT153*VLOOKUP('Données projet'!$B$10,Paramètres!$A$1:$I$89,3,0)*0.475*44/12</f>
        <v>1.2198595851953435E-17</v>
      </c>
      <c r="AX153" s="23">
        <f t="shared" si="114"/>
        <v>0.10857672379938696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40.594438615105105</v>
      </c>
      <c r="BJ153" s="62">
        <f t="shared" si="146"/>
        <v>238.55583229663102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4.2456011251344821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9.208312112106457E-19</v>
      </c>
      <c r="BS153" s="24">
        <f t="shared" si="117"/>
        <v>4.2456011251344821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41.074766157499596</v>
      </c>
      <c r="CE153" s="62">
        <f t="shared" si="148"/>
        <v>240.92787656206917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4.2846710741387879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9.2930511806227681E-19</v>
      </c>
      <c r="CN153" s="24">
        <f t="shared" si="120"/>
        <v>4.2846710741387879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-1.7053025658242404E-13</v>
      </c>
      <c r="O154" s="14">
        <f>N154*VLOOKUP('Données projet'!$B$9,Paramètres!$A$1:$I$89,3,0)*VLOOKUP('Données projet'!$B$9,Paramètres!$A$1:$I$89,5,0)</f>
        <v>-1.0197709343628959E-13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150.79185880109804</v>
      </c>
      <c r="T154" s="62">
        <f t="shared" si="142"/>
        <v>231.70571415193996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0.75404733259342793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1.4439431514762111E-17</v>
      </c>
      <c r="AC154" s="24">
        <f t="shared" ref="AC154:AC203" si="163">SUM(Z154:AB154)</f>
        <v>0.75404733259342793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1.1527845344971866E-13</v>
      </c>
      <c r="AK154" s="14">
        <f t="shared" ref="AK154:AK203" si="164">EXP(-1.0587+0.8836*LN(AJ154)+0.284)</f>
        <v>1.7033846239409443E-12</v>
      </c>
      <c r="AL154" s="22">
        <f t="shared" ref="AL154:AL203" si="165">(AJ154+AK154)*0.475*44/12</f>
        <v>3.1675048597887374E-12</v>
      </c>
      <c r="AM154" s="62">
        <f t="shared" si="113"/>
        <v>293.3333333333365</v>
      </c>
      <c r="AN154" s="62">
        <f ca="1">AVERAGE(OFFSET($AM$3,0,0,'Données projet'!$E$10+1,1))-AVERAGE(OFFSET($H$3,0,0,'Données projet'!$E$10+1,1))</f>
        <v>305.55480846093275</v>
      </c>
      <c r="AO154" s="62">
        <f t="shared" si="144"/>
        <v>179.56041631665812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0.10560768757729096</v>
      </c>
      <c r="AW154" s="23">
        <f>EXP(-LN(2)/2)*AW153+(1-EXP(-LN(2)/2))/(LN(2)/2)*AQ154*AT154*VLOOKUP('Données projet'!$B$10,Paramètres!$A$1:$I$89,3,0)*0.475*44/12</f>
        <v>8.6257098478703638E-18</v>
      </c>
      <c r="AX154" s="23">
        <f t="shared" ref="AX154:AX203" si="166">SUM(AU154:AW154)</f>
        <v>0.10560768757729097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40.594438615105105</v>
      </c>
      <c r="BJ154" s="62">
        <f t="shared" si="146"/>
        <v>238.55583229663102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4.1623474766315836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6.5112599377526959E-19</v>
      </c>
      <c r="BS154" s="24">
        <f t="shared" ref="BS154:BS203" si="169">SUM(BP154:BR154)</f>
        <v>4.1623474766315836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41.074766157499596</v>
      </c>
      <c r="CE154" s="62">
        <f t="shared" si="148"/>
        <v>240.92787656206917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4.2006512877662301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6.5711795077320109E-19</v>
      </c>
      <c r="CN154" s="24">
        <f t="shared" ref="CN154:CN203" si="172">SUM(CK154:CM154)</f>
        <v>4.2006512877662301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-1.7053025658242404E-13</v>
      </c>
      <c r="O155" s="14">
        <f>N155*VLOOKUP('Données projet'!$B$9,Paramètres!$A$1:$I$89,3,0)*VLOOKUP('Données projet'!$B$9,Paramètres!$A$1:$I$89,5,0)</f>
        <v>-1.0197709343628959E-13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150.79185880109804</v>
      </c>
      <c r="T155" s="62">
        <f t="shared" si="142"/>
        <v>231.70571415193996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0.73926092432473001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1.0210219940567031E-17</v>
      </c>
      <c r="AC155" s="24">
        <f t="shared" si="163"/>
        <v>0.73926092432473001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1.1527845344971866E-13</v>
      </c>
      <c r="AK155" s="14">
        <f t="shared" si="164"/>
        <v>1.7033846239409443E-12</v>
      </c>
      <c r="AL155" s="22">
        <f t="shared" si="165"/>
        <v>3.1675048597887374E-12</v>
      </c>
      <c r="AM155" s="62">
        <f t="shared" si="113"/>
        <v>293.3333333333365</v>
      </c>
      <c r="AN155" s="62">
        <f ca="1">AVERAGE(OFFSET($AM$3,0,0,'Données projet'!$E$10+1,1))-AVERAGE(OFFSET($H$3,0,0,'Données projet'!$E$10+1,1))</f>
        <v>305.55480846093275</v>
      </c>
      <c r="AO155" s="62">
        <f t="shared" si="144"/>
        <v>179.56041631665812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0.10271983980682302</v>
      </c>
      <c r="AW155" s="23">
        <f>EXP(-LN(2)/2)*AW154+(1-EXP(-LN(2)/2))/(LN(2)/2)*AQ155*AT155*VLOOKUP('Données projet'!$B$10,Paramètres!$A$1:$I$89,3,0)*0.475*44/12</f>
        <v>6.0992979259767175E-18</v>
      </c>
      <c r="AX155" s="23">
        <f t="shared" si="166"/>
        <v>0.10271983980682302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40.594438615105105</v>
      </c>
      <c r="BJ155" s="62">
        <f t="shared" si="146"/>
        <v>238.55583229663102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4.080726381396115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4.6041560560532285E-19</v>
      </c>
      <c r="BS155" s="24">
        <f t="shared" si="169"/>
        <v>4.080726381396115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41.074766157499596</v>
      </c>
      <c r="CE155" s="62">
        <f t="shared" si="148"/>
        <v>240.92787656206917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4.1182790781574292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4.6465255903113841E-19</v>
      </c>
      <c r="CN155" s="24">
        <f t="shared" si="172"/>
        <v>4.1182790781574292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-1.7053025658242404E-13</v>
      </c>
      <c r="O156" s="14">
        <f>N156*VLOOKUP('Données projet'!$B$9,Paramètres!$A$1:$I$89,3,0)*VLOOKUP('Données projet'!$B$9,Paramètres!$A$1:$I$89,5,0)</f>
        <v>-1.0197709343628959E-13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150.79185880109804</v>
      </c>
      <c r="T156" s="62">
        <f t="shared" si="142"/>
        <v>231.70571415193996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0.72476446850336274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7.2197157573810555E-18</v>
      </c>
      <c r="AC156" s="24">
        <f t="shared" si="163"/>
        <v>0.72476446850336274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1.1527845344971866E-13</v>
      </c>
      <c r="AK156" s="14">
        <f t="shared" si="164"/>
        <v>1.7033846239409443E-12</v>
      </c>
      <c r="AL156" s="22">
        <f t="shared" si="165"/>
        <v>3.1675048597887374E-12</v>
      </c>
      <c r="AM156" s="62">
        <f t="shared" si="113"/>
        <v>293.3333333333365</v>
      </c>
      <c r="AN156" s="62">
        <f ca="1">AVERAGE(OFFSET($AM$3,0,0,'Données projet'!$E$10+1,1))-AVERAGE(OFFSET($H$3,0,0,'Données projet'!$E$10+1,1))</f>
        <v>305.55480846093275</v>
      </c>
      <c r="AO156" s="62">
        <f t="shared" si="144"/>
        <v>179.56041631665812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9.991096038550383E-2</v>
      </c>
      <c r="AW156" s="23">
        <f>EXP(-LN(2)/2)*AW155+(1-EXP(-LN(2)/2))/(LN(2)/2)*AQ156*AT156*VLOOKUP('Données projet'!$B$10,Paramètres!$A$1:$I$89,3,0)*0.475*44/12</f>
        <v>4.3128549239351819E-18</v>
      </c>
      <c r="AX156" s="23">
        <f t="shared" si="166"/>
        <v>9.991096038550383E-2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40.594438615105105</v>
      </c>
      <c r="BJ156" s="62">
        <f t="shared" si="146"/>
        <v>238.55583229663102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4.0007058260542614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3.2556299688763479E-19</v>
      </c>
      <c r="BS156" s="24">
        <f t="shared" si="169"/>
        <v>4.0007058260542614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41.074766157499596</v>
      </c>
      <c r="CE156" s="62">
        <f t="shared" si="148"/>
        <v>240.92787656206917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4.0375221373369703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3.2855897538660054E-19</v>
      </c>
      <c r="CN156" s="24">
        <f t="shared" si="172"/>
        <v>4.0375221373369703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-1.7053025658242404E-13</v>
      </c>
      <c r="O157" s="14">
        <f>N157*VLOOKUP('Données projet'!$B$9,Paramètres!$A$1:$I$89,3,0)*VLOOKUP('Données projet'!$B$9,Paramètres!$A$1:$I$89,5,0)</f>
        <v>-1.0197709343628959E-13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150.79185880109804</v>
      </c>
      <c r="T157" s="62">
        <f t="shared" si="142"/>
        <v>231.70571415193996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0.71055227933868748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5.1051099702835154E-18</v>
      </c>
      <c r="AC157" s="24">
        <f t="shared" si="163"/>
        <v>0.71055227933868748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1.1527845344971866E-13</v>
      </c>
      <c r="AK157" s="14">
        <f t="shared" si="164"/>
        <v>1.7033846239409443E-12</v>
      </c>
      <c r="AL157" s="22">
        <f t="shared" si="165"/>
        <v>3.1675048597887374E-12</v>
      </c>
      <c r="AM157" s="62">
        <f t="shared" si="113"/>
        <v>293.3333333333365</v>
      </c>
      <c r="AN157" s="62">
        <f ca="1">AVERAGE(OFFSET($AM$3,0,0,'Données projet'!$E$10+1,1))-AVERAGE(OFFSET($H$3,0,0,'Données projet'!$E$10+1,1))</f>
        <v>305.55480846093275</v>
      </c>
      <c r="AO157" s="62">
        <f t="shared" si="144"/>
        <v>179.56041631665812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9.7178889919673175E-2</v>
      </c>
      <c r="AW157" s="23">
        <f>EXP(-LN(2)/2)*AW156+(1-EXP(-LN(2)/2))/(LN(2)/2)*AQ157*AT157*VLOOKUP('Données projet'!$B$10,Paramètres!$A$1:$I$89,3,0)*0.475*44/12</f>
        <v>3.0496489629883588E-18</v>
      </c>
      <c r="AX157" s="23">
        <f t="shared" si="166"/>
        <v>9.7178889919673175E-2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40.594438615105105</v>
      </c>
      <c r="BJ157" s="62">
        <f t="shared" si="146"/>
        <v>238.55583229663102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3.9222544249949425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2.3020780280266142E-19</v>
      </c>
      <c r="BS157" s="24">
        <f t="shared" si="169"/>
        <v>3.9222544249949425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41.074766157499596</v>
      </c>
      <c r="CE157" s="62">
        <f t="shared" si="148"/>
        <v>240.92787656206917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3.9583487908691302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2.323262795155692E-19</v>
      </c>
      <c r="CN157" s="24">
        <f t="shared" si="172"/>
        <v>3.9583487908691302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-1.7053025658242404E-13</v>
      </c>
      <c r="O158" s="14">
        <f>N158*VLOOKUP('Données projet'!$B$9,Paramètres!$A$1:$I$89,3,0)*VLOOKUP('Données projet'!$B$9,Paramètres!$A$1:$I$89,5,0)</f>
        <v>-1.0197709343628959E-13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150.79185880109804</v>
      </c>
      <c r="T158" s="62">
        <f t="shared" si="142"/>
        <v>231.70571415193996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0.69661878253495213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3.6098578786905277E-18</v>
      </c>
      <c r="AC158" s="24">
        <f t="shared" si="163"/>
        <v>0.69661878253495213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1.1527845344971866E-13</v>
      </c>
      <c r="AK158" s="14">
        <f t="shared" si="164"/>
        <v>1.7033846239409443E-12</v>
      </c>
      <c r="AL158" s="22">
        <f t="shared" si="165"/>
        <v>3.1675048597887374E-12</v>
      </c>
      <c r="AM158" s="62">
        <f t="shared" si="113"/>
        <v>293.3333333333365</v>
      </c>
      <c r="AN158" s="62">
        <f ca="1">AVERAGE(OFFSET($AM$3,0,0,'Données projet'!$E$10+1,1))-AVERAGE(OFFSET($H$3,0,0,'Données projet'!$E$10+1,1))</f>
        <v>305.55480846093275</v>
      </c>
      <c r="AO158" s="62">
        <f t="shared" si="144"/>
        <v>179.56041631665812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9.4521528064404003E-2</v>
      </c>
      <c r="AW158" s="23">
        <f>EXP(-LN(2)/2)*AW157+(1-EXP(-LN(2)/2))/(LN(2)/2)*AQ158*AT158*VLOOKUP('Données projet'!$B$10,Paramètres!$A$1:$I$89,3,0)*0.475*44/12</f>
        <v>2.156427461967591E-18</v>
      </c>
      <c r="AX158" s="23">
        <f t="shared" si="166"/>
        <v>9.4521528064404003E-2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40.594438615105105</v>
      </c>
      <c r="BJ158" s="62">
        <f t="shared" si="146"/>
        <v>238.55583229663102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3.8453414080597672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1.627814984438174E-19</v>
      </c>
      <c r="BS158" s="24">
        <f t="shared" si="169"/>
        <v>3.8453414080597672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41.074766157499596</v>
      </c>
      <c r="CE158" s="62">
        <f t="shared" si="148"/>
        <v>240.92787656206917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3.8807279854345511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1.6427948769330027E-19</v>
      </c>
      <c r="CN158" s="24">
        <f t="shared" si="172"/>
        <v>3.8807279854345511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-1.7053025658242404E-13</v>
      </c>
      <c r="O159" s="14">
        <f>N159*VLOOKUP('Données projet'!$B$9,Paramètres!$A$1:$I$89,3,0)*VLOOKUP('Données projet'!$B$9,Paramètres!$A$1:$I$89,5,0)</f>
        <v>-1.0197709343628959E-13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150.79185880109804</v>
      </c>
      <c r="T159" s="62">
        <f t="shared" si="142"/>
        <v>231.70571415193996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0.68295851310494415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2.5525549851417577E-18</v>
      </c>
      <c r="AC159" s="24">
        <f t="shared" si="163"/>
        <v>0.68295851310494415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1.1527845344971866E-13</v>
      </c>
      <c r="AK159" s="14">
        <f t="shared" si="164"/>
        <v>1.7033846239409443E-12</v>
      </c>
      <c r="AL159" s="22">
        <f t="shared" si="165"/>
        <v>3.1675048597887374E-12</v>
      </c>
      <c r="AM159" s="62">
        <f t="shared" si="113"/>
        <v>293.3333333333365</v>
      </c>
      <c r="AN159" s="62">
        <f ca="1">AVERAGE(OFFSET($AM$3,0,0,'Données projet'!$E$10+1,1))-AVERAGE(OFFSET($H$3,0,0,'Données projet'!$E$10+1,1))</f>
        <v>305.55480846093275</v>
      </c>
      <c r="AO159" s="62">
        <f t="shared" si="144"/>
        <v>179.56041631665812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9.1936831908811745E-2</v>
      </c>
      <c r="AW159" s="23">
        <f>EXP(-LN(2)/2)*AW158+(1-EXP(-LN(2)/2))/(LN(2)/2)*AQ159*AT159*VLOOKUP('Données projet'!$B$10,Paramètres!$A$1:$I$89,3,0)*0.475*44/12</f>
        <v>1.5248244814941794E-18</v>
      </c>
      <c r="AX159" s="23">
        <f t="shared" si="166"/>
        <v>9.1936831908811745E-2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40.594438615105105</v>
      </c>
      <c r="BJ159" s="62">
        <f t="shared" si="146"/>
        <v>238.55583229663102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3.7699366084743824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1.1510390140133071E-19</v>
      </c>
      <c r="BS159" s="24">
        <f t="shared" si="169"/>
        <v>3.7699366084743824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41.074766157499596</v>
      </c>
      <c r="CE159" s="62">
        <f t="shared" si="148"/>
        <v>240.92787656206917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3.8046292766505276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1.161631397577846E-19</v>
      </c>
      <c r="CN159" s="24">
        <f t="shared" si="172"/>
        <v>3.8046292766505276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-1.7053025658242404E-13</v>
      </c>
      <c r="O160" s="14">
        <f>N160*VLOOKUP('Données projet'!$B$9,Paramètres!$A$1:$I$89,3,0)*VLOOKUP('Données projet'!$B$9,Paramètres!$A$1:$I$89,5,0)</f>
        <v>-1.0197709343628959E-13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150.79185880109804</v>
      </c>
      <c r="T160" s="62">
        <f t="shared" si="142"/>
        <v>231.70571415193996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0.66956611322651693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1.8049289393452639E-18</v>
      </c>
      <c r="AC160" s="24">
        <f t="shared" si="163"/>
        <v>0.66956611322651693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1.1527845344971866E-13</v>
      </c>
      <c r="AK160" s="14">
        <f t="shared" si="164"/>
        <v>1.7033846239409443E-12</v>
      </c>
      <c r="AL160" s="22">
        <f t="shared" si="165"/>
        <v>3.1675048597887374E-12</v>
      </c>
      <c r="AM160" s="62">
        <f t="shared" si="113"/>
        <v>293.3333333333365</v>
      </c>
      <c r="AN160" s="62">
        <f ca="1">AVERAGE(OFFSET($AM$3,0,0,'Données projet'!$E$10+1,1))-AVERAGE(OFFSET($H$3,0,0,'Données projet'!$E$10+1,1))</f>
        <v>305.55480846093275</v>
      </c>
      <c r="AO160" s="62">
        <f t="shared" si="144"/>
        <v>179.56041631665812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8.9422814405517428E-2</v>
      </c>
      <c r="AW160" s="23">
        <f>EXP(-LN(2)/2)*AW159+(1-EXP(-LN(2)/2))/(LN(2)/2)*AQ160*AT160*VLOOKUP('Données projet'!$B$10,Paramètres!$A$1:$I$89,3,0)*0.475*44/12</f>
        <v>1.0782137309837955E-18</v>
      </c>
      <c r="AX160" s="23">
        <f t="shared" si="166"/>
        <v>8.9422814405517428E-2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40.594438615105105</v>
      </c>
      <c r="BJ160" s="62">
        <f t="shared" si="146"/>
        <v>238.55583229663102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3.6960104510164808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8.1390749221908698E-20</v>
      </c>
      <c r="BS160" s="24">
        <f t="shared" si="169"/>
        <v>3.6960104510164808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41.074766157499596</v>
      </c>
      <c r="CE160" s="62">
        <f t="shared" si="148"/>
        <v>240.92787656206917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3.7300228171301297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8.2139743846650136E-20</v>
      </c>
      <c r="CN160" s="24">
        <f t="shared" si="172"/>
        <v>3.7300228171301297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-1.7053025658242404E-13</v>
      </c>
      <c r="O161" s="14">
        <f>N161*VLOOKUP('Données projet'!$B$9,Paramètres!$A$1:$I$89,3,0)*VLOOKUP('Données projet'!$B$9,Paramètres!$A$1:$I$89,5,0)</f>
        <v>-1.0197709343628959E-13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150.79185880109804</v>
      </c>
      <c r="T161" s="62">
        <f t="shared" si="142"/>
        <v>231.70571415193996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0.65643633014114833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1.2762774925708788E-18</v>
      </c>
      <c r="AC161" s="24">
        <f t="shared" si="163"/>
        <v>0.65643633014114833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1.1527845344971866E-13</v>
      </c>
      <c r="AK161" s="14">
        <f t="shared" si="164"/>
        <v>1.7033846239409443E-12</v>
      </c>
      <c r="AL161" s="22">
        <f t="shared" si="165"/>
        <v>3.1675048597887374E-12</v>
      </c>
      <c r="AM161" s="62">
        <f t="shared" si="113"/>
        <v>293.3333333333365</v>
      </c>
      <c r="AN161" s="62">
        <f ca="1">AVERAGE(OFFSET($AM$3,0,0,'Données projet'!$E$10+1,1))-AVERAGE(OFFSET($H$3,0,0,'Données projet'!$E$10+1,1))</f>
        <v>305.55480846093275</v>
      </c>
      <c r="AO161" s="62">
        <f t="shared" si="144"/>
        <v>179.56041631665812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8.6977542843057129E-2</v>
      </c>
      <c r="AW161" s="23">
        <f>EXP(-LN(2)/2)*AW160+(1-EXP(-LN(2)/2))/(LN(2)/2)*AQ161*AT161*VLOOKUP('Données projet'!$B$10,Paramètres!$A$1:$I$89,3,0)*0.475*44/12</f>
        <v>7.6241224074708969E-19</v>
      </c>
      <c r="AX161" s="23">
        <f t="shared" si="166"/>
        <v>8.6977542843057129E-2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40.594438615105105</v>
      </c>
      <c r="BJ161" s="62">
        <f t="shared" si="146"/>
        <v>238.55583229663102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3.6235339404158249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5.7551950700665356E-20</v>
      </c>
      <c r="BS161" s="24">
        <f t="shared" si="169"/>
        <v>3.6235339404158249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41.074766157499596</v>
      </c>
      <c r="CE161" s="62">
        <f t="shared" si="148"/>
        <v>240.92787656206917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3.6568793447754797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5.8081569878892301E-20</v>
      </c>
      <c r="CN161" s="24">
        <f t="shared" si="172"/>
        <v>3.6568793447754797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-1.7053025658242404E-13</v>
      </c>
      <c r="O162" s="14">
        <f>N162*VLOOKUP('Données projet'!$B$9,Paramètres!$A$1:$I$89,3,0)*VLOOKUP('Données projet'!$B$9,Paramètres!$A$1:$I$89,5,0)</f>
        <v>-1.0197709343628959E-13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150.79185880109804</v>
      </c>
      <c r="T162" s="62">
        <f t="shared" si="142"/>
        <v>231.70571415193996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0.64356401409370689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9.0246446967263193E-19</v>
      </c>
      <c r="AC162" s="24">
        <f t="shared" si="163"/>
        <v>0.64356401409370689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1.1527845344971866E-13</v>
      </c>
      <c r="AK162" s="14">
        <f t="shared" si="164"/>
        <v>1.7033846239409443E-12</v>
      </c>
      <c r="AL162" s="22">
        <f t="shared" si="165"/>
        <v>3.1675048597887374E-12</v>
      </c>
      <c r="AM162" s="62">
        <f t="shared" si="113"/>
        <v>293.3333333333365</v>
      </c>
      <c r="AN162" s="62">
        <f ca="1">AVERAGE(OFFSET($AM$3,0,0,'Données projet'!$E$10+1,1))-AVERAGE(OFFSET($H$3,0,0,'Données projet'!$E$10+1,1))</f>
        <v>305.55480846093275</v>
      </c>
      <c r="AO162" s="62">
        <f t="shared" si="144"/>
        <v>179.56041631665812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8.4599137360063539E-2</v>
      </c>
      <c r="AW162" s="23">
        <f>EXP(-LN(2)/2)*AW161+(1-EXP(-LN(2)/2))/(LN(2)/2)*AQ162*AT162*VLOOKUP('Données projet'!$B$10,Paramètres!$A$1:$I$89,3,0)*0.475*44/12</f>
        <v>5.3910686549189774E-19</v>
      </c>
      <c r="AX162" s="23">
        <f t="shared" si="166"/>
        <v>8.4599137360063539E-2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40.594438615105105</v>
      </c>
      <c r="BJ162" s="62">
        <f t="shared" si="146"/>
        <v>238.55583229663102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3.5524786499817411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4.0695374610954349E-20</v>
      </c>
      <c r="BS162" s="24">
        <f t="shared" si="169"/>
        <v>3.5524786499817411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41.074766157499596</v>
      </c>
      <c r="CE162" s="62">
        <f t="shared" si="148"/>
        <v>240.92787656206917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3.5851701713005917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4.1069871923325068E-20</v>
      </c>
      <c r="CN162" s="24">
        <f t="shared" si="172"/>
        <v>3.5851701713005917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-1.7053025658242404E-13</v>
      </c>
      <c r="O163" s="14">
        <f>N163*VLOOKUP('Données projet'!$B$9,Paramètres!$A$1:$I$89,3,0)*VLOOKUP('Données projet'!$B$9,Paramètres!$A$1:$I$89,5,0)</f>
        <v>-1.0197709343628959E-13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150.79185880109804</v>
      </c>
      <c r="T163" s="62">
        <f t="shared" si="142"/>
        <v>231.70571415193996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0.63094411631261826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6.3813874628543942E-19</v>
      </c>
      <c r="AC163" s="24">
        <f t="shared" si="163"/>
        <v>0.63094411631261826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1.1527845344971866E-13</v>
      </c>
      <c r="AK163" s="14">
        <f t="shared" si="164"/>
        <v>1.7033846239409443E-12</v>
      </c>
      <c r="AL163" s="22">
        <f t="shared" si="165"/>
        <v>3.1675048597887374E-12</v>
      </c>
      <c r="AM163" s="62">
        <f t="shared" si="113"/>
        <v>293.3333333333365</v>
      </c>
      <c r="AN163" s="62">
        <f ca="1">AVERAGE(OFFSET($AM$3,0,0,'Données projet'!$E$10+1,1))-AVERAGE(OFFSET($H$3,0,0,'Données projet'!$E$10+1,1))</f>
        <v>305.55480846093275</v>
      </c>
      <c r="AO163" s="62">
        <f t="shared" si="144"/>
        <v>179.56041631665812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8.2285769500077321E-2</v>
      </c>
      <c r="AW163" s="23">
        <f>EXP(-LN(2)/2)*AW162+(1-EXP(-LN(2)/2))/(LN(2)/2)*AQ163*AT163*VLOOKUP('Données projet'!$B$10,Paramètres!$A$1:$I$89,3,0)*0.475*44/12</f>
        <v>3.8120612037354484E-19</v>
      </c>
      <c r="AX163" s="23">
        <f t="shared" si="166"/>
        <v>8.2285769500077321E-2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40.594438615105105</v>
      </c>
      <c r="BJ163" s="62">
        <f t="shared" si="146"/>
        <v>238.55583229663102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3.4828167104536223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2.8775975350332678E-20</v>
      </c>
      <c r="BS163" s="24">
        <f t="shared" si="169"/>
        <v>3.4828167104536223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41.074766157499596</v>
      </c>
      <c r="CE163" s="62">
        <f t="shared" si="148"/>
        <v>240.92787656206917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3.5148671709792692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2.904078493944615E-20</v>
      </c>
      <c r="CN163" s="24">
        <f t="shared" si="172"/>
        <v>3.5148671709792692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-1.7053025658242404E-13</v>
      </c>
      <c r="O164" s="14">
        <f>N164*VLOOKUP('Données projet'!$B$9,Paramètres!$A$1:$I$89,3,0)*VLOOKUP('Données projet'!$B$9,Paramètres!$A$1:$I$89,5,0)</f>
        <v>-1.0197709343628959E-13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150.79185880109804</v>
      </c>
      <c r="T164" s="62">
        <f t="shared" si="142"/>
        <v>231.70571415193996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0.61857168702963916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4.5123223483631597E-19</v>
      </c>
      <c r="AC164" s="24">
        <f t="shared" si="163"/>
        <v>0.61857168702963916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1.1527845344971866E-13</v>
      </c>
      <c r="AK164" s="14">
        <f t="shared" si="164"/>
        <v>1.7033846239409443E-12</v>
      </c>
      <c r="AL164" s="22">
        <f t="shared" si="165"/>
        <v>3.1675048597887374E-12</v>
      </c>
      <c r="AM164" s="62">
        <f t="shared" si="113"/>
        <v>293.3333333333365</v>
      </c>
      <c r="AN164" s="62">
        <f ca="1">AVERAGE(OFFSET($AM$3,0,0,'Données projet'!$E$10+1,1))-AVERAGE(OFFSET($H$3,0,0,'Données projet'!$E$10+1,1))</f>
        <v>305.55480846093275</v>
      </c>
      <c r="AO164" s="62">
        <f t="shared" si="144"/>
        <v>179.56041631665812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8.0035660805877151E-2</v>
      </c>
      <c r="AW164" s="23">
        <f>EXP(-LN(2)/2)*AW163+(1-EXP(-LN(2)/2))/(LN(2)/2)*AQ164*AT164*VLOOKUP('Données projet'!$B$10,Paramètres!$A$1:$I$89,3,0)*0.475*44/12</f>
        <v>2.6955343274594887E-19</v>
      </c>
      <c r="AX164" s="23">
        <f t="shared" si="166"/>
        <v>8.0035660805877151E-2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40.594438615105105</v>
      </c>
      <c r="BJ164" s="62">
        <f t="shared" si="146"/>
        <v>238.55583229663102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3.4145207990700621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2.0347687305477175E-20</v>
      </c>
      <c r="BS164" s="24">
        <f t="shared" si="169"/>
        <v>3.4145207990700621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41.074766157499596</v>
      </c>
      <c r="CE164" s="62">
        <f t="shared" si="148"/>
        <v>240.92787656206917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3.4459427696136515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2.0534935961662534E-20</v>
      </c>
      <c r="CN164" s="24">
        <f t="shared" si="172"/>
        <v>3.4459427696136515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-1.7053025658242404E-13</v>
      </c>
      <c r="O165" s="14">
        <f>N165*VLOOKUP('Données projet'!$B$9,Paramètres!$A$1:$I$89,3,0)*VLOOKUP('Données projet'!$B$9,Paramètres!$A$1:$I$89,5,0)</f>
        <v>-1.0197709343628959E-13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150.79185880109804</v>
      </c>
      <c r="T165" s="62">
        <f t="shared" si="142"/>
        <v>231.70571415193996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0.60644187353846257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3.1906937314271971E-19</v>
      </c>
      <c r="AC165" s="24">
        <f t="shared" si="163"/>
        <v>0.60644187353846257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1.1527845344971866E-13</v>
      </c>
      <c r="AK165" s="14">
        <f t="shared" si="164"/>
        <v>1.7033846239409443E-12</v>
      </c>
      <c r="AL165" s="22">
        <f t="shared" si="165"/>
        <v>3.1675048597887374E-12</v>
      </c>
      <c r="AM165" s="62">
        <f t="shared" si="113"/>
        <v>293.3333333333365</v>
      </c>
      <c r="AN165" s="62">
        <f ca="1">AVERAGE(OFFSET($AM$3,0,0,'Données projet'!$E$10+1,1))-AVERAGE(OFFSET($H$3,0,0,'Données projet'!$E$10+1,1))</f>
        <v>305.55480846093275</v>
      </c>
      <c r="AO165" s="62">
        <f t="shared" si="144"/>
        <v>179.56041631665812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7.784708145224796E-2</v>
      </c>
      <c r="AW165" s="23">
        <f>EXP(-LN(2)/2)*AW164+(1-EXP(-LN(2)/2))/(LN(2)/2)*AQ165*AT165*VLOOKUP('Données projet'!$B$10,Paramètres!$A$1:$I$89,3,0)*0.475*44/12</f>
        <v>1.9060306018677242E-19</v>
      </c>
      <c r="AX165" s="23">
        <f t="shared" si="166"/>
        <v>7.784708145224796E-2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40.594438615105105</v>
      </c>
      <c r="BJ165" s="62">
        <f t="shared" si="146"/>
        <v>238.55583229663102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3.347564128852341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1.4387987675166339E-20</v>
      </c>
      <c r="BS165" s="24">
        <f t="shared" si="169"/>
        <v>3.347564128852341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41.074766157499596</v>
      </c>
      <c r="CE165" s="62">
        <f t="shared" si="148"/>
        <v>240.92787656206917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3.37836993371908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1.4520392469723075E-20</v>
      </c>
      <c r="CN165" s="24">
        <f t="shared" si="172"/>
        <v>3.37836993371908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-1.7053025658242404E-13</v>
      </c>
      <c r="O166" s="14">
        <f>N166*VLOOKUP('Données projet'!$B$9,Paramètres!$A$1:$I$89,3,0)*VLOOKUP('Données projet'!$B$9,Paramètres!$A$1:$I$89,5,0)</f>
        <v>-1.0197709343628959E-13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150.79185880109804</v>
      </c>
      <c r="T166" s="62">
        <f t="shared" si="142"/>
        <v>231.70571415193996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0.59454991829139225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2.2561611741815798E-19</v>
      </c>
      <c r="AC166" s="24">
        <f t="shared" si="163"/>
        <v>0.59454991829139225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1.1527845344971866E-13</v>
      </c>
      <c r="AK166" s="14">
        <f t="shared" si="164"/>
        <v>1.7033846239409443E-12</v>
      </c>
      <c r="AL166" s="22">
        <f t="shared" si="165"/>
        <v>3.1675048597887374E-12</v>
      </c>
      <c r="AM166" s="62">
        <f t="shared" si="113"/>
        <v>293.3333333333365</v>
      </c>
      <c r="AN166" s="62">
        <f ca="1">AVERAGE(OFFSET($AM$3,0,0,'Données projet'!$E$10+1,1))-AVERAGE(OFFSET($H$3,0,0,'Données projet'!$E$10+1,1))</f>
        <v>305.55480846093275</v>
      </c>
      <c r="AO166" s="62">
        <f t="shared" si="144"/>
        <v>179.56041631665812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7.5718348916136144E-2</v>
      </c>
      <c r="AW166" s="23">
        <f>EXP(-LN(2)/2)*AW165+(1-EXP(-LN(2)/2))/(LN(2)/2)*AQ166*AT166*VLOOKUP('Données projet'!$B$10,Paramètres!$A$1:$I$89,3,0)*0.475*44/12</f>
        <v>1.3477671637297443E-19</v>
      </c>
      <c r="AX166" s="23">
        <f t="shared" si="166"/>
        <v>7.5718348916136144E-2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40.594438615105105</v>
      </c>
      <c r="BJ166" s="62">
        <f t="shared" si="146"/>
        <v>238.55583229663102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3.2819204380980529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1.0173843652738587E-20</v>
      </c>
      <c r="BS166" s="24">
        <f t="shared" si="169"/>
        <v>3.2819204380980529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41.074766157499596</v>
      </c>
      <c r="CE166" s="62">
        <f t="shared" si="148"/>
        <v>240.92787656206917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3.3121221599210409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1.0267467980831267E-20</v>
      </c>
      <c r="CN166" s="24">
        <f t="shared" si="172"/>
        <v>3.3121221599210409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-1.7053025658242404E-13</v>
      </c>
      <c r="O167" s="14">
        <f>N167*VLOOKUP('Données projet'!$B$9,Paramètres!$A$1:$I$89,3,0)*VLOOKUP('Données projet'!$B$9,Paramètres!$A$1:$I$89,5,0)</f>
        <v>-1.0197709343628959E-13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150.79185880109804</v>
      </c>
      <c r="T167" s="62">
        <f t="shared" si="142"/>
        <v>231.70571415193996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0.58289115703334049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1.5953468657135985E-19</v>
      </c>
      <c r="AC167" s="24">
        <f t="shared" si="163"/>
        <v>0.58289115703334049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1.1527845344971866E-13</v>
      </c>
      <c r="AK167" s="14">
        <f t="shared" si="164"/>
        <v>1.7033846239409443E-12</v>
      </c>
      <c r="AL167" s="22">
        <f t="shared" si="165"/>
        <v>3.1675048597887374E-12</v>
      </c>
      <c r="AM167" s="62">
        <f t="shared" si="113"/>
        <v>293.3333333333365</v>
      </c>
      <c r="AN167" s="62">
        <f ca="1">AVERAGE(OFFSET($AM$3,0,0,'Données projet'!$E$10+1,1))-AVERAGE(OFFSET($H$3,0,0,'Données projet'!$E$10+1,1))</f>
        <v>305.55480846093275</v>
      </c>
      <c r="AO167" s="62">
        <f t="shared" si="144"/>
        <v>179.56041631665812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7.3647826683169493E-2</v>
      </c>
      <c r="AW167" s="23">
        <f>EXP(-LN(2)/2)*AW166+(1-EXP(-LN(2)/2))/(LN(2)/2)*AQ167*AT167*VLOOKUP('Données projet'!$B$10,Paramètres!$A$1:$I$89,3,0)*0.475*44/12</f>
        <v>9.5301530093386211E-20</v>
      </c>
      <c r="AX167" s="23">
        <f t="shared" si="166"/>
        <v>7.3647826683169493E-2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40.594438615105105</v>
      </c>
      <c r="BJ167" s="62">
        <f t="shared" si="146"/>
        <v>238.55583229663102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3.2175639800807585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7.1939938375831695E-21</v>
      </c>
      <c r="BS167" s="24">
        <f t="shared" si="169"/>
        <v>3.2175639800807585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41.074766157499596</v>
      </c>
      <c r="CE167" s="62">
        <f t="shared" si="148"/>
        <v>240.92787656206917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3.2471734645600292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7.2601962348615376E-21</v>
      </c>
      <c r="CN167" s="24">
        <f t="shared" si="172"/>
        <v>3.2471734645600292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-1.7053025658242404E-13</v>
      </c>
      <c r="O168" s="14">
        <f>N168*VLOOKUP('Données projet'!$B$9,Paramètres!$A$1:$I$89,3,0)*VLOOKUP('Données projet'!$B$9,Paramètres!$A$1:$I$89,5,0)</f>
        <v>-1.0197709343628959E-13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150.79185880109804</v>
      </c>
      <c r="T168" s="62">
        <f t="shared" si="142"/>
        <v>231.70571415193996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0.57146101697241691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1.1280805870907899E-19</v>
      </c>
      <c r="AC168" s="24">
        <f t="shared" si="163"/>
        <v>0.57146101697241691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1.1527845344971866E-13</v>
      </c>
      <c r="AK168" s="14">
        <f t="shared" si="164"/>
        <v>1.7033846239409443E-12</v>
      </c>
      <c r="AL168" s="22">
        <f t="shared" si="165"/>
        <v>3.1675048597887374E-12</v>
      </c>
      <c r="AM168" s="62">
        <f t="shared" si="113"/>
        <v>293.3333333333365</v>
      </c>
      <c r="AN168" s="62">
        <f ca="1">AVERAGE(OFFSET($AM$3,0,0,'Données projet'!$E$10+1,1))-AVERAGE(OFFSET($H$3,0,0,'Données projet'!$E$10+1,1))</f>
        <v>305.55480846093275</v>
      </c>
      <c r="AO168" s="62">
        <f t="shared" si="144"/>
        <v>179.56041631665812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7.1633922989547336E-2</v>
      </c>
      <c r="AW168" s="23">
        <f>EXP(-LN(2)/2)*AW167+(1-EXP(-LN(2)/2))/(LN(2)/2)*AQ168*AT168*VLOOKUP('Données projet'!$B$10,Paramètres!$A$1:$I$89,3,0)*0.475*44/12</f>
        <v>6.7388358186487217E-20</v>
      </c>
      <c r="AX168" s="23">
        <f t="shared" si="166"/>
        <v>7.1633922989547336E-2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40.594438615105105</v>
      </c>
      <c r="BJ168" s="62">
        <f t="shared" si="146"/>
        <v>238.55583229663102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3.15446951295162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5.0869218263692936E-21</v>
      </c>
      <c r="BS168" s="24">
        <f t="shared" si="169"/>
        <v>3.15446951295162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41.074766157499596</v>
      </c>
      <c r="CE168" s="62">
        <f t="shared" si="148"/>
        <v>240.92787656206917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3.1834983735002544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5.1337339904156335E-21</v>
      </c>
      <c r="CN168" s="24">
        <f t="shared" si="172"/>
        <v>3.1834983735002544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-1.7053025658242404E-13</v>
      </c>
      <c r="O169" s="14">
        <f>N169*VLOOKUP('Données projet'!$B$9,Paramètres!$A$1:$I$89,3,0)*VLOOKUP('Données projet'!$B$9,Paramètres!$A$1:$I$89,5,0)</f>
        <v>-1.0197709343628959E-13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150.79185880109804</v>
      </c>
      <c r="T169" s="62">
        <f t="shared" si="142"/>
        <v>231.70571415193996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0.56025501498639108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7.9767343285679927E-20</v>
      </c>
      <c r="AC169" s="24">
        <f t="shared" si="163"/>
        <v>0.56025501498639108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1.1527845344971866E-13</v>
      </c>
      <c r="AK169" s="14">
        <f t="shared" si="164"/>
        <v>1.7033846239409443E-12</v>
      </c>
      <c r="AL169" s="22">
        <f t="shared" si="165"/>
        <v>3.1675048597887374E-12</v>
      </c>
      <c r="AM169" s="62">
        <f t="shared" si="113"/>
        <v>293.3333333333365</v>
      </c>
      <c r="AN169" s="62">
        <f ca="1">AVERAGE(OFFSET($AM$3,0,0,'Données projet'!$E$10+1,1))-AVERAGE(OFFSET($H$3,0,0,'Données projet'!$E$10+1,1))</f>
        <v>305.55480846093275</v>
      </c>
      <c r="AO169" s="62">
        <f t="shared" si="144"/>
        <v>179.56041631665812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6.9675089598333878E-2</v>
      </c>
      <c r="AW169" s="23">
        <f>EXP(-LN(2)/2)*AW168+(1-EXP(-LN(2)/2))/(LN(2)/2)*AQ169*AT169*VLOOKUP('Données projet'!$B$10,Paramètres!$A$1:$I$89,3,0)*0.475*44/12</f>
        <v>4.7650765046693106E-20</v>
      </c>
      <c r="AX169" s="23">
        <f t="shared" si="166"/>
        <v>6.9675089598333878E-2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40.594438615105105</v>
      </c>
      <c r="BJ169" s="62">
        <f t="shared" si="146"/>
        <v>238.55583229663102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3.0926122898390589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3.5969969187915848E-21</v>
      </c>
      <c r="BS169" s="24">
        <f t="shared" si="169"/>
        <v>3.0926122898390589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41.074766157499596</v>
      </c>
      <c r="CE169" s="62">
        <f t="shared" si="148"/>
        <v>240.92787656206917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3.1210719121381914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3.6300981174307688E-21</v>
      </c>
      <c r="CN169" s="24">
        <f t="shared" si="172"/>
        <v>3.1210719121381914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-1.7053025658242404E-13</v>
      </c>
      <c r="O170" s="14">
        <f>N170*VLOOKUP('Données projet'!$B$9,Paramètres!$A$1:$I$89,3,0)*VLOOKUP('Données projet'!$B$9,Paramètres!$A$1:$I$89,5,0)</f>
        <v>-1.0197709343628959E-13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150.79185880109804</v>
      </c>
      <c r="T170" s="62">
        <f t="shared" si="142"/>
        <v>231.70571415193996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0.54926875586432489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5.6404029354539496E-20</v>
      </c>
      <c r="AC170" s="24">
        <f t="shared" si="163"/>
        <v>0.54926875586432489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1.1527845344971866E-13</v>
      </c>
      <c r="AK170" s="14">
        <f t="shared" si="164"/>
        <v>1.7033846239409443E-12</v>
      </c>
      <c r="AL170" s="22">
        <f t="shared" si="165"/>
        <v>3.1675048597887374E-12</v>
      </c>
      <c r="AM170" s="62">
        <f t="shared" si="113"/>
        <v>293.3333333333365</v>
      </c>
      <c r="AN170" s="62">
        <f ca="1">AVERAGE(OFFSET($AM$3,0,0,'Données projet'!$E$10+1,1))-AVERAGE(OFFSET($H$3,0,0,'Données projet'!$E$10+1,1))</f>
        <v>305.55480846093275</v>
      </c>
      <c r="AO170" s="62">
        <f t="shared" si="144"/>
        <v>179.56041631665812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6.7769820609213716E-2</v>
      </c>
      <c r="AW170" s="23">
        <f>EXP(-LN(2)/2)*AW169+(1-EXP(-LN(2)/2))/(LN(2)/2)*AQ170*AT170*VLOOKUP('Données projet'!$B$10,Paramètres!$A$1:$I$89,3,0)*0.475*44/12</f>
        <v>3.3694179093243609E-20</v>
      </c>
      <c r="AX170" s="23">
        <f t="shared" si="166"/>
        <v>6.7769820609213716E-2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40.594438615105105</v>
      </c>
      <c r="BJ170" s="62">
        <f t="shared" si="146"/>
        <v>238.55583229663102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3.0319680491425545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2.5434609131846468E-21</v>
      </c>
      <c r="BS170" s="24">
        <f t="shared" si="169"/>
        <v>3.0319680491425545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41.074766157499596</v>
      </c>
      <c r="CE170" s="62">
        <f t="shared" si="148"/>
        <v>240.92787656206917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3.0598695956070565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2.5668669952078167E-21</v>
      </c>
      <c r="CN170" s="24">
        <f t="shared" si="172"/>
        <v>3.0598695956070565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-1.7053025658242404E-13</v>
      </c>
      <c r="O171" s="14">
        <f>N171*VLOOKUP('Données projet'!$B$9,Paramètres!$A$1:$I$89,3,0)*VLOOKUP('Données projet'!$B$9,Paramètres!$A$1:$I$89,5,0)</f>
        <v>-1.0197709343628959E-13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150.79185880109804</v>
      </c>
      <c r="T171" s="62">
        <f t="shared" si="142"/>
        <v>231.70571415193996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0.53849793058268602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3.9883671642839964E-20</v>
      </c>
      <c r="AC171" s="24">
        <f t="shared" si="163"/>
        <v>0.53849793058268602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1.1527845344971866E-13</v>
      </c>
      <c r="AK171" s="14">
        <f t="shared" si="164"/>
        <v>1.7033846239409443E-12</v>
      </c>
      <c r="AL171" s="22">
        <f t="shared" si="165"/>
        <v>3.1675048597887374E-12</v>
      </c>
      <c r="AM171" s="62">
        <f t="shared" si="113"/>
        <v>293.3333333333365</v>
      </c>
      <c r="AN171" s="62">
        <f ca="1">AVERAGE(OFFSET($AM$3,0,0,'Données projet'!$E$10+1,1))-AVERAGE(OFFSET($H$3,0,0,'Données projet'!$E$10+1,1))</f>
        <v>305.55480846093275</v>
      </c>
      <c r="AO171" s="62">
        <f t="shared" si="144"/>
        <v>179.56041631665812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6.5916651300794785E-2</v>
      </c>
      <c r="AW171" s="23">
        <f>EXP(-LN(2)/2)*AW170+(1-EXP(-LN(2)/2))/(LN(2)/2)*AQ171*AT171*VLOOKUP('Données projet'!$B$10,Paramètres!$A$1:$I$89,3,0)*0.475*44/12</f>
        <v>2.3825382523346553E-20</v>
      </c>
      <c r="AX171" s="23">
        <f t="shared" si="166"/>
        <v>6.5916651300794785E-2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40.594438615105105</v>
      </c>
      <c r="BJ171" s="62">
        <f t="shared" si="146"/>
        <v>238.55583229663102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2.9725130050167738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1.7984984593957924E-21</v>
      </c>
      <c r="BS171" s="24">
        <f t="shared" si="169"/>
        <v>2.9725130050167738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41.074766157499596</v>
      </c>
      <c r="CE171" s="62">
        <f t="shared" si="148"/>
        <v>240.92787656206917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2.9998674191733699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1.8150490587153844E-21</v>
      </c>
      <c r="CN171" s="24">
        <f t="shared" si="172"/>
        <v>2.9998674191733699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-1.7053025658242404E-13</v>
      </c>
      <c r="O172" s="14">
        <f>N172*VLOOKUP('Données projet'!$B$9,Paramètres!$A$1:$I$89,3,0)*VLOOKUP('Données projet'!$B$9,Paramètres!$A$1:$I$89,5,0)</f>
        <v>-1.0197709343628959E-13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150.79185880109804</v>
      </c>
      <c r="T172" s="62">
        <f t="shared" si="142"/>
        <v>231.70571415193996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0.5279383146152653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2.8202014677269748E-20</v>
      </c>
      <c r="AC172" s="24">
        <f t="shared" si="163"/>
        <v>0.5279383146152653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1.1527845344971866E-13</v>
      </c>
      <c r="AK172" s="14">
        <f t="shared" si="164"/>
        <v>1.7033846239409443E-12</v>
      </c>
      <c r="AL172" s="22">
        <f t="shared" si="165"/>
        <v>3.1675048597887374E-12</v>
      </c>
      <c r="AM172" s="62">
        <f t="shared" si="113"/>
        <v>293.3333333333365</v>
      </c>
      <c r="AN172" s="62">
        <f ca="1">AVERAGE(OFFSET($AM$3,0,0,'Données projet'!$E$10+1,1))-AVERAGE(OFFSET($H$3,0,0,'Données projet'!$E$10+1,1))</f>
        <v>305.55480846093275</v>
      </c>
      <c r="AO172" s="62">
        <f t="shared" si="144"/>
        <v>179.56041631665812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6.4114157004568517E-2</v>
      </c>
      <c r="AW172" s="23">
        <f>EXP(-LN(2)/2)*AW171+(1-EXP(-LN(2)/2))/(LN(2)/2)*AQ172*AT172*VLOOKUP('Données projet'!$B$10,Paramètres!$A$1:$I$89,3,0)*0.475*44/12</f>
        <v>1.6847089546621804E-20</v>
      </c>
      <c r="AX172" s="23">
        <f t="shared" si="166"/>
        <v>6.4114157004568517E-2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40.594438615105105</v>
      </c>
      <c r="BJ172" s="62">
        <f t="shared" si="146"/>
        <v>238.55583229663102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2.9142238380423038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1.2717304565923234E-21</v>
      </c>
      <c r="BS172" s="24">
        <f t="shared" si="169"/>
        <v>2.9142238380423038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41.074766157499596</v>
      </c>
      <c r="CE172" s="62">
        <f t="shared" si="148"/>
        <v>240.92787656206917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2.9410418488218339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1.2834334976039084E-21</v>
      </c>
      <c r="CN172" s="24">
        <f t="shared" si="172"/>
        <v>2.9410418488218339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-1.7053025658242404E-13</v>
      </c>
      <c r="O173" s="14">
        <f>N173*VLOOKUP('Données projet'!$B$9,Paramètres!$A$1:$I$89,3,0)*VLOOKUP('Données projet'!$B$9,Paramètres!$A$1:$I$89,5,0)</f>
        <v>-1.0197709343628959E-13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150.79185880109804</v>
      </c>
      <c r="T173" s="62">
        <f t="shared" si="142"/>
        <v>231.70571415193996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0.51758576627623598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1.9941835821419982E-20</v>
      </c>
      <c r="AC173" s="24">
        <f t="shared" si="163"/>
        <v>0.51758576627623598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1.1527845344971866E-13</v>
      </c>
      <c r="AK173" s="14">
        <f t="shared" si="164"/>
        <v>1.7033846239409443E-12</v>
      </c>
      <c r="AL173" s="22">
        <f t="shared" si="165"/>
        <v>3.1675048597887374E-12</v>
      </c>
      <c r="AM173" s="62">
        <f t="shared" si="113"/>
        <v>293.3333333333365</v>
      </c>
      <c r="AN173" s="62">
        <f ca="1">AVERAGE(OFFSET($AM$3,0,0,'Données projet'!$E$10+1,1))-AVERAGE(OFFSET($H$3,0,0,'Données projet'!$E$10+1,1))</f>
        <v>305.55480846093275</v>
      </c>
      <c r="AO173" s="62">
        <f t="shared" si="144"/>
        <v>179.56041631665812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6.2360952009661609E-2</v>
      </c>
      <c r="AW173" s="23">
        <f>EXP(-LN(2)/2)*AW172+(1-EXP(-LN(2)/2))/(LN(2)/2)*AQ173*AT173*VLOOKUP('Données projet'!$B$10,Paramètres!$A$1:$I$89,3,0)*0.475*44/12</f>
        <v>1.1912691261673276E-20</v>
      </c>
      <c r="AX173" s="23">
        <f t="shared" si="166"/>
        <v>6.2360952009661609E-2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40.594438615105105</v>
      </c>
      <c r="BJ173" s="62">
        <f t="shared" si="146"/>
        <v>238.55583229663102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2.8570776860793217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8.9924922969789619E-22</v>
      </c>
      <c r="BS173" s="24">
        <f t="shared" si="169"/>
        <v>2.8570776860793217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41.074766157499596</v>
      </c>
      <c r="CE173" s="62">
        <f t="shared" si="148"/>
        <v>240.92787656206917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2.8833698120248368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9.075245293576922E-22</v>
      </c>
      <c r="CN173" s="24">
        <f t="shared" si="172"/>
        <v>2.8833698120248368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-1.7053025658242404E-13</v>
      </c>
      <c r="O174" s="14">
        <f>N174*VLOOKUP('Données projet'!$B$9,Paramètres!$A$1:$I$89,3,0)*VLOOKUP('Données projet'!$B$9,Paramètres!$A$1:$I$89,5,0)</f>
        <v>-1.0197709343628959E-13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150.79185880109804</v>
      </c>
      <c r="T174" s="62">
        <f t="shared" si="142"/>
        <v>231.70571415193996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0.50743622509570396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1.4101007338634874E-20</v>
      </c>
      <c r="AC174" s="24">
        <f t="shared" si="163"/>
        <v>0.50743622509570396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1.1527845344971866E-13</v>
      </c>
      <c r="AK174" s="14">
        <f t="shared" si="164"/>
        <v>1.7033846239409443E-12</v>
      </c>
      <c r="AL174" s="22">
        <f t="shared" si="165"/>
        <v>3.1675048597887374E-12</v>
      </c>
      <c r="AM174" s="62">
        <f t="shared" si="113"/>
        <v>293.3333333333365</v>
      </c>
      <c r="AN174" s="62">
        <f ca="1">AVERAGE(OFFSET($AM$3,0,0,'Données projet'!$E$10+1,1))-AVERAGE(OFFSET($H$3,0,0,'Données projet'!$E$10+1,1))</f>
        <v>305.55480846093275</v>
      </c>
      <c r="AO174" s="62">
        <f t="shared" si="144"/>
        <v>179.56041631665812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6.0655688497537476E-2</v>
      </c>
      <c r="AW174" s="23">
        <f>EXP(-LN(2)/2)*AW173+(1-EXP(-LN(2)/2))/(LN(2)/2)*AQ174*AT174*VLOOKUP('Données projet'!$B$10,Paramètres!$A$1:$I$89,3,0)*0.475*44/12</f>
        <v>8.4235447733109022E-21</v>
      </c>
      <c r="AX174" s="23">
        <f t="shared" si="166"/>
        <v>6.0655688497537476E-2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40.594438615105105</v>
      </c>
      <c r="BJ174" s="62">
        <f t="shared" si="146"/>
        <v>238.55583229663102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2.8010521353006226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6.358652282961617E-22</v>
      </c>
      <c r="BS174" s="24">
        <f t="shared" si="169"/>
        <v>2.8010521353006226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41.074766157499596</v>
      </c>
      <c r="CE174" s="62">
        <f t="shared" si="148"/>
        <v>240.92787656206917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2.8268286886929594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6.4171674880195418E-22</v>
      </c>
      <c r="CN174" s="24">
        <f t="shared" si="172"/>
        <v>2.8268286886929594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-1.7053025658242404E-13</v>
      </c>
      <c r="O175" s="14">
        <f>N175*VLOOKUP('Données projet'!$B$9,Paramètres!$A$1:$I$89,3,0)*VLOOKUP('Données projet'!$B$9,Paramètres!$A$1:$I$89,5,0)</f>
        <v>-1.0197709343628959E-13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150.79185880109804</v>
      </c>
      <c r="T175" s="62">
        <f t="shared" si="142"/>
        <v>231.70571415193996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0.49748571022711341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9.9709179107099909E-21</v>
      </c>
      <c r="AC175" s="24">
        <f t="shared" si="163"/>
        <v>0.49748571022711341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1.1527845344971866E-13</v>
      </c>
      <c r="AK175" s="14">
        <f t="shared" si="164"/>
        <v>1.7033846239409443E-12</v>
      </c>
      <c r="AL175" s="22">
        <f t="shared" si="165"/>
        <v>3.1675048597887374E-12</v>
      </c>
      <c r="AM175" s="62">
        <f t="shared" si="113"/>
        <v>293.3333333333365</v>
      </c>
      <c r="AN175" s="62">
        <f ca="1">AVERAGE(OFFSET($AM$3,0,0,'Données projet'!$E$10+1,1))-AVERAGE(OFFSET($H$3,0,0,'Données projet'!$E$10+1,1))</f>
        <v>305.55480846093275</v>
      </c>
      <c r="AO175" s="62">
        <f t="shared" si="144"/>
        <v>179.56041631665812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5.8997055505828289E-2</v>
      </c>
      <c r="AW175" s="23">
        <f>EXP(-LN(2)/2)*AW174+(1-EXP(-LN(2)/2))/(LN(2)/2)*AQ175*AT175*VLOOKUP('Données projet'!$B$10,Paramètres!$A$1:$I$89,3,0)*0.475*44/12</f>
        <v>5.9563456308366382E-21</v>
      </c>
      <c r="AX175" s="23">
        <f t="shared" si="166"/>
        <v>5.8997055505828289E-2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40.594438615105105</v>
      </c>
      <c r="BJ175" s="62">
        <f t="shared" si="146"/>
        <v>238.55583229663102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2.7461252114004822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4.4962461484894809E-22</v>
      </c>
      <c r="BS175" s="24">
        <f t="shared" si="169"/>
        <v>2.7461252114004822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41.074766157499596</v>
      </c>
      <c r="CE175" s="62">
        <f t="shared" si="148"/>
        <v>240.92787656206917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2.7713963023029407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4.537622646788461E-22</v>
      </c>
      <c r="CN175" s="24">
        <f t="shared" si="172"/>
        <v>2.7713963023029407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-1.7053025658242404E-13</v>
      </c>
      <c r="O176" s="14">
        <f>N176*VLOOKUP('Données projet'!$B$9,Paramètres!$A$1:$I$89,3,0)*VLOOKUP('Données projet'!$B$9,Paramètres!$A$1:$I$89,5,0)</f>
        <v>-1.0197709343628959E-13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150.79185880109804</v>
      </c>
      <c r="T176" s="62">
        <f t="shared" si="142"/>
        <v>231.70571415193996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0.48773031888588109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7.050503669317437E-21</v>
      </c>
      <c r="AC176" s="24">
        <f t="shared" si="163"/>
        <v>0.48773031888588109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1.1527845344971866E-13</v>
      </c>
      <c r="AK176" s="14">
        <f t="shared" si="164"/>
        <v>1.7033846239409443E-12</v>
      </c>
      <c r="AL176" s="22">
        <f t="shared" si="165"/>
        <v>3.1675048597887374E-12</v>
      </c>
      <c r="AM176" s="62">
        <f t="shared" si="113"/>
        <v>293.3333333333365</v>
      </c>
      <c r="AN176" s="62">
        <f ca="1">AVERAGE(OFFSET($AM$3,0,0,'Données projet'!$E$10+1,1))-AVERAGE(OFFSET($H$3,0,0,'Données projet'!$E$10+1,1))</f>
        <v>305.55480846093275</v>
      </c>
      <c r="AO176" s="62">
        <f t="shared" si="144"/>
        <v>179.56041631665812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5.7383777920501103E-2</v>
      </c>
      <c r="AW176" s="23">
        <f>EXP(-LN(2)/2)*AW175+(1-EXP(-LN(2)/2))/(LN(2)/2)*AQ176*AT176*VLOOKUP('Données projet'!$B$10,Paramètres!$A$1:$I$89,3,0)*0.475*44/12</f>
        <v>4.2117723866554511E-21</v>
      </c>
      <c r="AX176" s="23">
        <f t="shared" si="166"/>
        <v>5.7383777920501103E-2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40.594438615105105</v>
      </c>
      <c r="BJ176" s="62">
        <f t="shared" si="146"/>
        <v>238.55583229663102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2.6922753709759082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3.1793261414808085E-22</v>
      </c>
      <c r="BS176" s="24">
        <f t="shared" si="169"/>
        <v>2.6922753709759082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41.074766157499596</v>
      </c>
      <c r="CE176" s="62">
        <f t="shared" si="148"/>
        <v>240.92787656206917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2.7170509111996126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3.2085837440097709E-22</v>
      </c>
      <c r="CN176" s="24">
        <f t="shared" si="172"/>
        <v>2.7170509111996126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-1.7053025658242404E-13</v>
      </c>
      <c r="O177" s="14">
        <f>N177*VLOOKUP('Données projet'!$B$9,Paramètres!$A$1:$I$89,3,0)*VLOOKUP('Données projet'!$B$9,Paramètres!$A$1:$I$89,5,0)</f>
        <v>-1.0197709343628959E-13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150.79185880109804</v>
      </c>
      <c r="T177" s="62">
        <f t="shared" si="142"/>
        <v>231.70571415193996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0.47816622481864918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4.9854589553549955E-21</v>
      </c>
      <c r="AC177" s="24">
        <f t="shared" si="163"/>
        <v>0.47816622481864918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1.1527845344971866E-13</v>
      </c>
      <c r="AK177" s="14">
        <f t="shared" si="164"/>
        <v>1.7033846239409443E-12</v>
      </c>
      <c r="AL177" s="22">
        <f t="shared" si="165"/>
        <v>3.1675048597887374E-12</v>
      </c>
      <c r="AM177" s="62">
        <f t="shared" si="113"/>
        <v>293.3333333333365</v>
      </c>
      <c r="AN177" s="62">
        <f ca="1">AVERAGE(OFFSET($AM$3,0,0,'Données projet'!$E$10+1,1))-AVERAGE(OFFSET($H$3,0,0,'Données projet'!$E$10+1,1))</f>
        <v>305.55480846093275</v>
      </c>
      <c r="AO177" s="62">
        <f t="shared" si="144"/>
        <v>179.56041631665812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5.5814615495583274E-2</v>
      </c>
      <c r="AW177" s="23">
        <f>EXP(-LN(2)/2)*AW176+(1-EXP(-LN(2)/2))/(LN(2)/2)*AQ177*AT177*VLOOKUP('Données projet'!$B$10,Paramètres!$A$1:$I$89,3,0)*0.475*44/12</f>
        <v>2.9781728154183191E-21</v>
      </c>
      <c r="AX177" s="23">
        <f t="shared" si="166"/>
        <v>5.5814615495583274E-2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40.594438615105105</v>
      </c>
      <c r="BJ177" s="62">
        <f t="shared" si="146"/>
        <v>238.55583229663102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2.6394814930769006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2.2481230742447405E-22</v>
      </c>
      <c r="BS177" s="24">
        <f t="shared" si="169"/>
        <v>2.6394814930769006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41.074766157499596</v>
      </c>
      <c r="CE177" s="62">
        <f t="shared" si="148"/>
        <v>240.92787656206917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2.6637712000684055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2.2688113233942305E-22</v>
      </c>
      <c r="CN177" s="24">
        <f t="shared" si="172"/>
        <v>2.6637712000684055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-1.7053025658242404E-13</v>
      </c>
      <c r="O178" s="14">
        <f>N178*VLOOKUP('Données projet'!$B$9,Paramètres!$A$1:$I$89,3,0)*VLOOKUP('Données projet'!$B$9,Paramètres!$A$1:$I$89,5,0)</f>
        <v>-1.0197709343628959E-13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150.79185880109804</v>
      </c>
      <c r="T178" s="62">
        <f t="shared" si="142"/>
        <v>231.70571415193996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0.46878967680255429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3.5252518346587185E-21</v>
      </c>
      <c r="AC178" s="24">
        <f t="shared" si="163"/>
        <v>0.46878967680255429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1.1527845344971866E-13</v>
      </c>
      <c r="AK178" s="14">
        <f t="shared" si="164"/>
        <v>1.7033846239409443E-12</v>
      </c>
      <c r="AL178" s="22">
        <f t="shared" si="165"/>
        <v>3.1675048597887374E-12</v>
      </c>
      <c r="AM178" s="62">
        <f t="shared" si="113"/>
        <v>293.3333333333365</v>
      </c>
      <c r="AN178" s="62">
        <f ca="1">AVERAGE(OFFSET($AM$3,0,0,'Données projet'!$E$10+1,1))-AVERAGE(OFFSET($H$3,0,0,'Données projet'!$E$10+1,1))</f>
        <v>305.55480846093275</v>
      </c>
      <c r="AO178" s="62">
        <f t="shared" si="144"/>
        <v>179.56041631665812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5.4288361899693487E-2</v>
      </c>
      <c r="AW178" s="23">
        <f>EXP(-LN(2)/2)*AW177+(1-EXP(-LN(2)/2))/(LN(2)/2)*AQ178*AT178*VLOOKUP('Données projet'!$B$10,Paramètres!$A$1:$I$89,3,0)*0.475*44/12</f>
        <v>2.1058861933277255E-21</v>
      </c>
      <c r="AX178" s="23">
        <f t="shared" si="166"/>
        <v>5.4288361899693487E-2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40.594438615105105</v>
      </c>
      <c r="BJ178" s="62">
        <f t="shared" si="146"/>
        <v>238.55583229663102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2.5877228709224065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1.5896630707404043E-22</v>
      </c>
      <c r="BS178" s="24">
        <f t="shared" si="169"/>
        <v>2.5877228709224065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41.074766157499596</v>
      </c>
      <c r="CE178" s="62">
        <f t="shared" si="148"/>
        <v>240.92787656206917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2.6115362715750665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1.6042918720048855E-22</v>
      </c>
      <c r="CN178" s="24">
        <f t="shared" si="172"/>
        <v>2.6115362715750665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-1.7053025658242404E-13</v>
      </c>
      <c r="O179" s="14">
        <f>N179*VLOOKUP('Données projet'!$B$9,Paramètres!$A$1:$I$89,3,0)*VLOOKUP('Données projet'!$B$9,Paramètres!$A$1:$I$89,5,0)</f>
        <v>-1.0197709343628959E-13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150.79185880109804</v>
      </c>
      <c r="T179" s="62">
        <f t="shared" si="142"/>
        <v>231.70571415193996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0.45959699717392544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2.4927294776774977E-21</v>
      </c>
      <c r="AC179" s="24">
        <f t="shared" si="163"/>
        <v>0.45959699717392544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1.1527845344971866E-13</v>
      </c>
      <c r="AK179" s="14">
        <f t="shared" si="164"/>
        <v>1.7033846239409443E-12</v>
      </c>
      <c r="AL179" s="22">
        <f t="shared" si="165"/>
        <v>3.1675048597887374E-12</v>
      </c>
      <c r="AM179" s="62">
        <f t="shared" si="113"/>
        <v>293.3333333333365</v>
      </c>
      <c r="AN179" s="62">
        <f ca="1">AVERAGE(OFFSET($AM$3,0,0,'Données projet'!$E$10+1,1))-AVERAGE(OFFSET($H$3,0,0,'Données projet'!$E$10+1,1))</f>
        <v>305.55480846093275</v>
      </c>
      <c r="AO179" s="62">
        <f t="shared" si="144"/>
        <v>179.56041631665812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5.2803843788645492E-2</v>
      </c>
      <c r="AW179" s="23">
        <f>EXP(-LN(2)/2)*AW178+(1-EXP(-LN(2)/2))/(LN(2)/2)*AQ179*AT179*VLOOKUP('Données projet'!$B$10,Paramètres!$A$1:$I$89,3,0)*0.475*44/12</f>
        <v>1.4890864077091596E-21</v>
      </c>
      <c r="AX179" s="23">
        <f t="shared" si="166"/>
        <v>5.2803843788645492E-2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40.594438615105105</v>
      </c>
      <c r="BJ179" s="62">
        <f t="shared" si="146"/>
        <v>238.55583229663102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2.5369792037787198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1.1240615371223702E-22</v>
      </c>
      <c r="BS179" s="24">
        <f t="shared" si="169"/>
        <v>2.5369792037787198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41.074766157499596</v>
      </c>
      <c r="CE179" s="62">
        <f t="shared" si="148"/>
        <v>240.92787656206917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2.5603256381693211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1.1344056616971153E-22</v>
      </c>
      <c r="CN179" s="24">
        <f t="shared" si="172"/>
        <v>2.5603256381693211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-1.7053025658242404E-13</v>
      </c>
      <c r="O180" s="14">
        <f>N180*VLOOKUP('Données projet'!$B$9,Paramètres!$A$1:$I$89,3,0)*VLOOKUP('Données projet'!$B$9,Paramètres!$A$1:$I$89,5,0)</f>
        <v>-1.0197709343628959E-13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150.79185880109804</v>
      </c>
      <c r="T180" s="62">
        <f t="shared" si="142"/>
        <v>231.70571415193996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0.4505845803858331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1.7626259173293592E-21</v>
      </c>
      <c r="AC180" s="24">
        <f t="shared" si="163"/>
        <v>0.4505845803858331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1.1527845344971866E-13</v>
      </c>
      <c r="AK180" s="14">
        <f t="shared" si="164"/>
        <v>1.7033846239409443E-12</v>
      </c>
      <c r="AL180" s="22">
        <f t="shared" si="165"/>
        <v>3.1675048597887374E-12</v>
      </c>
      <c r="AM180" s="62">
        <f t="shared" si="113"/>
        <v>293.3333333333365</v>
      </c>
      <c r="AN180" s="62">
        <f ca="1">AVERAGE(OFFSET($AM$3,0,0,'Données projet'!$E$10+1,1))-AVERAGE(OFFSET($H$3,0,0,'Données projet'!$E$10+1,1))</f>
        <v>305.55480846093275</v>
      </c>
      <c r="AO180" s="62">
        <f t="shared" si="144"/>
        <v>179.56041631665812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5.1359919903411523E-2</v>
      </c>
      <c r="AW180" s="23">
        <f>EXP(-LN(2)/2)*AW179+(1-EXP(-LN(2)/2))/(LN(2)/2)*AQ180*AT180*VLOOKUP('Données projet'!$B$10,Paramètres!$A$1:$I$89,3,0)*0.475*44/12</f>
        <v>1.0529430966638628E-21</v>
      </c>
      <c r="AX180" s="23">
        <f t="shared" si="166"/>
        <v>5.1359919903411523E-2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40.594438615105105</v>
      </c>
      <c r="BJ180" s="62">
        <f t="shared" si="146"/>
        <v>238.55583229663102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2.4872305889971398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7.9483153537020213E-23</v>
      </c>
      <c r="BS180" s="24">
        <f t="shared" si="169"/>
        <v>2.4872305889971398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41.074766157499596</v>
      </c>
      <c r="CE180" s="62">
        <f t="shared" si="148"/>
        <v>240.92787656206917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2.5101192140492605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8.0214593600244273E-23</v>
      </c>
      <c r="CN180" s="24">
        <f t="shared" si="172"/>
        <v>2.5101192140492605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-1.7053025658242404E-13</v>
      </c>
      <c r="O181" s="14">
        <f>N181*VLOOKUP('Données projet'!$B$9,Paramètres!$A$1:$I$89,3,0)*VLOOKUP('Données projet'!$B$9,Paramètres!$A$1:$I$89,5,0)</f>
        <v>-1.0197709343628959E-13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150.79185880109804</v>
      </c>
      <c r="T181" s="62">
        <f t="shared" si="142"/>
        <v>231.70571415193996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0.44174889159392378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1.2463647388387489E-21</v>
      </c>
      <c r="AC181" s="24">
        <f t="shared" si="163"/>
        <v>0.44174889159392378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1.1527845344971866E-13</v>
      </c>
      <c r="AK181" s="14">
        <f t="shared" si="164"/>
        <v>1.7033846239409443E-12</v>
      </c>
      <c r="AL181" s="22">
        <f t="shared" si="165"/>
        <v>3.1675048597887374E-12</v>
      </c>
      <c r="AM181" s="62">
        <f t="shared" si="113"/>
        <v>293.3333333333365</v>
      </c>
      <c r="AN181" s="62">
        <f ca="1">AVERAGE(OFFSET($AM$3,0,0,'Données projet'!$E$10+1,1))-AVERAGE(OFFSET($H$3,0,0,'Données projet'!$E$10+1,1))</f>
        <v>305.55480846093275</v>
      </c>
      <c r="AO181" s="62">
        <f t="shared" si="144"/>
        <v>179.56041631665812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4.9955480192751929E-2</v>
      </c>
      <c r="AW181" s="23">
        <f>EXP(-LN(2)/2)*AW180+(1-EXP(-LN(2)/2))/(LN(2)/2)*AQ181*AT181*VLOOKUP('Données projet'!$B$10,Paramètres!$A$1:$I$89,3,0)*0.475*44/12</f>
        <v>7.4454320385457978E-22</v>
      </c>
      <c r="AX181" s="23">
        <f t="shared" si="166"/>
        <v>4.9955480192751929E-2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40.594438615105105</v>
      </c>
      <c r="BJ181" s="62">
        <f t="shared" si="146"/>
        <v>238.55583229663102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2.438457514207768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5.6203076856118512E-23</v>
      </c>
      <c r="BS181" s="24">
        <f t="shared" si="169"/>
        <v>2.438457514207768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41.074766157499596</v>
      </c>
      <c r="CE181" s="62">
        <f t="shared" si="148"/>
        <v>240.92787656206917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2.4608973072832994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5.6720283084855763E-23</v>
      </c>
      <c r="CN181" s="24">
        <f t="shared" si="172"/>
        <v>2.4608973072832994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-1.7053025658242404E-13</v>
      </c>
      <c r="O182" s="14">
        <f>N182*VLOOKUP('Données projet'!$B$9,Paramètres!$A$1:$I$89,3,0)*VLOOKUP('Données projet'!$B$9,Paramètres!$A$1:$I$89,5,0)</f>
        <v>-1.0197709343628959E-13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150.79185880109804</v>
      </c>
      <c r="T182" s="62">
        <f t="shared" si="142"/>
        <v>231.70571415193996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0.43308646526998579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8.8131295866467962E-22</v>
      </c>
      <c r="AC182" s="24">
        <f t="shared" si="163"/>
        <v>0.43308646526998579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1.1527845344971866E-13</v>
      </c>
      <c r="AK182" s="14">
        <f t="shared" si="164"/>
        <v>1.7033846239409443E-12</v>
      </c>
      <c r="AL182" s="22">
        <f t="shared" si="165"/>
        <v>3.1675048597887374E-12</v>
      </c>
      <c r="AM182" s="62">
        <f t="shared" si="113"/>
        <v>293.3333333333365</v>
      </c>
      <c r="AN182" s="62">
        <f ca="1">AVERAGE(OFFSET($AM$3,0,0,'Données projet'!$E$10+1,1))-AVERAGE(OFFSET($H$3,0,0,'Données projet'!$E$10+1,1))</f>
        <v>305.55480846093275</v>
      </c>
      <c r="AO182" s="62">
        <f t="shared" si="144"/>
        <v>179.56041631665812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4.8589444959836602E-2</v>
      </c>
      <c r="AW182" s="23">
        <f>EXP(-LN(2)/2)*AW181+(1-EXP(-LN(2)/2))/(LN(2)/2)*AQ182*AT182*VLOOKUP('Données projet'!$B$10,Paramètres!$A$1:$I$89,3,0)*0.475*44/12</f>
        <v>5.2647154833193139E-22</v>
      </c>
      <c r="AX182" s="23">
        <f t="shared" si="166"/>
        <v>4.8589444959836602E-2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40.594438615105105</v>
      </c>
      <c r="BJ182" s="62">
        <f t="shared" si="146"/>
        <v>238.55583229663102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2.3906408496663776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3.9741576768510107E-23</v>
      </c>
      <c r="BS182" s="24">
        <f t="shared" si="169"/>
        <v>2.3906408496663776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41.074766157499596</v>
      </c>
      <c r="CE182" s="62">
        <f t="shared" si="148"/>
        <v>240.92787656206917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2.4126406120866197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4.0107296800122137E-23</v>
      </c>
      <c r="CN182" s="24">
        <f t="shared" si="172"/>
        <v>2.4126406120866197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-1.7053025658242404E-13</v>
      </c>
      <c r="O183" s="14">
        <f>N183*VLOOKUP('Données projet'!$B$9,Paramètres!$A$1:$I$89,3,0)*VLOOKUP('Données projet'!$B$9,Paramètres!$A$1:$I$89,5,0)</f>
        <v>-1.0197709343628959E-13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150.79185880109804</v>
      </c>
      <c r="T183" s="62">
        <f t="shared" si="142"/>
        <v>231.70571415193996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0.4245939038427019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6.2318236941937443E-22</v>
      </c>
      <c r="AC183" s="24">
        <f t="shared" si="163"/>
        <v>0.4245939038427019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1.1527845344971866E-13</v>
      </c>
      <c r="AK183" s="14">
        <f t="shared" si="164"/>
        <v>1.7033846239409443E-12</v>
      </c>
      <c r="AL183" s="22">
        <f t="shared" si="165"/>
        <v>3.1675048597887374E-12</v>
      </c>
      <c r="AM183" s="62">
        <f t="shared" si="113"/>
        <v>293.3333333333365</v>
      </c>
      <c r="AN183" s="62">
        <f ca="1">AVERAGE(OFFSET($AM$3,0,0,'Données projet'!$E$10+1,1))-AVERAGE(OFFSET($H$3,0,0,'Données projet'!$E$10+1,1))</f>
        <v>305.55480846093275</v>
      </c>
      <c r="AO183" s="62">
        <f t="shared" si="144"/>
        <v>179.56041631665812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4.7260764032202009E-2</v>
      </c>
      <c r="AW183" s="23">
        <f>EXP(-LN(2)/2)*AW182+(1-EXP(-LN(2)/2))/(LN(2)/2)*AQ183*AT183*VLOOKUP('Données projet'!$B$10,Paramètres!$A$1:$I$89,3,0)*0.475*44/12</f>
        <v>3.7227160192728989E-22</v>
      </c>
      <c r="AX183" s="23">
        <f t="shared" si="166"/>
        <v>4.7260764032202009E-2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40.594438615105105</v>
      </c>
      <c r="BJ183" s="62">
        <f t="shared" si="146"/>
        <v>238.55583229663102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2.3437618407513581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2.8101538428059256E-23</v>
      </c>
      <c r="BS183" s="24">
        <f t="shared" si="169"/>
        <v>2.3437618407513581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41.074766157499596</v>
      </c>
      <c r="CE183" s="62">
        <f t="shared" si="148"/>
        <v>240.92787656206917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2.3653302012490696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2.8360141542427881E-23</v>
      </c>
      <c r="CN183" s="24">
        <f t="shared" si="172"/>
        <v>2.3653302012490696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-1.7053025658242404E-13</v>
      </c>
      <c r="O184" s="14">
        <f>N184*VLOOKUP('Données projet'!$B$9,Paramètres!$A$1:$I$89,3,0)*VLOOKUP('Données projet'!$B$9,Paramètres!$A$1:$I$89,5,0)</f>
        <v>-1.0197709343628959E-13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150.79185880109804</v>
      </c>
      <c r="T184" s="62">
        <f t="shared" si="142"/>
        <v>231.70571415193996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0.41626787636505602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4.4065647933233981E-22</v>
      </c>
      <c r="AC184" s="24">
        <f t="shared" si="163"/>
        <v>0.41626787636505602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1.1527845344971866E-13</v>
      </c>
      <c r="AK184" s="14">
        <f t="shared" si="164"/>
        <v>1.7033846239409443E-12</v>
      </c>
      <c r="AL184" s="22">
        <f t="shared" si="165"/>
        <v>3.1675048597887374E-12</v>
      </c>
      <c r="AM184" s="62">
        <f t="shared" si="113"/>
        <v>293.3333333333365</v>
      </c>
      <c r="AN184" s="62">
        <f ca="1">AVERAGE(OFFSET($AM$3,0,0,'Données projet'!$E$10+1,1))-AVERAGE(OFFSET($H$3,0,0,'Données projet'!$E$10+1,1))</f>
        <v>305.55480846093275</v>
      </c>
      <c r="AO184" s="62">
        <f t="shared" si="144"/>
        <v>179.56041631665812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4.5968415954405879E-2</v>
      </c>
      <c r="AW184" s="23">
        <f>EXP(-LN(2)/2)*AW183+(1-EXP(-LN(2)/2))/(LN(2)/2)*AQ184*AT184*VLOOKUP('Données projet'!$B$10,Paramètres!$A$1:$I$89,3,0)*0.475*44/12</f>
        <v>2.6323577416596569E-22</v>
      </c>
      <c r="AX184" s="23">
        <f t="shared" si="166"/>
        <v>4.5968415954405879E-2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40.594438615105105</v>
      </c>
      <c r="BJ184" s="62">
        <f t="shared" si="146"/>
        <v>238.55583229663102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2.29780210060779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1.9870788384255053E-23</v>
      </c>
      <c r="BS184" s="24">
        <f t="shared" si="169"/>
        <v>2.29780210060779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41.074766157499596</v>
      </c>
      <c r="CE184" s="62">
        <f t="shared" si="148"/>
        <v>240.92787656206917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2.3189475187115423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2.0053648400061068E-23</v>
      </c>
      <c r="CN184" s="24">
        <f t="shared" si="172"/>
        <v>2.3189475187115423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-1.7053025658242404E-13</v>
      </c>
      <c r="O185" s="14">
        <f>N185*VLOOKUP('Données projet'!$B$9,Paramètres!$A$1:$I$89,3,0)*VLOOKUP('Données projet'!$B$9,Paramètres!$A$1:$I$89,5,0)</f>
        <v>-1.0197709343628959E-13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150.79185880109804</v>
      </c>
      <c r="T185" s="62">
        <f t="shared" si="142"/>
        <v>231.70571415193996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0.40810511720787146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3.1159118470968722E-22</v>
      </c>
      <c r="AC185" s="24">
        <f t="shared" si="163"/>
        <v>0.40810511720787146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1.1527845344971866E-13</v>
      </c>
      <c r="AK185" s="14">
        <f t="shared" si="164"/>
        <v>1.7033846239409443E-12</v>
      </c>
      <c r="AL185" s="22">
        <f t="shared" si="165"/>
        <v>3.1675048597887374E-12</v>
      </c>
      <c r="AM185" s="62">
        <f t="shared" si="113"/>
        <v>293.3333333333365</v>
      </c>
      <c r="AN185" s="62">
        <f ca="1">AVERAGE(OFFSET($AM$3,0,0,'Données projet'!$E$10+1,1))-AVERAGE(OFFSET($H$3,0,0,'Données projet'!$E$10+1,1))</f>
        <v>305.55480846093275</v>
      </c>
      <c r="AO185" s="62">
        <f t="shared" si="144"/>
        <v>179.56041631665812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4.4711407202758721E-2</v>
      </c>
      <c r="AW185" s="23">
        <f>EXP(-LN(2)/2)*AW184+(1-EXP(-LN(2)/2))/(LN(2)/2)*AQ185*AT185*VLOOKUP('Données projet'!$B$10,Paramètres!$A$1:$I$89,3,0)*0.475*44/12</f>
        <v>1.8613580096364494E-22</v>
      </c>
      <c r="AX185" s="23">
        <f t="shared" si="166"/>
        <v>4.4711407202758721E-2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40.594438615105105</v>
      </c>
      <c r="BJ185" s="62">
        <f t="shared" si="146"/>
        <v>238.55583229663102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2.2527436029357637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1.4050769214029628E-23</v>
      </c>
      <c r="BS185" s="24">
        <f t="shared" si="169"/>
        <v>2.2527436029357637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41.074766157499596</v>
      </c>
      <c r="CE185" s="62">
        <f t="shared" si="148"/>
        <v>240.92787656206917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2.2734743722879331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1.4180070771213941E-23</v>
      </c>
      <c r="CN185" s="24">
        <f t="shared" si="172"/>
        <v>2.2734743722879331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-1.7053025658242404E-13</v>
      </c>
      <c r="O186" s="14">
        <f>N186*VLOOKUP('Données projet'!$B$9,Paramètres!$A$1:$I$89,3,0)*VLOOKUP('Données projet'!$B$9,Paramètres!$A$1:$I$89,5,0)</f>
        <v>-1.0197709343628959E-13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150.79185880109804</v>
      </c>
      <c r="T186" s="62">
        <f t="shared" si="142"/>
        <v>231.70571415193996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0.40010242477896785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2.2032823966616991E-22</v>
      </c>
      <c r="AC186" s="24">
        <f t="shared" si="163"/>
        <v>0.40010242477896785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1.1527845344971866E-13</v>
      </c>
      <c r="AK186" s="14">
        <f t="shared" si="164"/>
        <v>1.7033846239409443E-12</v>
      </c>
      <c r="AL186" s="22">
        <f t="shared" si="165"/>
        <v>3.1675048597887374E-12</v>
      </c>
      <c r="AM186" s="62">
        <f t="shared" si="113"/>
        <v>293.3333333333365</v>
      </c>
      <c r="AN186" s="62">
        <f ca="1">AVERAGE(OFFSET($AM$3,0,0,'Données projet'!$E$10+1,1))-AVERAGE(OFFSET($H$3,0,0,'Données projet'!$E$10+1,1))</f>
        <v>305.55480846093275</v>
      </c>
      <c r="AO186" s="62">
        <f t="shared" si="144"/>
        <v>179.56041631665812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4.3488771421528571E-2</v>
      </c>
      <c r="AW186" s="23">
        <f>EXP(-LN(2)/2)*AW185+(1-EXP(-LN(2)/2))/(LN(2)/2)*AQ186*AT186*VLOOKUP('Données projet'!$B$10,Paramètres!$A$1:$I$89,3,0)*0.475*44/12</f>
        <v>1.3161788708298285E-22</v>
      </c>
      <c r="AX186" s="23">
        <f t="shared" si="166"/>
        <v>4.3488771421528571E-2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40.594438615105105</v>
      </c>
      <c r="BJ186" s="62">
        <f t="shared" si="146"/>
        <v>238.55583229663102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2.2085686749201163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9.9353941921275266E-24</v>
      </c>
      <c r="BS186" s="24">
        <f t="shared" si="169"/>
        <v>2.2085686749201163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41.074766157499596</v>
      </c>
      <c r="CE186" s="62">
        <f t="shared" si="148"/>
        <v>240.92787656206917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2.2288929265298103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1.0026824200030534E-23</v>
      </c>
      <c r="CN186" s="24">
        <f t="shared" si="172"/>
        <v>2.2288929265298103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-1.7053025658242404E-13</v>
      </c>
      <c r="O187" s="14">
        <f>N187*VLOOKUP('Données projet'!$B$9,Paramètres!$A$1:$I$89,3,0)*VLOOKUP('Données projet'!$B$9,Paramètres!$A$1:$I$89,5,0)</f>
        <v>-1.0197709343628959E-13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150.79185880109804</v>
      </c>
      <c r="T187" s="62">
        <f t="shared" si="142"/>
        <v>231.70571415193996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0.39225666026743461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1.5579559235484361E-22</v>
      </c>
      <c r="AC187" s="24">
        <f t="shared" si="163"/>
        <v>0.39225666026743461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1.1527845344971866E-13</v>
      </c>
      <c r="AK187" s="14">
        <f t="shared" si="164"/>
        <v>1.7033846239409443E-12</v>
      </c>
      <c r="AL187" s="22">
        <f t="shared" si="165"/>
        <v>3.1675048597887374E-12</v>
      </c>
      <c r="AM187" s="62">
        <f t="shared" si="113"/>
        <v>293.3333333333365</v>
      </c>
      <c r="AN187" s="62">
        <f ca="1">AVERAGE(OFFSET($AM$3,0,0,'Données projet'!$E$10+1,1))-AVERAGE(OFFSET($H$3,0,0,'Données projet'!$E$10+1,1))</f>
        <v>305.55480846093275</v>
      </c>
      <c r="AO187" s="62">
        <f t="shared" si="144"/>
        <v>179.56041631665812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4.2299568680031777E-2</v>
      </c>
      <c r="AW187" s="23">
        <f>EXP(-LN(2)/2)*AW186+(1-EXP(-LN(2)/2))/(LN(2)/2)*AQ187*AT187*VLOOKUP('Données projet'!$B$10,Paramètres!$A$1:$I$89,3,0)*0.475*44/12</f>
        <v>9.3067900481822472E-23</v>
      </c>
      <c r="AX187" s="23">
        <f t="shared" si="166"/>
        <v>4.2299568680031777E-2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40.594438615105105</v>
      </c>
      <c r="BJ187" s="62">
        <f t="shared" si="146"/>
        <v>238.55583229663102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2.1652599902988099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7.025384607014814E-24</v>
      </c>
      <c r="BS187" s="24">
        <f t="shared" si="169"/>
        <v>2.1652599902988099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41.074766157499596</v>
      </c>
      <c r="CE187" s="62">
        <f t="shared" si="148"/>
        <v>240.92787656206917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2.1851856957310072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7.0900353856069703E-24</v>
      </c>
      <c r="CN187" s="24">
        <f t="shared" si="172"/>
        <v>2.1851856957310072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-1.7053025658242404E-13</v>
      </c>
      <c r="O188" s="14">
        <f>N188*VLOOKUP('Données projet'!$B$9,Paramètres!$A$1:$I$89,3,0)*VLOOKUP('Données projet'!$B$9,Paramètres!$A$1:$I$89,5,0)</f>
        <v>-1.0197709343628959E-13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150.79185880109804</v>
      </c>
      <c r="T188" s="62">
        <f t="shared" si="142"/>
        <v>231.70571415193996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0.38456474641252869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1.1016411983308495E-22</v>
      </c>
      <c r="AC188" s="24">
        <f t="shared" si="163"/>
        <v>0.38456474641252869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1.1527845344971866E-13</v>
      </c>
      <c r="AK188" s="14">
        <f t="shared" si="164"/>
        <v>1.7033846239409443E-12</v>
      </c>
      <c r="AL188" s="22">
        <f t="shared" si="165"/>
        <v>3.1675048597887374E-12</v>
      </c>
      <c r="AM188" s="62">
        <f t="shared" si="113"/>
        <v>293.3333333333365</v>
      </c>
      <c r="AN188" s="62">
        <f ca="1">AVERAGE(OFFSET($AM$3,0,0,'Données projet'!$E$10+1,1))-AVERAGE(OFFSET($H$3,0,0,'Données projet'!$E$10+1,1))</f>
        <v>305.55480846093275</v>
      </c>
      <c r="AO188" s="62">
        <f t="shared" si="144"/>
        <v>179.56041631665812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4.1142884750038668E-2</v>
      </c>
      <c r="AW188" s="23">
        <f>EXP(-LN(2)/2)*AW187+(1-EXP(-LN(2)/2))/(LN(2)/2)*AQ188*AT188*VLOOKUP('Données projet'!$B$10,Paramètres!$A$1:$I$89,3,0)*0.475*44/12</f>
        <v>6.5808943541491423E-23</v>
      </c>
      <c r="AX188" s="23">
        <f t="shared" si="166"/>
        <v>4.1142884750038668E-2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40.594438615105105</v>
      </c>
      <c r="BJ188" s="62">
        <f t="shared" si="146"/>
        <v>238.55583229663102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2.1228005625672384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4.9676970960637633E-24</v>
      </c>
      <c r="BS188" s="24">
        <f t="shared" si="169"/>
        <v>2.1228005625672384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41.074766157499596</v>
      </c>
      <c r="CE188" s="62">
        <f t="shared" si="148"/>
        <v>240.92787656206917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2.1423355370693904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5.0134121000152671E-24</v>
      </c>
      <c r="CN188" s="24">
        <f t="shared" si="172"/>
        <v>2.1423355370693904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-1.7053025658242404E-13</v>
      </c>
      <c r="O189" s="14">
        <f>N189*VLOOKUP('Données projet'!$B$9,Paramètres!$A$1:$I$89,3,0)*VLOOKUP('Données projet'!$B$9,Paramètres!$A$1:$I$89,5,0)</f>
        <v>-1.0197709343628959E-13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150.79185880109804</v>
      </c>
      <c r="T189" s="62">
        <f t="shared" si="142"/>
        <v>231.70571415193996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0.3770236662967133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7.7897796177421804E-23</v>
      </c>
      <c r="AC189" s="24">
        <f t="shared" si="163"/>
        <v>0.3770236662967133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1.1527845344971866E-13</v>
      </c>
      <c r="AK189" s="14">
        <f t="shared" si="164"/>
        <v>1.7033846239409443E-12</v>
      </c>
      <c r="AL189" s="22">
        <f t="shared" si="165"/>
        <v>3.1675048597887374E-12</v>
      </c>
      <c r="AM189" s="62">
        <f t="shared" si="113"/>
        <v>293.3333333333365</v>
      </c>
      <c r="AN189" s="62">
        <f ca="1">AVERAGE(OFFSET($AM$3,0,0,'Données projet'!$E$10+1,1))-AVERAGE(OFFSET($H$3,0,0,'Données projet'!$E$10+1,1))</f>
        <v>305.55480846093275</v>
      </c>
      <c r="AO189" s="62">
        <f t="shared" si="144"/>
        <v>179.56041631665812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4.0017830402938583E-2</v>
      </c>
      <c r="AW189" s="23">
        <f>EXP(-LN(2)/2)*AW188+(1-EXP(-LN(2)/2))/(LN(2)/2)*AQ189*AT189*VLOOKUP('Données projet'!$B$10,Paramètres!$A$1:$I$89,3,0)*0.475*44/12</f>
        <v>4.6533950240911236E-23</v>
      </c>
      <c r="AX189" s="23">
        <f t="shared" si="166"/>
        <v>4.0017830402938583E-2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40.594438615105105</v>
      </c>
      <c r="BJ189" s="62">
        <f t="shared" si="146"/>
        <v>238.55583229663102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2.0811737383157891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3.512692303507407E-24</v>
      </c>
      <c r="BS189" s="24">
        <f t="shared" si="169"/>
        <v>2.0811737383157891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41.074766157499596</v>
      </c>
      <c r="CE189" s="62">
        <f t="shared" si="148"/>
        <v>240.92787656206917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2.1003256438831119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3.5450176928034852E-24</v>
      </c>
      <c r="CN189" s="24">
        <f t="shared" si="172"/>
        <v>2.1003256438831119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-1.7053025658242404E-13</v>
      </c>
      <c r="O190" s="14">
        <f>N190*VLOOKUP('Données projet'!$B$9,Paramètres!$A$1:$I$89,3,0)*VLOOKUP('Données projet'!$B$9,Paramètres!$A$1:$I$89,5,0)</f>
        <v>-1.0197709343628959E-13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150.79185880109804</v>
      </c>
      <c r="T190" s="62">
        <f t="shared" si="142"/>
        <v>231.70571415193996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0.36963046216236434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5.5082059916542476E-23</v>
      </c>
      <c r="AC190" s="24">
        <f t="shared" si="163"/>
        <v>0.36963046216236434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1.1527845344971866E-13</v>
      </c>
      <c r="AK190" s="14">
        <f t="shared" si="164"/>
        <v>1.7033846239409443E-12</v>
      </c>
      <c r="AL190" s="22">
        <f t="shared" si="165"/>
        <v>3.1675048597887374E-12</v>
      </c>
      <c r="AM190" s="62">
        <f t="shared" si="113"/>
        <v>293.3333333333365</v>
      </c>
      <c r="AN190" s="62">
        <f ca="1">AVERAGE(OFFSET($AM$3,0,0,'Données projet'!$E$10+1,1))-AVERAGE(OFFSET($H$3,0,0,'Données projet'!$E$10+1,1))</f>
        <v>305.55480846093275</v>
      </c>
      <c r="AO190" s="62">
        <f t="shared" si="144"/>
        <v>179.56041631665812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3.8923540726123987E-2</v>
      </c>
      <c r="AW190" s="23">
        <f>EXP(-LN(2)/2)*AW189+(1-EXP(-LN(2)/2))/(LN(2)/2)*AQ190*AT190*VLOOKUP('Données projet'!$B$10,Paramètres!$A$1:$I$89,3,0)*0.475*44/12</f>
        <v>3.2904471770745712E-23</v>
      </c>
      <c r="AX190" s="23">
        <f t="shared" si="166"/>
        <v>3.8923540726123987E-2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40.594438615105105</v>
      </c>
      <c r="BJ190" s="62">
        <f t="shared" si="146"/>
        <v>238.55583229663102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2.0403631906980548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2.4838485480318817E-24</v>
      </c>
      <c r="BS190" s="24">
        <f t="shared" si="169"/>
        <v>2.0403631906980548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41.074766157499596</v>
      </c>
      <c r="CE190" s="62">
        <f t="shared" si="148"/>
        <v>240.92787656206917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2.0591395390787115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2.5067060500076335E-24</v>
      </c>
      <c r="CN190" s="24">
        <f t="shared" si="172"/>
        <v>2.0591395390787115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-1.7053025658242404E-13</v>
      </c>
      <c r="O191" s="14">
        <f>N191*VLOOKUP('Données projet'!$B$9,Paramètres!$A$1:$I$89,3,0)*VLOOKUP('Données projet'!$B$9,Paramètres!$A$1:$I$89,5,0)</f>
        <v>-1.0197709343628959E-13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150.79185880109804</v>
      </c>
      <c r="T191" s="62">
        <f t="shared" si="142"/>
        <v>231.70571415193996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0.3623822342516807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3.8948898088710902E-23</v>
      </c>
      <c r="AC191" s="24">
        <f t="shared" si="163"/>
        <v>0.3623822342516807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1.1527845344971866E-13</v>
      </c>
      <c r="AK191" s="14">
        <f t="shared" si="164"/>
        <v>1.7033846239409443E-12</v>
      </c>
      <c r="AL191" s="22">
        <f t="shared" si="165"/>
        <v>3.1675048597887374E-12</v>
      </c>
      <c r="AM191" s="62">
        <f t="shared" si="113"/>
        <v>293.3333333333365</v>
      </c>
      <c r="AN191" s="62">
        <f ca="1">AVERAGE(OFFSET($AM$3,0,0,'Données projet'!$E$10+1,1))-AVERAGE(OFFSET($H$3,0,0,'Données projet'!$E$10+1,1))</f>
        <v>305.55480846093275</v>
      </c>
      <c r="AO191" s="62">
        <f t="shared" si="144"/>
        <v>179.56041631665812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3.7859174458068079E-2</v>
      </c>
      <c r="AW191" s="23">
        <f>EXP(-LN(2)/2)*AW190+(1-EXP(-LN(2)/2))/(LN(2)/2)*AQ191*AT191*VLOOKUP('Données projet'!$B$10,Paramètres!$A$1:$I$89,3,0)*0.475*44/12</f>
        <v>2.3266975120455618E-23</v>
      </c>
      <c r="AX191" s="23">
        <f t="shared" si="166"/>
        <v>3.7859174458068079E-2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40.594438615105105</v>
      </c>
      <c r="BJ191" s="62">
        <f t="shared" si="146"/>
        <v>238.55583229663102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2.0003529130271285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1.7563461517537035E-24</v>
      </c>
      <c r="BS191" s="24">
        <f t="shared" si="169"/>
        <v>2.0003529130271285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41.074766157499596</v>
      </c>
      <c r="CE191" s="62">
        <f t="shared" si="148"/>
        <v>240.92787656206917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2.018761068668482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1.7725088464017426E-24</v>
      </c>
      <c r="CN191" s="24">
        <f t="shared" si="172"/>
        <v>2.018761068668482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-1.7053025658242404E-13</v>
      </c>
      <c r="O192" s="14">
        <f>N192*VLOOKUP('Données projet'!$B$9,Paramètres!$A$1:$I$89,3,0)*VLOOKUP('Données projet'!$B$9,Paramètres!$A$1:$I$89,5,0)</f>
        <v>-1.0197709343628959E-13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150.79185880109804</v>
      </c>
      <c r="T192" s="62">
        <f t="shared" si="142"/>
        <v>231.70571415193996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0.35527613966934313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2.7541029958271238E-23</v>
      </c>
      <c r="AC192" s="24">
        <f t="shared" si="163"/>
        <v>0.35527613966934313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1.1527845344971866E-13</v>
      </c>
      <c r="AK192" s="14">
        <f t="shared" si="164"/>
        <v>1.7033846239409443E-12</v>
      </c>
      <c r="AL192" s="22">
        <f t="shared" si="165"/>
        <v>3.1675048597887374E-12</v>
      </c>
      <c r="AM192" s="62">
        <f t="shared" si="113"/>
        <v>293.3333333333365</v>
      </c>
      <c r="AN192" s="62">
        <f ca="1">AVERAGE(OFFSET($AM$3,0,0,'Données projet'!$E$10+1,1))-AVERAGE(OFFSET($H$3,0,0,'Données projet'!$E$10+1,1))</f>
        <v>305.55480846093275</v>
      </c>
      <c r="AO192" s="62">
        <f t="shared" si="144"/>
        <v>179.56041631665812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3.6823913341584753E-2</v>
      </c>
      <c r="AW192" s="23">
        <f>EXP(-LN(2)/2)*AW191+(1-EXP(-LN(2)/2))/(LN(2)/2)*AQ192*AT192*VLOOKUP('Données projet'!$B$10,Paramètres!$A$1:$I$89,3,0)*0.475*44/12</f>
        <v>1.6452235885372856E-23</v>
      </c>
      <c r="AX192" s="23">
        <f t="shared" si="166"/>
        <v>3.6823913341584753E-2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40.594438615105105</v>
      </c>
      <c r="BJ192" s="62">
        <f t="shared" si="146"/>
        <v>238.55583229663102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1.961127212497469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1.2419242740159408E-24</v>
      </c>
      <c r="BS192" s="24">
        <f t="shared" si="169"/>
        <v>1.961127212497469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41.074766157499596</v>
      </c>
      <c r="CE192" s="62">
        <f t="shared" si="148"/>
        <v>240.92787656206917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1.979174395434562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1.2533530250038168E-24</v>
      </c>
      <c r="CN192" s="24">
        <f t="shared" si="172"/>
        <v>1.979174395434562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-1.7053025658242404E-13</v>
      </c>
      <c r="O193" s="14">
        <f>N193*VLOOKUP('Données projet'!$B$9,Paramètres!$A$1:$I$89,3,0)*VLOOKUP('Données projet'!$B$9,Paramètres!$A$1:$I$89,5,0)</f>
        <v>-1.0197709343628959E-13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150.79185880109804</v>
      </c>
      <c r="T193" s="62">
        <f t="shared" si="142"/>
        <v>231.70571415193996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0.34830939126747545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1.9474449044355451E-23</v>
      </c>
      <c r="AC193" s="24">
        <f t="shared" si="163"/>
        <v>0.34830939126747545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1.1527845344971866E-13</v>
      </c>
      <c r="AK193" s="14">
        <f t="shared" si="164"/>
        <v>1.7033846239409443E-12</v>
      </c>
      <c r="AL193" s="22">
        <f t="shared" si="165"/>
        <v>3.1675048597887374E-12</v>
      </c>
      <c r="AM193" s="62">
        <f t="shared" si="113"/>
        <v>293.3333333333365</v>
      </c>
      <c r="AN193" s="62">
        <f ca="1">AVERAGE(OFFSET($AM$3,0,0,'Données projet'!$E$10+1,1))-AVERAGE(OFFSET($H$3,0,0,'Données projet'!$E$10+1,1))</f>
        <v>305.55480846093275</v>
      </c>
      <c r="AO193" s="62">
        <f t="shared" si="144"/>
        <v>179.56041631665812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3.5816961494773675E-2</v>
      </c>
      <c r="AW193" s="23">
        <f>EXP(-LN(2)/2)*AW192+(1-EXP(-LN(2)/2))/(LN(2)/2)*AQ193*AT193*VLOOKUP('Données projet'!$B$10,Paramètres!$A$1:$I$89,3,0)*0.475*44/12</f>
        <v>1.1633487560227809E-23</v>
      </c>
      <c r="AX193" s="23">
        <f t="shared" si="166"/>
        <v>3.5816961494773675E-2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40.594438615105105</v>
      </c>
      <c r="BJ193" s="62">
        <f t="shared" si="146"/>
        <v>238.55583229663102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1.9226707040298814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8.7817307587685175E-25</v>
      </c>
      <c r="BS193" s="24">
        <f t="shared" si="169"/>
        <v>1.9226707040298814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41.074766157499596</v>
      </c>
      <c r="CE193" s="62">
        <f t="shared" si="148"/>
        <v>240.92787656206917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1.9403639927172727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8.8625442320087129E-25</v>
      </c>
      <c r="CN193" s="24">
        <f t="shared" si="172"/>
        <v>1.9403639927172727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-1.7053025658242404E-13</v>
      </c>
      <c r="O194" s="14">
        <f>N194*VLOOKUP('Données projet'!$B$9,Paramètres!$A$1:$I$89,3,0)*VLOOKUP('Données projet'!$B$9,Paramètres!$A$1:$I$89,5,0)</f>
        <v>-1.0197709343628959E-13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150.79185880109804</v>
      </c>
      <c r="T194" s="62">
        <f t="shared" si="142"/>
        <v>231.70571415193996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0.34147925655247147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1.3770514979135619E-23</v>
      </c>
      <c r="AC194" s="24">
        <f t="shared" si="163"/>
        <v>0.34147925655247147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1.1527845344971866E-13</v>
      </c>
      <c r="AK194" s="14">
        <f t="shared" si="164"/>
        <v>1.7033846239409443E-12</v>
      </c>
      <c r="AL194" s="22">
        <f t="shared" si="165"/>
        <v>3.1675048597887374E-12</v>
      </c>
      <c r="AM194" s="62">
        <f t="shared" si="113"/>
        <v>293.3333333333365</v>
      </c>
      <c r="AN194" s="62">
        <f ca="1">AVERAGE(OFFSET($AM$3,0,0,'Données projet'!$E$10+1,1))-AVERAGE(OFFSET($H$3,0,0,'Données projet'!$E$10+1,1))</f>
        <v>305.55480846093275</v>
      </c>
      <c r="AO194" s="62">
        <f t="shared" si="144"/>
        <v>179.56041631665812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3.4837544799166946E-2</v>
      </c>
      <c r="AW194" s="23">
        <f>EXP(-LN(2)/2)*AW193+(1-EXP(-LN(2)/2))/(LN(2)/2)*AQ194*AT194*VLOOKUP('Données projet'!$B$10,Paramètres!$A$1:$I$89,3,0)*0.475*44/12</f>
        <v>8.2261179426864279E-24</v>
      </c>
      <c r="AX194" s="23">
        <f t="shared" si="166"/>
        <v>3.4837544799166946E-2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40.594438615105105</v>
      </c>
      <c r="BJ194" s="62">
        <f t="shared" si="146"/>
        <v>238.55583229663102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1.884968304237189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6.2096213700797042E-25</v>
      </c>
      <c r="BS194" s="24">
        <f t="shared" si="169"/>
        <v>1.884968304237189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41.074766157499596</v>
      </c>
      <c r="CE194" s="62">
        <f t="shared" si="148"/>
        <v>240.92787656206917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1.9023146383252612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6.2667651250190838E-25</v>
      </c>
      <c r="CN194" s="24">
        <f t="shared" si="172"/>
        <v>1.9023146383252612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-1.7053025658242404E-13</v>
      </c>
      <c r="O195" s="14">
        <f>N195*VLOOKUP('Données projet'!$B$9,Paramètres!$A$1:$I$89,3,0)*VLOOKUP('Données projet'!$B$9,Paramètres!$A$1:$I$89,5,0)</f>
        <v>-1.0197709343628959E-13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150.79185880109804</v>
      </c>
      <c r="T195" s="62">
        <f t="shared" si="142"/>
        <v>231.70571415193996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0.33478305661325786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9.7372245221777255E-24</v>
      </c>
      <c r="AC195" s="24">
        <f t="shared" si="163"/>
        <v>0.33478305661325786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1.1527845344971866E-13</v>
      </c>
      <c r="AK195" s="14">
        <f t="shared" si="164"/>
        <v>1.7033846239409443E-12</v>
      </c>
      <c r="AL195" s="22">
        <f t="shared" si="165"/>
        <v>3.1675048597887374E-12</v>
      </c>
      <c r="AM195" s="62">
        <f t="shared" si="113"/>
        <v>293.3333333333365</v>
      </c>
      <c r="AN195" s="62">
        <f ca="1">AVERAGE(OFFSET($AM$3,0,0,'Données projet'!$E$10+1,1))-AVERAGE(OFFSET($H$3,0,0,'Données projet'!$E$10+1,1))</f>
        <v>305.55480846093275</v>
      </c>
      <c r="AO195" s="62">
        <f t="shared" si="144"/>
        <v>179.56041631665812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3.3884910304606865E-2</v>
      </c>
      <c r="AW195" s="23">
        <f>EXP(-LN(2)/2)*AW194+(1-EXP(-LN(2)/2))/(LN(2)/2)*AQ195*AT195*VLOOKUP('Données projet'!$B$10,Paramètres!$A$1:$I$89,3,0)*0.475*44/12</f>
        <v>5.8167437801139045E-24</v>
      </c>
      <c r="AX195" s="23">
        <f t="shared" si="166"/>
        <v>3.3884910304606865E-2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40.594438615105105</v>
      </c>
      <c r="BJ195" s="62">
        <f t="shared" si="146"/>
        <v>238.55583229663102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1.8480052255082382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4.3908653793842587E-25</v>
      </c>
      <c r="BS195" s="24">
        <f t="shared" si="169"/>
        <v>1.8480052255082382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41.074766157499596</v>
      </c>
      <c r="CE195" s="62">
        <f t="shared" si="148"/>
        <v>240.92787656206917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1.8650114085650624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4.4312721160043564E-25</v>
      </c>
      <c r="CN195" s="24">
        <f t="shared" si="172"/>
        <v>1.8650114085650624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-1.7053025658242404E-13</v>
      </c>
      <c r="O196" s="14">
        <f>N196*VLOOKUP('Données projet'!$B$9,Paramètres!$A$1:$I$89,3,0)*VLOOKUP('Données projet'!$B$9,Paramètres!$A$1:$I$89,5,0)</f>
        <v>-1.0197709343628959E-13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150.79185880109804</v>
      </c>
      <c r="T196" s="62">
        <f t="shared" si="142"/>
        <v>231.70571415193996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0.32821816507057355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6.8852574895678095E-24</v>
      </c>
      <c r="AC196" s="24">
        <f t="shared" si="163"/>
        <v>0.32821816507057355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1.1527845344971866E-13</v>
      </c>
      <c r="AK196" s="14">
        <f t="shared" si="164"/>
        <v>1.7033846239409443E-12</v>
      </c>
      <c r="AL196" s="22">
        <f t="shared" si="165"/>
        <v>3.1675048597887374E-12</v>
      </c>
      <c r="AM196" s="62">
        <f t="shared" ref="AM196:AM203" si="193">AL196+(AD196+AE196)*44/12</f>
        <v>293.3333333333365</v>
      </c>
      <c r="AN196" s="62">
        <f ca="1">AVERAGE(OFFSET($AM$3,0,0,'Données projet'!$E$10+1,1))-AVERAGE(OFFSET($H$3,0,0,'Données projet'!$E$10+1,1))</f>
        <v>305.55480846093275</v>
      </c>
      <c r="AO196" s="62">
        <f t="shared" si="144"/>
        <v>179.56041631665812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3.2958325650397399E-2</v>
      </c>
      <c r="AW196" s="23">
        <f>EXP(-LN(2)/2)*AW195+(1-EXP(-LN(2)/2))/(LN(2)/2)*AQ196*AT196*VLOOKUP('Données projet'!$B$10,Paramètres!$A$1:$I$89,3,0)*0.475*44/12</f>
        <v>4.1130589713432139E-24</v>
      </c>
      <c r="AX196" s="23">
        <f t="shared" si="166"/>
        <v>3.2958325650397399E-2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40.594438615105105</v>
      </c>
      <c r="BJ196" s="62">
        <f t="shared" si="146"/>
        <v>238.55583229663102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1.8117669702079102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3.1048106850398521E-25</v>
      </c>
      <c r="BS196" s="24">
        <f t="shared" si="169"/>
        <v>1.8117669702079102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41.074766157499596</v>
      </c>
      <c r="CE196" s="62">
        <f t="shared" si="148"/>
        <v>240.92787656206917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1.8284396723877376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3.1333825625095419E-25</v>
      </c>
      <c r="CN196" s="24">
        <f t="shared" si="172"/>
        <v>1.8284396723877376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-1.7053025658242404E-13</v>
      </c>
      <c r="O197" s="14">
        <f>N197*VLOOKUP('Données projet'!$B$9,Paramètres!$A$1:$I$89,3,0)*VLOOKUP('Données projet'!$B$9,Paramètres!$A$1:$I$89,5,0)</f>
        <v>-1.0197709343628959E-13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150.79185880109804</v>
      </c>
      <c r="T197" s="62">
        <f t="shared" ref="T197:T203" si="204">$T$3</f>
        <v>231.70571415193996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0.32178200704685284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4.8686122610888628E-24</v>
      </c>
      <c r="AC197" s="24">
        <f t="shared" si="163"/>
        <v>0.32178200704685284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1.1527845344971866E-13</v>
      </c>
      <c r="AK197" s="14">
        <f t="shared" si="164"/>
        <v>1.7033846239409443E-12</v>
      </c>
      <c r="AL197" s="22">
        <f t="shared" si="165"/>
        <v>3.1675048597887374E-12</v>
      </c>
      <c r="AM197" s="62">
        <f t="shared" si="193"/>
        <v>293.3333333333365</v>
      </c>
      <c r="AN197" s="62">
        <f ca="1">AVERAGE(OFFSET($AM$3,0,0,'Données projet'!$E$10+1,1))-AVERAGE(OFFSET($H$3,0,0,'Données projet'!$E$10+1,1))</f>
        <v>305.55480846093275</v>
      </c>
      <c r="AO197" s="62">
        <f t="shared" ref="AO197:AO203" si="205">$AO$3</f>
        <v>179.56041631665812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3.2057078502284266E-2</v>
      </c>
      <c r="AW197" s="23">
        <f>EXP(-LN(2)/2)*AW196+(1-EXP(-LN(2)/2))/(LN(2)/2)*AQ197*AT197*VLOOKUP('Données projet'!$B$10,Paramètres!$A$1:$I$89,3,0)*0.475*44/12</f>
        <v>2.9083718900569522E-24</v>
      </c>
      <c r="AX197" s="23">
        <f t="shared" si="166"/>
        <v>3.2057078502284266E-2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40.594438615105105</v>
      </c>
      <c r="BJ197" s="62">
        <f t="shared" ref="BJ197:BJ203" si="206">$BJ$3</f>
        <v>238.55583229663102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1.7762393249908686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2.1954326896921294E-25</v>
      </c>
      <c r="BS197" s="24">
        <f t="shared" si="169"/>
        <v>1.7762393249908686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41.074766157499596</v>
      </c>
      <c r="CE197" s="62">
        <f t="shared" ref="CE197:CE203" si="207">$CE$3</f>
        <v>240.92787656206917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1.7925850856502936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2.2156360580021782E-25</v>
      </c>
      <c r="CN197" s="24">
        <f t="shared" si="172"/>
        <v>1.7925850856502936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-1.7053025658242404E-13</v>
      </c>
      <c r="O198" s="14">
        <f>N198*VLOOKUP('Données projet'!$B$9,Paramètres!$A$1:$I$89,3,0)*VLOOKUP('Données projet'!$B$9,Paramètres!$A$1:$I$89,5,0)</f>
        <v>-1.0197709343628959E-13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150.79185880109804</v>
      </c>
      <c r="T198" s="62">
        <f t="shared" si="204"/>
        <v>231.70571415193996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0.31547205815630852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3.4426287447839048E-24</v>
      </c>
      <c r="AC198" s="24">
        <f t="shared" si="163"/>
        <v>0.31547205815630852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1.1527845344971866E-13</v>
      </c>
      <c r="AK198" s="14">
        <f t="shared" si="164"/>
        <v>1.7033846239409443E-12</v>
      </c>
      <c r="AL198" s="22">
        <f t="shared" si="165"/>
        <v>3.1675048597887374E-12</v>
      </c>
      <c r="AM198" s="62">
        <f t="shared" si="193"/>
        <v>293.3333333333365</v>
      </c>
      <c r="AN198" s="62">
        <f ca="1">AVERAGE(OFFSET($AM$3,0,0,'Données projet'!$E$10+1,1))-AVERAGE(OFFSET($H$3,0,0,'Données projet'!$E$10+1,1))</f>
        <v>305.55480846093275</v>
      </c>
      <c r="AO198" s="62">
        <f t="shared" si="205"/>
        <v>179.56041631665812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3.1180476004830811E-2</v>
      </c>
      <c r="AW198" s="23">
        <f>EXP(-LN(2)/2)*AW197+(1-EXP(-LN(2)/2))/(LN(2)/2)*AQ198*AT198*VLOOKUP('Données projet'!$B$10,Paramètres!$A$1:$I$89,3,0)*0.475*44/12</f>
        <v>2.056529485671607E-24</v>
      </c>
      <c r="AX198" s="23">
        <f t="shared" si="166"/>
        <v>3.1180476004830811E-2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40.594438615105105</v>
      </c>
      <c r="BJ198" s="62">
        <f t="shared" si="206"/>
        <v>238.55583229663102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1.7414083552268091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1.552405342519926E-25</v>
      </c>
      <c r="BS198" s="24">
        <f t="shared" si="169"/>
        <v>1.7414083552268091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41.074766157499596</v>
      </c>
      <c r="CE198" s="62">
        <f t="shared" si="207"/>
        <v>240.92787656206917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1.7574335854896324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1.566691281254771E-25</v>
      </c>
      <c r="CN198" s="24">
        <f t="shared" si="172"/>
        <v>1.7574335854896324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-1.7053025658242404E-13</v>
      </c>
      <c r="O199" s="14">
        <f>N199*VLOOKUP('Données projet'!$B$9,Paramètres!$A$1:$I$89,3,0)*VLOOKUP('Données projet'!$B$9,Paramètres!$A$1:$I$89,5,0)</f>
        <v>-1.0197709343628959E-13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150.79185880109804</v>
      </c>
      <c r="T199" s="62">
        <f t="shared" si="204"/>
        <v>231.70571415193996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0.30928584351481897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2.4343061305444314E-24</v>
      </c>
      <c r="AC199" s="24">
        <f t="shared" si="163"/>
        <v>0.30928584351481897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1.1527845344971866E-13</v>
      </c>
      <c r="AK199" s="14">
        <f t="shared" si="164"/>
        <v>1.7033846239409443E-12</v>
      </c>
      <c r="AL199" s="22">
        <f t="shared" si="165"/>
        <v>3.1675048597887374E-12</v>
      </c>
      <c r="AM199" s="62">
        <f t="shared" si="193"/>
        <v>293.3333333333365</v>
      </c>
      <c r="AN199" s="62">
        <f ca="1">AVERAGE(OFFSET($AM$3,0,0,'Données projet'!$E$10+1,1))-AVERAGE(OFFSET($H$3,0,0,'Données projet'!$E$10+1,1))</f>
        <v>305.55480846093275</v>
      </c>
      <c r="AO199" s="62">
        <f t="shared" si="205"/>
        <v>179.56041631665812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3.0327844248768745E-2</v>
      </c>
      <c r="AW199" s="23">
        <f>EXP(-LN(2)/2)*AW198+(1-EXP(-LN(2)/2))/(LN(2)/2)*AQ199*AT199*VLOOKUP('Données projet'!$B$10,Paramètres!$A$1:$I$89,3,0)*0.475*44/12</f>
        <v>1.4541859450284761E-24</v>
      </c>
      <c r="AX199" s="23">
        <f t="shared" si="166"/>
        <v>3.0327844248768745E-2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40.594438615105105</v>
      </c>
      <c r="BJ199" s="62">
        <f t="shared" si="206"/>
        <v>238.55583229663102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1.7072603995350291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1.0977163448460647E-25</v>
      </c>
      <c r="BS199" s="24">
        <f t="shared" si="169"/>
        <v>1.7072603995350291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41.074766157499596</v>
      </c>
      <c r="CE199" s="62">
        <f t="shared" si="207"/>
        <v>240.92787656206917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1.7229713848068235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1.1078180290010891E-25</v>
      </c>
      <c r="CN199" s="24">
        <f t="shared" si="172"/>
        <v>1.7229713848068235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-1.7053025658242404E-13</v>
      </c>
      <c r="O200" s="14">
        <f>N200*VLOOKUP('Données projet'!$B$9,Paramètres!$A$1:$I$89,3,0)*VLOOKUP('Données projet'!$B$9,Paramètres!$A$1:$I$89,5,0)</f>
        <v>-1.0197709343628959E-13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150.79185880109804</v>
      </c>
      <c r="T200" s="62">
        <f t="shared" si="204"/>
        <v>231.70571415193996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0.30322093676923068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1.7213143723919524E-24</v>
      </c>
      <c r="AC200" s="24">
        <f t="shared" si="163"/>
        <v>0.30322093676923068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1.1527845344971866E-13</v>
      </c>
      <c r="AK200" s="14">
        <f t="shared" si="164"/>
        <v>1.7033846239409443E-12</v>
      </c>
      <c r="AL200" s="22">
        <f t="shared" si="165"/>
        <v>3.1675048597887374E-12</v>
      </c>
      <c r="AM200" s="62">
        <f t="shared" si="193"/>
        <v>293.3333333333365</v>
      </c>
      <c r="AN200" s="62">
        <f ca="1">AVERAGE(OFFSET($AM$3,0,0,'Données projet'!$E$10+1,1))-AVERAGE(OFFSET($H$3,0,0,'Données projet'!$E$10+1,1))</f>
        <v>305.55480846093275</v>
      </c>
      <c r="AO200" s="62">
        <f t="shared" si="205"/>
        <v>179.56041631665812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2.9498527752914151E-2</v>
      </c>
      <c r="AW200" s="23">
        <f>EXP(-LN(2)/2)*AW199+(1-EXP(-LN(2)/2))/(LN(2)/2)*AQ200*AT200*VLOOKUP('Données projet'!$B$10,Paramètres!$A$1:$I$89,3,0)*0.475*44/12</f>
        <v>1.0282647428358035E-24</v>
      </c>
      <c r="AX200" s="23">
        <f t="shared" si="166"/>
        <v>2.9498527752914151E-2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40.594438615105105</v>
      </c>
      <c r="BJ200" s="62">
        <f t="shared" si="206"/>
        <v>238.55583229663102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1.6737820644261685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7.7620267125996302E-26</v>
      </c>
      <c r="BS200" s="24">
        <f t="shared" si="169"/>
        <v>1.6737820644261685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41.074766157499596</v>
      </c>
      <c r="CE200" s="62">
        <f t="shared" si="207"/>
        <v>240.92787656206917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1.6891849668595378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7.8334564062738548E-26</v>
      </c>
      <c r="CN200" s="24">
        <f t="shared" si="172"/>
        <v>1.6891849668595378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-1.7053025658242404E-13</v>
      </c>
      <c r="O201" s="14">
        <f>N201*VLOOKUP('Données projet'!$B$9,Paramètres!$A$1:$I$89,3,0)*VLOOKUP('Données projet'!$B$9,Paramètres!$A$1:$I$89,5,0)</f>
        <v>-1.0197709343628959E-13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150.79185880109804</v>
      </c>
      <c r="T201" s="62">
        <f t="shared" si="204"/>
        <v>231.70571415193996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0.29727495914569552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1.2171530652722157E-24</v>
      </c>
      <c r="AC201" s="24">
        <f t="shared" si="163"/>
        <v>0.29727495914569552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1.1527845344971866E-13</v>
      </c>
      <c r="AK201" s="14">
        <f t="shared" si="164"/>
        <v>1.7033846239409443E-12</v>
      </c>
      <c r="AL201" s="22">
        <f t="shared" si="165"/>
        <v>3.1675048597887374E-12</v>
      </c>
      <c r="AM201" s="62">
        <f t="shared" si="193"/>
        <v>293.3333333333365</v>
      </c>
      <c r="AN201" s="62">
        <f ca="1">AVERAGE(OFFSET($AM$3,0,0,'Données projet'!$E$10+1,1))-AVERAGE(OFFSET($H$3,0,0,'Données projet'!$E$10+1,1))</f>
        <v>305.55480846093275</v>
      </c>
      <c r="AO201" s="62">
        <f t="shared" si="205"/>
        <v>179.56041631665812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2.8691888960250558E-2</v>
      </c>
      <c r="AW201" s="23">
        <f>EXP(-LN(2)/2)*AW200+(1-EXP(-LN(2)/2))/(LN(2)/2)*AQ201*AT201*VLOOKUP('Données projet'!$B$10,Paramètres!$A$1:$I$89,3,0)*0.475*44/12</f>
        <v>7.2709297251423806E-25</v>
      </c>
      <c r="AX201" s="23">
        <f t="shared" si="166"/>
        <v>2.8691888960250558E-2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40.594438615105105</v>
      </c>
      <c r="BJ201" s="62">
        <f t="shared" si="206"/>
        <v>238.55583229663102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1.6409602190490244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5.4885817242303234E-26</v>
      </c>
      <c r="BS201" s="24">
        <f t="shared" si="169"/>
        <v>1.6409602190490244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41.074766157499596</v>
      </c>
      <c r="CE201" s="62">
        <f t="shared" si="207"/>
        <v>240.92787656206917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1.6560610799605182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5.5390901450054456E-26</v>
      </c>
      <c r="CN201" s="24">
        <f t="shared" si="172"/>
        <v>1.6560610799605182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-1.7053025658242404E-13</v>
      </c>
      <c r="O202" s="14">
        <f>N202*VLOOKUP('Données projet'!$B$9,Paramètres!$A$1:$I$89,3,0)*VLOOKUP('Données projet'!$B$9,Paramètres!$A$1:$I$89,5,0)</f>
        <v>-1.0197709343628959E-13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150.79185880109804</v>
      </c>
      <c r="T202" s="62">
        <f t="shared" si="204"/>
        <v>231.70571415193996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0.29144557851666963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8.6065718619597619E-25</v>
      </c>
      <c r="AC202" s="24">
        <f t="shared" si="163"/>
        <v>0.29144557851666963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1.1527845344971866E-13</v>
      </c>
      <c r="AK202" s="14">
        <f t="shared" si="164"/>
        <v>1.7033846239409443E-12</v>
      </c>
      <c r="AL202" s="22">
        <f t="shared" si="165"/>
        <v>3.1675048597887374E-12</v>
      </c>
      <c r="AM202" s="62">
        <f t="shared" si="193"/>
        <v>293.3333333333365</v>
      </c>
      <c r="AN202" s="62">
        <f ca="1">AVERAGE(OFFSET($AM$3,0,0,'Données projet'!$E$10+1,1))-AVERAGE(OFFSET($H$3,0,0,'Données projet'!$E$10+1,1))</f>
        <v>305.55480846093275</v>
      </c>
      <c r="AO202" s="62">
        <f t="shared" si="205"/>
        <v>179.56041631665812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2.7907307747791644E-2</v>
      </c>
      <c r="AW202" s="23">
        <f>EXP(-LN(2)/2)*AW201+(1-EXP(-LN(2)/2))/(LN(2)/2)*AQ202*AT202*VLOOKUP('Données projet'!$B$10,Paramètres!$A$1:$I$89,3,0)*0.475*44/12</f>
        <v>5.1413237141790174E-25</v>
      </c>
      <c r="AX202" s="23">
        <f t="shared" si="166"/>
        <v>2.7907307747791644E-2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40.594438615105105</v>
      </c>
      <c r="BJ202" s="62">
        <f t="shared" si="206"/>
        <v>238.55583229663102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1.6087819900403773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3.8810133562998151E-26</v>
      </c>
      <c r="BS202" s="24">
        <f t="shared" si="169"/>
        <v>1.6087819900403773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41.074766157499596</v>
      </c>
      <c r="CE202" s="62">
        <f t="shared" si="207"/>
        <v>240.92787656206917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1.6235867322800124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3.9167282031369274E-26</v>
      </c>
      <c r="CN202" s="24">
        <f t="shared" si="172"/>
        <v>1.6235867322800124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-1.7053025658242404E-13</v>
      </c>
      <c r="O203" s="14">
        <f>N203*VLOOKUP('Données projet'!$B$9,Paramètres!$A$1:$I$89,3,0)*VLOOKUP('Données projet'!$B$9,Paramètres!$A$1:$I$89,5,0)</f>
        <v>-1.0197709343628959E-13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150.79185880109804</v>
      </c>
      <c r="T203" s="62">
        <f t="shared" si="204"/>
        <v>231.70571415193996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0.2857305084862079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6.0857653263610784E-25</v>
      </c>
      <c r="AC203" s="24">
        <f t="shared" si="163"/>
        <v>0.2857305084862079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1.1527845344971866E-13</v>
      </c>
      <c r="AK203" s="14">
        <f t="shared" si="164"/>
        <v>1.7033846239409443E-12</v>
      </c>
      <c r="AL203" s="22">
        <f t="shared" si="165"/>
        <v>3.1675048597887374E-12</v>
      </c>
      <c r="AM203" s="62">
        <f t="shared" si="193"/>
        <v>293.3333333333365</v>
      </c>
      <c r="AN203" s="62">
        <f ca="1">AVERAGE(OFFSET($AM$3,0,0,'Données projet'!$E$10+1,1))-AVERAGE(OFFSET($H$3,0,0,'Données projet'!$E$10+1,1))</f>
        <v>305.55480846093275</v>
      </c>
      <c r="AO203" s="62">
        <f t="shared" si="205"/>
        <v>179.56041631665812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2.714418094984675E-2</v>
      </c>
      <c r="AW203" s="23">
        <f>EXP(-LN(2)/2)*AW202+(1-EXP(-LN(2)/2))/(LN(2)/2)*AQ203*AT203*VLOOKUP('Données projet'!$B$10,Paramètres!$A$1:$I$89,3,0)*0.475*44/12</f>
        <v>3.6354648625711903E-25</v>
      </c>
      <c r="AX203" s="23">
        <f t="shared" si="166"/>
        <v>2.714418094984675E-2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40.594438615105105</v>
      </c>
      <c r="BJ203" s="62">
        <f t="shared" si="206"/>
        <v>238.55583229663102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1.577234756475808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2.7442908621151617E-26</v>
      </c>
      <c r="BS203" s="24">
        <f t="shared" si="169"/>
        <v>1.577234756475808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41.074766157499596</v>
      </c>
      <c r="CE203" s="62">
        <f t="shared" si="207"/>
        <v>240.92787656206917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1.591749186750125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2.7695450725027228E-26</v>
      </c>
      <c r="CN203" s="24">
        <f t="shared" si="172"/>
        <v>1.591749186750125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1.2990595333015609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1.1852335095914694</v>
      </c>
      <c r="BA205" s="88">
        <f>EXP(LN('Données projet'!B88)/'Données projet'!A88)</f>
        <v>1.3141519994188957</v>
      </c>
      <c r="BV205" s="88">
        <f>EXP(LN('Données projet'!B114)/'Données projet'!A114)</f>
        <v>1.3141519994188957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9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20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9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1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1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20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9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20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E4" workbookViewId="0">
      <selection activeCell="L19" sqref="L19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10" t="s">
        <v>271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2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maritime</v>
      </c>
      <c r="B6" s="155">
        <f>'Données projet'!D9</f>
        <v>0.82799999999999996</v>
      </c>
      <c r="C6" s="156">
        <f ca="1">IF(OR('Données projet'!B9="",'Données projet'!C9="",'Données projet'!C9=0%),0,Calculateur!S3)</f>
        <v>150.79185880109804</v>
      </c>
      <c r="D6" s="156">
        <f>IF(OR('Données projet'!B9="",'Données projet'!C9="",'Données projet'!C9=0%),0,Calculateur!T3)</f>
        <v>231.70571415193996</v>
      </c>
      <c r="E6" s="156">
        <f ca="1">MIN(C6,D6)</f>
        <v>150.79185880109804</v>
      </c>
      <c r="F6" s="156">
        <f ca="1">E6*B6</f>
        <v>124.85565908730918</v>
      </c>
      <c r="G6" s="156">
        <f ca="1">F6*(100%-'Données projet'!$C$24)*(100%-'Données projet'!$C$25)*(100%-'Données projet'!$C$26)*(100%-'Données projet'!$C$27)</f>
        <v>95.51457920179152</v>
      </c>
      <c r="H6" s="157">
        <f>IF(OR('Données projet'!B9="",'Données projet'!C9="",'Données projet'!C9=0%),0,AVERAGE(Calculateur!$AC$3:$AC$33)*B6)</f>
        <v>4.5474834210108748</v>
      </c>
      <c r="I6" s="158">
        <f>H6*(100%-'Données projet'!$C$24)*(100%-'Données projet'!$C$25)*(100%-'Données projet'!$C$26)*(100%-'Données projet'!$C$27)</f>
        <v>3.4788248170733191</v>
      </c>
      <c r="J6" s="159">
        <f>IF(OR('Données projet'!B9="",'Données projet'!C9="",'Données projet'!C9=0%),0,SUM(Calculateur!$V$3:$V$33)*VLOOKUP('Données projet'!$B$9,Paramètres!$A$1:$I$89,9,0)*B6)</f>
        <v>54.714239999999997</v>
      </c>
      <c r="K6" s="160">
        <f>J6*(100%-'Données projet'!$C$24)*(100%-'Données projet'!$C$25)*(100%-'Données projet'!$C$26)*(100%-'Données projet'!$C$27)</f>
        <v>41.856393599999997</v>
      </c>
      <c r="L6" s="161">
        <f ca="1">G6+I6+K6</f>
        <v>140.84979761886484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chêne pubescent</v>
      </c>
      <c r="B7" s="163">
        <f>'Données projet'!D10</f>
        <v>0.70379999999999998</v>
      </c>
      <c r="C7" s="156">
        <f ca="1">IF(OR('Données projet'!B10="",'Données projet'!C10="",'Données projet'!C10=0%),0,Calculateur!AN3)</f>
        <v>305.55480846093275</v>
      </c>
      <c r="D7" s="156">
        <f>IF(OR('Données projet'!B10="",'Données projet'!C10="",'Données projet'!C10=0%),0,Calculateur!AO3)</f>
        <v>179.56041631665812</v>
      </c>
      <c r="E7" s="156">
        <f t="shared" ref="E7:E15" ca="1" si="0">MIN(C7,D7)</f>
        <v>179.56041631665812</v>
      </c>
      <c r="F7" s="156">
        <f t="shared" ref="F7:F15" ca="1" si="1">E7*B7</f>
        <v>126.37462100366398</v>
      </c>
      <c r="G7" s="156">
        <f ca="1">F7*(100%-'Données projet'!$C$24)*(100%-'Données projet'!$C$25)*(100%-'Données projet'!$C$26)*(100%-'Données projet'!$C$27)</f>
        <v>96.676585067802947</v>
      </c>
      <c r="H7" s="164">
        <f>IF(OR('Données projet'!B10="",'Données projet'!C10="",'Données projet'!C10=0%),0,AVERAGE(Calculateur!$AX$3:$AX$33)*B7)</f>
        <v>0.38796889594519124</v>
      </c>
      <c r="I7" s="158">
        <f>H7*(100%-'Données projet'!$C$24)*(100%-'Données projet'!$C$25)*(100%-'Données projet'!$C$26)*(100%-'Données projet'!$C$27)</f>
        <v>0.29679620539807133</v>
      </c>
      <c r="J7" s="159">
        <f>IF(OR('Données projet'!B10="",'Données projet'!C10="",'Données projet'!C10=0%),0,SUM(Calculateur!$AQ$3:$AQ$33)*VLOOKUP('Données projet'!$B$10,Paramètres!$A$1:$I$89,9,0)*B7)</f>
        <v>5.1025499999999999</v>
      </c>
      <c r="K7" s="160">
        <f>J7*(100%-'Données projet'!$C$24)*(100%-'Données projet'!$C$25)*(100%-'Données projet'!$C$26)*(100%-'Données projet'!$C$27)</f>
        <v>3.9034507499999997</v>
      </c>
      <c r="L7" s="161">
        <f t="shared" ref="L7:L15" ca="1" si="2">G7+I7+K7</f>
        <v>100.87683202320102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Peuplier Koster</v>
      </c>
      <c r="B8" s="163">
        <f>'Données projet'!D11</f>
        <v>1.3627500000000001</v>
      </c>
      <c r="C8" s="156">
        <f ca="1">IF(OR('Données projet'!B11="",'Données projet'!C11="",'Données projet'!C11=0%),0,Calculateur!BI3)</f>
        <v>40.594438615105105</v>
      </c>
      <c r="D8" s="156">
        <f>IF(OR('Données projet'!B11="",'Données projet'!C11="",'Données projet'!C11=0%),0,Calculateur!BJ3)</f>
        <v>238.55583229663102</v>
      </c>
      <c r="E8" s="156">
        <f t="shared" ca="1" si="0"/>
        <v>40.594438615105105</v>
      </c>
      <c r="F8" s="156">
        <f t="shared" ca="1" si="1"/>
        <v>55.320071222734484</v>
      </c>
      <c r="G8" s="156">
        <f ca="1">F8*(100%-'Données projet'!$C$24)*(100%-'Données projet'!$C$25)*(100%-'Données projet'!$C$26)*(100%-'Données projet'!$C$27)</f>
        <v>42.319854485391879</v>
      </c>
      <c r="H8" s="164">
        <f>IF(OR('Données projet'!B11="",'Données projet'!C11="",'Données projet'!C11=0%),0,AVERAGE(Calculateur!$BS$3:$BS$33)*B8)</f>
        <v>29.439925015614502</v>
      </c>
      <c r="I8" s="158">
        <f>H8*(100%-'Données projet'!$C$24)*(100%-'Données projet'!$C$25)*(100%-'Données projet'!$C$26)*(100%-'Données projet'!$C$27)</f>
        <v>22.521542636945092</v>
      </c>
      <c r="J8" s="159">
        <f>IF(OR('Données projet'!B11="",'Données projet'!C11="",'Données projet'!C11=0%),0,SUM(Calculateur!$BL$3:$BL$33)*VLOOKUP('Données projet'!$B$11,Paramètres!$A$1:$I$89,9,0)*B8)</f>
        <v>331.25727000000006</v>
      </c>
      <c r="K8" s="160">
        <f>J8*(100%-'Données projet'!$C$24)*(100%-'Données projet'!$C$25)*(100%-'Données projet'!$C$26)*(100%-'Données projet'!$C$27)</f>
        <v>253.41181155000007</v>
      </c>
      <c r="L8" s="161">
        <f t="shared" ca="1" si="2"/>
        <v>318.25320867233705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Peuplier Dvena</v>
      </c>
      <c r="B9" s="163">
        <f>'Données projet'!D12</f>
        <v>0.55200000000000005</v>
      </c>
      <c r="C9" s="156">
        <f ca="1">IF(OR('Données projet'!B12="",'Données projet'!C12="",'Données projet'!C12=0%),0,Calculateur!CD3)</f>
        <v>41.074766157499596</v>
      </c>
      <c r="D9" s="156">
        <f>IF(OR('Données projet'!B12="",'Données projet'!C12="",'Données projet'!C12=0%),0,Calculateur!CE3)</f>
        <v>240.92787656206917</v>
      </c>
      <c r="E9" s="156">
        <f t="shared" ca="1" si="0"/>
        <v>41.074766157499596</v>
      </c>
      <c r="F9" s="156">
        <f t="shared" ca="1" si="1"/>
        <v>22.673270918939778</v>
      </c>
      <c r="G9" s="156">
        <f ca="1">F9*(100%-'Données projet'!$C$24)*(100%-'Données projet'!$C$25)*(100%-'Données projet'!$C$26)*(100%-'Données projet'!$C$27)</f>
        <v>17.345052252988928</v>
      </c>
      <c r="H9" s="164">
        <f>IF(OR('Données projet'!B12="",'Données projet'!C12="",'Données projet'!C12=0%),0,AVERAGE(Calculateur!$CN$3:$CN$33)*B9)</f>
        <v>12.034772484444719</v>
      </c>
      <c r="I9" s="158">
        <f>H9*(100%-'Données projet'!$C$24)*(100%-'Données projet'!$C$25)*(100%-'Données projet'!$C$26)*(100%-'Données projet'!$C$27)</f>
        <v>9.20660095060021</v>
      </c>
      <c r="J9" s="159">
        <f>IF(OR('Données projet'!B12="",'Données projet'!C12="",'Données projet'!C12=0%),0,SUM(Calculateur!$CG$3:$CG$33)*VLOOKUP('Données projet'!$B$12,Paramètres!$A$1:$I$89,9,0)*B9)</f>
        <v>134.18016000000003</v>
      </c>
      <c r="K9" s="160">
        <f>J9*(100%-'Données projet'!$C$24)*(100%-'Données projet'!$C$25)*(100%-'Données projet'!$C$26)*(100%-'Données projet'!$C$27)</f>
        <v>102.64782240000002</v>
      </c>
      <c r="L9" s="161">
        <f t="shared" ca="1" si="2"/>
        <v>129.19947560358918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329.22362223264747</v>
      </c>
      <c r="G16" s="175">
        <f t="shared" ca="1" si="3"/>
        <v>251.85607100797529</v>
      </c>
      <c r="H16" s="176">
        <f t="shared" si="3"/>
        <v>46.410149817015281</v>
      </c>
      <c r="I16" s="176">
        <f t="shared" si="3"/>
        <v>35.503764610016695</v>
      </c>
      <c r="J16" s="177">
        <f t="shared" si="3"/>
        <v>525.25422000000003</v>
      </c>
      <c r="K16" s="177">
        <f t="shared" si="3"/>
        <v>401.81947830000013</v>
      </c>
      <c r="L16" s="178">
        <f t="shared" ca="1" si="3"/>
        <v>689.1793139179922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2" t="s">
        <v>246</v>
      </c>
      <c r="G17" s="323"/>
      <c r="H17" s="323"/>
      <c r="I17" s="323"/>
      <c r="J17" s="323"/>
      <c r="K17" s="323"/>
      <c r="L17" s="323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4"/>
      <c r="G18" s="324"/>
      <c r="H18" s="324"/>
      <c r="I18" s="324"/>
      <c r="J18" s="324"/>
      <c r="K18" s="324"/>
      <c r="L18" s="324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chêne pubescent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Peuplier Koster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Peuplier Dvena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3" zoomScale="90" zoomScaleNormal="90" workbookViewId="0">
      <selection activeCell="X25" sqref="X2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10" t="s">
        <v>272</v>
      </c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2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2" t="s">
        <v>315</v>
      </c>
      <c r="I4" s="342"/>
      <c r="K4" s="339" t="s">
        <v>253</v>
      </c>
      <c r="L4" s="340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1" t="s">
        <v>310</v>
      </c>
      <c r="S7" s="332"/>
      <c r="T7" s="332"/>
      <c r="U7" s="332"/>
      <c r="V7" s="333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1508.2480107913084</v>
      </c>
      <c r="U10" s="190">
        <f>'Données projet'!D9</f>
        <v>0.82799999999999996</v>
      </c>
      <c r="V10" s="189">
        <f>U10*T10</f>
        <v>1248.8293529352034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pubescent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530.68169632012598</v>
      </c>
      <c r="U11" s="190">
        <f>'Données projet'!D10</f>
        <v>0.70379999999999998</v>
      </c>
      <c r="V11" s="189">
        <f t="shared" ref="V11" si="0">U11*T11</f>
        <v>373.49377787010468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Peuplier Koster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6849.9000419893364</v>
      </c>
      <c r="U12" s="190">
        <f>'Données projet'!D11</f>
        <v>1.3627500000000001</v>
      </c>
      <c r="V12" s="189">
        <f t="shared" ref="V12:V19" si="1">U12*T12</f>
        <v>9334.701282220969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Peuplier Dvena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6849.9000419893364</v>
      </c>
      <c r="U13" s="190">
        <f>'Données projet'!D12</f>
        <v>0.55200000000000005</v>
      </c>
      <c r="V13" s="189">
        <f t="shared" si="1"/>
        <v>3781.1448231781142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3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3"/>
      <c r="H16" s="203"/>
      <c r="I16" s="204"/>
      <c r="J16" s="216"/>
      <c r="K16" s="225"/>
      <c r="L16" s="339" t="s">
        <v>254</v>
      </c>
      <c r="M16" s="340"/>
      <c r="N16" s="2">
        <v>50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3"/>
      <c r="J17" s="216"/>
      <c r="K17" s="225"/>
      <c r="L17" s="297" t="s">
        <v>289</v>
      </c>
      <c r="M17" s="299"/>
      <c r="N17" s="187">
        <f>VLOOKUP(N16,Calculateur!$A$2:$H$153,3,0)/VLOOKUP('Scénario référence'!$G$15,Paramètres!A1:I89,3,0)/VLOOKUP('Scénario référence'!$G$15,Paramètres!A1:I89,5,0)</f>
        <v>49.999999999999964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3"/>
      <c r="J18" s="216"/>
      <c r="K18" s="225"/>
      <c r="L18" s="297" t="s">
        <v>255</v>
      </c>
      <c r="M18" s="299"/>
      <c r="N18" s="205">
        <v>20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3"/>
      <c r="H19" s="232" t="s">
        <v>178</v>
      </c>
      <c r="I19" s="232" t="s">
        <v>287</v>
      </c>
      <c r="J19" s="260"/>
      <c r="K19" s="183"/>
      <c r="L19" s="339" t="s">
        <v>288</v>
      </c>
      <c r="M19" s="340"/>
      <c r="N19" s="191">
        <f>N17*N18</f>
        <v>999.99999999999932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3"/>
      <c r="H20" s="203">
        <v>0</v>
      </c>
      <c r="I20" s="204">
        <v>5777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1503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18</v>
      </c>
      <c r="B23" s="193">
        <f>'Données projet'!D36</f>
        <v>27</v>
      </c>
      <c r="C23" s="206">
        <v>10</v>
      </c>
      <c r="D23" s="194">
        <f>B23*C23</f>
        <v>270</v>
      </c>
      <c r="E23" s="293"/>
      <c r="F23" s="261"/>
      <c r="H23" s="203"/>
      <c r="I23" s="204"/>
      <c r="K23" s="225"/>
      <c r="L23" s="341" t="s">
        <v>260</v>
      </c>
      <c r="M23" s="341"/>
      <c r="N23" s="341"/>
      <c r="O23" s="25"/>
      <c r="P23" s="25"/>
      <c r="Q23" s="265"/>
      <c r="R23" s="25"/>
      <c r="S23" s="185" t="s">
        <v>264</v>
      </c>
      <c r="T23" s="33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-10154.538180063555</v>
      </c>
      <c r="U23" s="336"/>
      <c r="V23" s="336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24</v>
      </c>
      <c r="B24" s="193">
        <f>'Données projet'!D37</f>
        <v>38</v>
      </c>
      <c r="C24" s="206">
        <v>12</v>
      </c>
      <c r="D24" s="194">
        <f t="shared" ref="D24:D42" si="2">B24*C24</f>
        <v>456</v>
      </c>
      <c r="E24" s="293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7">
        <f ca="1">'Scénario référence'!$B$8*$M$30*'Données projet'!$C$5+('Scénario référence'!B9+'Scénario référence'!B10+'Scénario référence'!F8+'Scénario référence'!F9)*$N$19/(1+M4)^N16*'Données projet'!$C$5</f>
        <v>381.9482923814997</v>
      </c>
      <c r="U24" s="337"/>
      <c r="V24" s="337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30</v>
      </c>
      <c r="B25" s="193">
        <f>'Données projet'!D38</f>
        <v>47</v>
      </c>
      <c r="C25" s="206">
        <v>20</v>
      </c>
      <c r="D25" s="194">
        <f t="shared" si="2"/>
        <v>940</v>
      </c>
      <c r="E25" s="293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8">
        <f ca="1">T23-T24</f>
        <v>-10536.486472445054</v>
      </c>
      <c r="U25" s="338"/>
      <c r="V25" s="338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40</v>
      </c>
      <c r="B26" s="193">
        <f>'Données projet'!D39</f>
        <v>50</v>
      </c>
      <c r="C26" s="206">
        <v>0</v>
      </c>
      <c r="D26" s="194">
        <f t="shared" si="2"/>
        <v>0</v>
      </c>
      <c r="E26" s="293"/>
      <c r="F26" s="264"/>
      <c r="G26" s="259"/>
      <c r="H26" s="203"/>
      <c r="I26" s="204"/>
      <c r="K26" s="225"/>
      <c r="L26" s="325" t="s">
        <v>258</v>
      </c>
      <c r="M26" s="326"/>
      <c r="N26" s="326"/>
      <c r="O26" s="326"/>
      <c r="P26" s="327"/>
      <c r="Q26" s="265"/>
      <c r="R26" s="25"/>
      <c r="S26" s="198" t="s">
        <v>265</v>
      </c>
      <c r="T26" s="335" t="str">
        <f ca="1">IF(T25&lt;0,"Votre projet est additionnel","Votre projet n'est pas additionnel")</f>
        <v>Votre projet est additionnel</v>
      </c>
      <c r="U26" s="335"/>
      <c r="V26" s="33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50</v>
      </c>
      <c r="B27" s="193">
        <f>'Données projet'!D40</f>
        <v>294</v>
      </c>
      <c r="C27" s="206">
        <v>30</v>
      </c>
      <c r="D27" s="194">
        <f t="shared" si="2"/>
        <v>8820</v>
      </c>
      <c r="E27" s="293"/>
      <c r="F27" s="264"/>
      <c r="G27" s="259"/>
      <c r="H27" s="203"/>
      <c r="I27" s="204"/>
      <c r="K27" s="225"/>
      <c r="L27" s="328"/>
      <c r="M27" s="329"/>
      <c r="N27" s="329"/>
      <c r="O27" s="329"/>
      <c r="P27" s="330"/>
      <c r="Q27" s="265"/>
      <c r="R27" s="25"/>
      <c r="S27" s="334" t="s">
        <v>267</v>
      </c>
      <c r="T27" s="334"/>
      <c r="U27" s="334"/>
      <c r="V27" s="33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0</v>
      </c>
      <c r="B28" s="193">
        <f>'Données projet'!D41</f>
        <v>0</v>
      </c>
      <c r="C28" s="206">
        <v>0</v>
      </c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chêne pubescent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25</v>
      </c>
      <c r="B54" s="193">
        <f>'Données projet'!D62</f>
        <v>8</v>
      </c>
      <c r="C54" s="293">
        <v>4</v>
      </c>
      <c r="D54" s="191">
        <f>B54*C54</f>
        <v>32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30</v>
      </c>
      <c r="B55" s="193">
        <f>'Données projet'!D63</f>
        <v>21</v>
      </c>
      <c r="C55" s="293">
        <v>8</v>
      </c>
      <c r="D55" s="191">
        <f t="shared" ref="D55:D73" si="4">B55*C55</f>
        <v>168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35</v>
      </c>
      <c r="B56" s="193">
        <f>'Données projet'!D64</f>
        <v>21</v>
      </c>
      <c r="C56" s="293">
        <v>10</v>
      </c>
      <c r="D56" s="191">
        <f t="shared" si="4"/>
        <v>210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40</v>
      </c>
      <c r="B57" s="193">
        <f>'Données projet'!D65</f>
        <v>21</v>
      </c>
      <c r="C57" s="293">
        <v>10</v>
      </c>
      <c r="D57" s="191">
        <f t="shared" si="4"/>
        <v>210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45</v>
      </c>
      <c r="B58" s="193">
        <f>'Données projet'!D66</f>
        <v>21</v>
      </c>
      <c r="C58" s="293">
        <v>10</v>
      </c>
      <c r="D58" s="191">
        <f t="shared" si="4"/>
        <v>210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50</v>
      </c>
      <c r="B59" s="193">
        <f>'Données projet'!D67</f>
        <v>21</v>
      </c>
      <c r="C59" s="293">
        <v>10</v>
      </c>
      <c r="D59" s="191">
        <f t="shared" si="4"/>
        <v>210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55</v>
      </c>
      <c r="B60" s="193">
        <f>'Données projet'!D68</f>
        <v>21</v>
      </c>
      <c r="C60" s="293">
        <v>15</v>
      </c>
      <c r="D60" s="191">
        <f t="shared" si="4"/>
        <v>315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60</v>
      </c>
      <c r="B61" s="193">
        <f>'Données projet'!D69</f>
        <v>21</v>
      </c>
      <c r="C61" s="293">
        <v>15</v>
      </c>
      <c r="D61" s="191">
        <f t="shared" si="4"/>
        <v>315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65</v>
      </c>
      <c r="B62" s="193">
        <f>'Données projet'!D70</f>
        <v>21</v>
      </c>
      <c r="C62" s="293">
        <v>15</v>
      </c>
      <c r="D62" s="191">
        <f t="shared" si="4"/>
        <v>315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70</v>
      </c>
      <c r="B63" s="193">
        <f>'Données projet'!D71</f>
        <v>21</v>
      </c>
      <c r="C63" s="293">
        <v>15</v>
      </c>
      <c r="D63" s="191">
        <f t="shared" si="4"/>
        <v>315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75</v>
      </c>
      <c r="B64" s="193">
        <f>'Données projet'!D72</f>
        <v>21</v>
      </c>
      <c r="C64" s="293">
        <v>20</v>
      </c>
      <c r="D64" s="191">
        <f t="shared" si="4"/>
        <v>420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80</v>
      </c>
      <c r="B65" s="193">
        <f>'Données projet'!D73</f>
        <v>21</v>
      </c>
      <c r="C65" s="293">
        <v>20</v>
      </c>
      <c r="D65" s="191">
        <f t="shared" si="4"/>
        <v>420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85</v>
      </c>
      <c r="B66" s="193">
        <f>'Données projet'!D74</f>
        <v>21</v>
      </c>
      <c r="C66" s="293">
        <v>20</v>
      </c>
      <c r="D66" s="191">
        <f t="shared" si="4"/>
        <v>420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90</v>
      </c>
      <c r="B67" s="193">
        <f>'Données projet'!D75</f>
        <v>21</v>
      </c>
      <c r="C67" s="293">
        <v>20</v>
      </c>
      <c r="D67" s="191">
        <f t="shared" si="4"/>
        <v>420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95</v>
      </c>
      <c r="B68" s="193">
        <f>'Données projet'!D76</f>
        <v>21</v>
      </c>
      <c r="C68" s="293">
        <v>30</v>
      </c>
      <c r="D68" s="191">
        <f t="shared" si="4"/>
        <v>630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100</v>
      </c>
      <c r="B69" s="193">
        <f>'Données projet'!D77</f>
        <v>21</v>
      </c>
      <c r="C69" s="293">
        <v>30</v>
      </c>
      <c r="D69" s="191">
        <f t="shared" si="4"/>
        <v>630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105</v>
      </c>
      <c r="B70" s="193">
        <f>'Données projet'!D78</f>
        <v>20</v>
      </c>
      <c r="C70" s="293">
        <v>40</v>
      </c>
      <c r="D70" s="191">
        <f t="shared" si="4"/>
        <v>800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110</v>
      </c>
      <c r="B71" s="193">
        <f>'Données projet'!D79</f>
        <v>19</v>
      </c>
      <c r="C71" s="293">
        <v>50</v>
      </c>
      <c r="D71" s="191">
        <f t="shared" si="4"/>
        <v>950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115</v>
      </c>
      <c r="B72" s="193">
        <f>'Données projet'!D80</f>
        <v>18</v>
      </c>
      <c r="C72" s="293">
        <v>70</v>
      </c>
      <c r="D72" s="191">
        <f t="shared" si="4"/>
        <v>1260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120</v>
      </c>
      <c r="B73" s="193">
        <f>'Données projet'!D81</f>
        <v>285</v>
      </c>
      <c r="C73" s="293">
        <v>150</v>
      </c>
      <c r="D73" s="191">
        <f t="shared" si="4"/>
        <v>42750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Peuplier Koster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20</v>
      </c>
      <c r="B85" s="193">
        <f>'Données projet'!D88</f>
        <v>236</v>
      </c>
      <c r="C85" s="204">
        <v>70</v>
      </c>
      <c r="D85" s="191">
        <f>B85*C85</f>
        <v>16520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Peuplier Dvena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20</v>
      </c>
      <c r="B116" s="193">
        <f>'Données projet'!D114</f>
        <v>236</v>
      </c>
      <c r="C116" s="204">
        <v>70</v>
      </c>
      <c r="D116" s="191">
        <f>B116*C116</f>
        <v>16520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2024-02-02T08:24:32Z</dcterms:modified>
</cp:coreProperties>
</file>