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3-DEPOSE/275-R-BOISDEGASCOGNE-NAQ(40)-COMMENSACQ-Mannant-Commensacq-10,75ha/"/>
    </mc:Choice>
  </mc:AlternateContent>
  <xr:revisionPtr revIDLastSave="0" documentId="13_ncr:1_{F6A859D3-84A9-7F48-B77E-4909624EC10C}" xr6:coauthVersionLast="47" xr6:coauthVersionMax="47" xr10:uidLastSave="{00000000-0000-0000-0000-000000000000}"/>
  <bookViews>
    <workbookView xWindow="0" yWindow="76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R4" i="2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V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A33" i="2"/>
  <c r="EB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A38" i="2"/>
  <c r="EW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H57" i="2"/>
  <c r="HI57" i="2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V60" i="2"/>
  <c r="HI60" i="2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X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FS113" i="2"/>
  <c r="EW113" i="2"/>
  <c r="EX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EX120" i="2"/>
  <c r="FR120" i="2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EB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EA146" i="2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AB154" i="2"/>
  <c r="EB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HG155" i="2"/>
  <c r="EX155" i="2"/>
  <c r="EY154" i="2"/>
  <c r="AC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ED155" i="2"/>
  <c r="EY155" i="2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HH157" i="2"/>
  <c r="HG157" i="2"/>
  <c r="CN156" i="2"/>
  <c r="EX157" i="2"/>
  <c r="EC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HH160" i="2"/>
  <c r="EY159" i="2"/>
  <c r="ED159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B161" i="2"/>
  <c r="EA161" i="2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ED161" i="2"/>
  <c r="EB162" i="2"/>
  <c r="DI161" i="2"/>
  <c r="EY161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D162" i="2"/>
  <c r="HG163" i="2"/>
  <c r="EY162" i="2"/>
  <c r="HI163" i="2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FS164" i="2"/>
  <c r="ED163" i="2"/>
  <c r="EA164" i="2"/>
  <c r="DI163" i="2"/>
  <c r="EY163" i="2"/>
  <c r="EV164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D165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B168" i="2"/>
  <c r="EC168" i="2"/>
  <c r="EV168" i="2"/>
  <c r="DI167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X169" i="2"/>
  <c r="EY168" i="2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HI172" i="2"/>
  <c r="EB172" i="2"/>
  <c r="EY171" i="2"/>
  <c r="ED171" i="2"/>
  <c r="EA172" i="2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G174" i="2" l="1"/>
  <c r="EY173" i="2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FS175" i="2"/>
  <c r="EW175" i="2"/>
  <c r="HI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W177" i="2"/>
  <c r="EC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HH178" i="2"/>
  <c r="FS178" i="2"/>
  <c r="EA178" i="2"/>
  <c r="ED177" i="2"/>
  <c r="EB178" i="2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D178" i="2"/>
  <c r="EA179" i="2"/>
  <c r="HG179" i="2"/>
  <c r="HI179" i="2"/>
  <c r="EV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EY179" i="2"/>
  <c r="ED179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FS183" i="2"/>
  <c r="EY182" i="2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EY184" i="2"/>
  <c r="ED184" i="2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R186" i="2"/>
  <c r="EA186" i="2"/>
  <c r="EW186" i="2"/>
  <c r="HH186" i="2"/>
  <c r="HG186" i="2"/>
  <c r="ED185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H187" i="2"/>
  <c r="EY186" i="2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ED187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HH189" i="2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HG190" i="2"/>
  <c r="EV190" i="2"/>
  <c r="ED189" i="2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W191" i="2"/>
  <c r="ED190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W192" i="2"/>
  <c r="EC192" i="2"/>
  <c r="EV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Y192" i="2"/>
  <c r="ED192" i="2"/>
  <c r="FQ193" i="2"/>
  <c r="DI192" i="2"/>
  <c r="EX193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B194" i="2"/>
  <c r="ED193" i="2"/>
  <c r="CN193" i="2"/>
  <c r="EA194" i="2"/>
  <c r="HG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FQ195" i="2"/>
  <c r="EB195" i="2"/>
  <c r="EA195" i="2"/>
  <c r="EY194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W196" i="2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Y198" i="2"/>
  <c r="EV199" i="2"/>
  <c r="EW199" i="2"/>
  <c r="HG199" i="2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HH201" i="2" l="1"/>
  <c r="DI200" i="2"/>
  <c r="FS201" i="2"/>
  <c r="EY200" i="2"/>
  <c r="ED200" i="2"/>
  <c r="EB201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Z6" i="2" l="1"/>
  <c r="HH202" i="2"/>
  <c r="HG202" i="2"/>
  <c r="FS202" i="2"/>
  <c r="ED201" i="2"/>
  <c r="EY201" i="2"/>
  <c r="EW202" i="2"/>
  <c r="HI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35" i="2" a="1"/>
  <c r="FY35" i="2" s="1"/>
  <c r="FY29" i="2" a="1"/>
  <c r="FY29" i="2" s="1"/>
  <c r="FY140" i="2" a="1"/>
  <c r="FY140" i="2" s="1"/>
  <c r="FY133" i="2" a="1"/>
  <c r="FY133" i="2" s="1"/>
  <c r="FY69" i="2" a="1"/>
  <c r="FY69" i="2" s="1"/>
  <c r="FY102" i="2" a="1"/>
  <c r="FY102" i="2" s="1"/>
  <c r="FY153" i="2" a="1"/>
  <c r="FY153" i="2" s="1"/>
  <c r="FY110" i="2" a="1"/>
  <c r="FY110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55" i="2" a="1"/>
  <c r="FY55" i="2" s="1"/>
  <c r="FY178" i="2" a="1"/>
  <c r="FY178" i="2" s="1"/>
  <c r="FY62" i="2" a="1"/>
  <c r="FY62" i="2" s="1"/>
  <c r="FY169" i="2" a="1"/>
  <c r="FY169" i="2" s="1"/>
  <c r="FY34" i="2" a="1"/>
  <c r="FY34" i="2" s="1"/>
  <c r="FY104" i="2" a="1"/>
  <c r="FY104" i="2" s="1"/>
  <c r="FY172" i="2" a="1"/>
  <c r="FY172" i="2" s="1"/>
  <c r="BC58" i="2" a="1"/>
  <c r="BC58" i="2" s="1"/>
  <c r="GT115" i="2" a="1"/>
  <c r="GT115" i="2" s="1"/>
  <c r="GT184" i="2" a="1"/>
  <c r="GT184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EI142" i="2" a="1"/>
  <c r="EI142" i="2" s="1"/>
  <c r="CS66" i="2" a="1"/>
  <c r="CS66" i="2" s="1"/>
  <c r="CS52" i="2" a="1"/>
  <c r="CS52" i="2" s="1"/>
  <c r="CS129" i="2" a="1"/>
  <c r="CS129" i="2" s="1"/>
  <c r="CS116" i="2" a="1"/>
  <c r="CS116" i="2" s="1"/>
  <c r="CS137" i="2" a="1"/>
  <c r="CS137" i="2" s="1"/>
  <c r="CS77" i="2" a="1"/>
  <c r="CS77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82" i="2" a="1"/>
  <c r="FY182" i="2" s="1"/>
  <c r="FY82" i="2" a="1"/>
  <c r="FY82" i="2" s="1"/>
  <c r="FY196" i="2" a="1"/>
  <c r="FY196" i="2" s="1"/>
  <c r="FY42" i="2" a="1"/>
  <c r="FY42" i="2" s="1"/>
  <c r="FY167" i="2" a="1"/>
  <c r="FY167" i="2" s="1"/>
  <c r="FY121" i="2" a="1"/>
  <c r="FY121" i="2" s="1"/>
  <c r="FD44" i="2" a="1"/>
  <c r="FD44" i="2" s="1"/>
  <c r="FD64" i="2" a="1"/>
  <c r="FD64" i="2" s="1"/>
  <c r="CS120" i="2" a="1"/>
  <c r="CS120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5" i="2" a="1"/>
  <c r="GT15" i="2" s="1"/>
  <c r="EI38" i="2" a="1"/>
  <c r="EI38" i="2" s="1"/>
  <c r="EI37" i="2" a="1"/>
  <c r="EI37" i="2" s="1"/>
  <c r="CS185" i="2" a="1"/>
  <c r="CS185" i="2" s="1"/>
  <c r="CS56" i="2" a="1"/>
  <c r="CS56" i="2" s="1"/>
  <c r="CS114" i="2" a="1"/>
  <c r="CS114" i="2" s="1"/>
  <c r="DN70" i="2" a="1"/>
  <c r="DN70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HJ202" i="2"/>
  <c r="AX200" i="2"/>
  <c r="BX107" i="2" l="1" a="1"/>
  <c r="BX107" i="2" s="1"/>
  <c r="FD19" i="2" a="1"/>
  <c r="FD19" i="2" s="1"/>
  <c r="FY115" i="2" a="1"/>
  <c r="FY115" i="2" s="1"/>
  <c r="DN41" i="2" a="1"/>
  <c r="DN41" i="2" s="1"/>
  <c r="GT121" i="2" a="1"/>
  <c r="GT121" i="2" s="1"/>
  <c r="FY190" i="2" a="1"/>
  <c r="FY190" i="2" s="1"/>
  <c r="FY143" i="2" a="1"/>
  <c r="FY143" i="2" s="1"/>
  <c r="FY165" i="2" a="1"/>
  <c r="FY165" i="2" s="1"/>
  <c r="FD107" i="2" a="1"/>
  <c r="FD107" i="2" s="1"/>
  <c r="GT122" i="2" a="1"/>
  <c r="GT122" i="2" s="1"/>
  <c r="FY72" i="2" a="1"/>
  <c r="FY72" i="2" s="1"/>
  <c r="FY191" i="2" a="1"/>
  <c r="FY191" i="2" s="1"/>
  <c r="FY146" i="2" a="1"/>
  <c r="FY146" i="2" s="1"/>
  <c r="EY202" i="2"/>
  <c r="FS203" i="2"/>
  <c r="FY126" i="2" a="1"/>
  <c r="FY126" i="2" s="1"/>
  <c r="FY32" i="2" a="1"/>
  <c r="FY32" i="2" s="1"/>
  <c r="FY142" i="2" a="1"/>
  <c r="FY142" i="2" s="1"/>
  <c r="FY152" i="2" a="1"/>
  <c r="FY152" i="2" s="1"/>
  <c r="GT138" i="2" a="1"/>
  <c r="GT138" i="2" s="1"/>
  <c r="GT51" i="2" a="1"/>
  <c r="GT51" i="2" s="1"/>
  <c r="FY188" i="2" a="1"/>
  <c r="FY188" i="2" s="1"/>
  <c r="FY120" i="2" a="1"/>
  <c r="FY120" i="2" s="1"/>
  <c r="GT107" i="2" a="1"/>
  <c r="GT107" i="2" s="1"/>
  <c r="GT21" i="2" a="1"/>
  <c r="GT21" i="2" s="1"/>
  <c r="FY80" i="2" a="1"/>
  <c r="FY80" i="2" s="1"/>
  <c r="GT68" i="2" a="1"/>
  <c r="GT68" i="2" s="1"/>
  <c r="FY24" i="2" a="1"/>
  <c r="FY24" i="2" s="1"/>
  <c r="FY28" i="2" a="1"/>
  <c r="FY28" i="2" s="1"/>
  <c r="FY173" i="2" a="1"/>
  <c r="FY173" i="2" s="1"/>
  <c r="FY71" i="2" a="1"/>
  <c r="FY71" i="2" s="1"/>
  <c r="FY90" i="2" a="1"/>
  <c r="FY90" i="2" s="1"/>
  <c r="FY164" i="2" a="1"/>
  <c r="FY164" i="2" s="1"/>
  <c r="FY66" i="2" a="1"/>
  <c r="FY66" i="2" s="1"/>
  <c r="GT198" i="2" a="1"/>
  <c r="GT198" i="2" s="1"/>
  <c r="FY149" i="2" a="1"/>
  <c r="FY149" i="2" s="1"/>
  <c r="FY186" i="2" a="1"/>
  <c r="FY186" i="2" s="1"/>
  <c r="FY22" i="2" a="1"/>
  <c r="FY22" i="2" s="1"/>
  <c r="DN176" i="2" a="1"/>
  <c r="DN176" i="2" s="1"/>
  <c r="GT174" i="2" a="1"/>
  <c r="GT174" i="2" s="1"/>
  <c r="GT12" i="2" a="1"/>
  <c r="GT12" i="2" s="1"/>
  <c r="FY30" i="2" a="1"/>
  <c r="FY30" i="2" s="1"/>
  <c r="GT11" i="2" a="1"/>
  <c r="GT11" i="2" s="1"/>
  <c r="GT181" i="2" a="1"/>
  <c r="GT181" i="2" s="1"/>
  <c r="FY124" i="2" a="1"/>
  <c r="FY124" i="2" s="1"/>
  <c r="FY78" i="2" a="1"/>
  <c r="FY78" i="2" s="1"/>
  <c r="FY159" i="2" a="1"/>
  <c r="FY159" i="2" s="1"/>
  <c r="FY18" i="2" a="1"/>
  <c r="FY18" i="2" s="1"/>
  <c r="FY57" i="2" a="1"/>
  <c r="FY57" i="2" s="1"/>
  <c r="BC126" i="2" a="1"/>
  <c r="BC126" i="2" s="1"/>
  <c r="BC83" i="2" a="1"/>
  <c r="BC83" i="2" s="1"/>
  <c r="BP203" i="2"/>
  <c r="EI170" i="2" a="1"/>
  <c r="EI170" i="2" s="1"/>
  <c r="EI166" i="2" a="1"/>
  <c r="EI166" i="2" s="1"/>
  <c r="EI150" i="2" a="1"/>
  <c r="EI150" i="2" s="1"/>
  <c r="EI20" i="2" a="1"/>
  <c r="EI20" i="2" s="1"/>
  <c r="EI57" i="2" a="1"/>
  <c r="EI57" i="2" s="1"/>
  <c r="DN132" i="2" a="1"/>
  <c r="DN132" i="2" s="1"/>
  <c r="DN16" i="2" a="1"/>
  <c r="DN16" i="2" s="1"/>
  <c r="DN80" i="2" a="1"/>
  <c r="DN80" i="2" s="1"/>
  <c r="DN135" i="2" a="1"/>
  <c r="DN135" i="2" s="1"/>
  <c r="BC143" i="2" a="1"/>
  <c r="BC143" i="2" s="1"/>
  <c r="BC164" i="2" a="1"/>
  <c r="BC164" i="2" s="1"/>
  <c r="BC117" i="2" a="1"/>
  <c r="BC117" i="2" s="1"/>
  <c r="AH166" i="2" a="1"/>
  <c r="AH166" i="2" s="1"/>
  <c r="EI16" i="2" a="1"/>
  <c r="EI16" i="2" s="1"/>
  <c r="EI34" i="2" a="1"/>
  <c r="EI34" i="2" s="1"/>
  <c r="EI36" i="2" a="1"/>
  <c r="EI36" i="2" s="1"/>
  <c r="EI178" i="2" a="1"/>
  <c r="EI178" i="2" s="1"/>
  <c r="EI29" i="2" a="1"/>
  <c r="EI29" i="2" s="1"/>
  <c r="EI198" i="2" a="1"/>
  <c r="EI198" i="2" s="1"/>
  <c r="EI139" i="2" a="1"/>
  <c r="EI139" i="2" s="1"/>
  <c r="EI165" i="2" a="1"/>
  <c r="EI165" i="2" s="1"/>
  <c r="EI87" i="2" a="1"/>
  <c r="EI87" i="2" s="1"/>
  <c r="EI195" i="2" a="1"/>
  <c r="EI195" i="2" s="1"/>
  <c r="EI145" i="2" a="1"/>
  <c r="EI145" i="2" s="1"/>
  <c r="EI106" i="2" a="1"/>
  <c r="EI106" i="2" s="1"/>
  <c r="EI35" i="2" a="1"/>
  <c r="EI35" i="2" s="1"/>
  <c r="EI113" i="2" a="1"/>
  <c r="EI113" i="2" s="1"/>
  <c r="EI67" i="2" a="1"/>
  <c r="EI67" i="2" s="1"/>
  <c r="EI128" i="2" a="1"/>
  <c r="EI128" i="2" s="1"/>
  <c r="EI71" i="2" a="1"/>
  <c r="EI71" i="2" s="1"/>
  <c r="EI109" i="2" a="1"/>
  <c r="EI109" i="2" s="1"/>
  <c r="EI162" i="2" a="1"/>
  <c r="EI162" i="2" s="1"/>
  <c r="EI153" i="2" a="1"/>
  <c r="EI153" i="2" s="1"/>
  <c r="HG203" i="2"/>
  <c r="FD160" i="2" a="1"/>
  <c r="FD160" i="2" s="1"/>
  <c r="FD167" i="2" a="1"/>
  <c r="FD167" i="2" s="1"/>
  <c r="FD189" i="2" a="1"/>
  <c r="FD189" i="2" s="1"/>
  <c r="FD188" i="2" a="1"/>
  <c r="FD188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D59" i="2" a="1"/>
  <c r="FD59" i="2" s="1"/>
  <c r="FD194" i="2" a="1"/>
  <c r="FD194" i="2" s="1"/>
  <c r="FD159" i="2" a="1"/>
  <c r="FD159" i="2" s="1"/>
  <c r="FD43" i="2" a="1"/>
  <c r="FD43" i="2" s="1"/>
  <c r="FD48" i="2" a="1"/>
  <c r="FD48" i="2" s="1"/>
  <c r="FD21" i="2" a="1"/>
  <c r="FD21" i="2" s="1"/>
  <c r="FD144" i="2" a="1"/>
  <c r="FD144" i="2" s="1"/>
  <c r="DN30" i="2" a="1"/>
  <c r="DN30" i="2" s="1"/>
  <c r="DN190" i="2" a="1"/>
  <c r="DN190" i="2" s="1"/>
  <c r="DN55" i="2" a="1"/>
  <c r="DN55" i="2" s="1"/>
  <c r="DN162" i="2" a="1"/>
  <c r="DN162" i="2" s="1"/>
  <c r="DN38" i="2" a="1"/>
  <c r="DN38" i="2" s="1"/>
  <c r="DN177" i="2" a="1"/>
  <c r="DN177" i="2" s="1"/>
  <c r="DN45" i="2" a="1"/>
  <c r="DN45" i="2" s="1"/>
  <c r="DN46" i="2" a="1"/>
  <c r="DN46" i="2" s="1"/>
  <c r="DN133" i="2" a="1"/>
  <c r="DN133" i="2" s="1"/>
  <c r="DN31" i="2" a="1"/>
  <c r="DN31" i="2" s="1"/>
  <c r="DN49" i="2" a="1"/>
  <c r="DN49" i="2" s="1"/>
  <c r="DN168" i="2" a="1"/>
  <c r="DN168" i="2" s="1"/>
  <c r="DN115" i="2" a="1"/>
  <c r="DN115" i="2" s="1"/>
  <c r="DN187" i="2" a="1"/>
  <c r="DN187" i="2" s="1"/>
  <c r="DN65" i="2" a="1"/>
  <c r="DN65" i="2" s="1"/>
  <c r="DN167" i="2" a="1"/>
  <c r="DN167" i="2" s="1"/>
  <c r="DN164" i="2" a="1"/>
  <c r="DN164" i="2" s="1"/>
  <c r="DN63" i="2" a="1"/>
  <c r="DN63" i="2" s="1"/>
  <c r="DN29" i="2" a="1"/>
  <c r="DN29" i="2" s="1"/>
  <c r="BC151" i="2" a="1"/>
  <c r="BC151" i="2" s="1"/>
  <c r="BC31" i="2" a="1"/>
  <c r="BC31" i="2" s="1"/>
  <c r="BC192" i="2" a="1"/>
  <c r="BC192" i="2" s="1"/>
  <c r="BC181" i="2" a="1"/>
  <c r="BC181" i="2" s="1"/>
  <c r="BC82" i="2" a="1"/>
  <c r="BC82" i="2" s="1"/>
  <c r="BC34" i="2" a="1"/>
  <c r="BC34" i="2" s="1"/>
  <c r="BC18" i="2" a="1"/>
  <c r="BC18" i="2" s="1"/>
  <c r="BC7" i="2" a="1"/>
  <c r="BC7" i="2" s="1"/>
  <c r="BD7" i="2" s="1"/>
  <c r="BC84" i="2" a="1"/>
  <c r="BC84" i="2" s="1"/>
  <c r="BC55" i="2" a="1"/>
  <c r="BC55" i="2" s="1"/>
  <c r="BC65" i="2" a="1"/>
  <c r="BC65" i="2" s="1"/>
  <c r="BC47" i="2" a="1"/>
  <c r="BC47" i="2" s="1"/>
  <c r="BC38" i="2" a="1"/>
  <c r="BC38" i="2" s="1"/>
  <c r="BC185" i="2" a="1"/>
  <c r="BC185" i="2" s="1"/>
  <c r="BC32" i="2" a="1"/>
  <c r="BC32" i="2" s="1"/>
  <c r="BC130" i="2" a="1"/>
  <c r="BC130" i="2" s="1"/>
  <c r="BC114" i="2" a="1"/>
  <c r="BC114" i="2" s="1"/>
  <c r="BC68" i="2" a="1"/>
  <c r="BC68" i="2" s="1"/>
  <c r="AH151" i="2" a="1"/>
  <c r="AH151" i="2" s="1"/>
  <c r="AH62" i="2" a="1"/>
  <c r="AH62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DI203" i="2"/>
  <c r="CN203" i="2"/>
  <c r="EY203" i="2"/>
  <c r="FT203" i="2"/>
  <c r="ED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4" i="2" l="1"/>
  <c r="CY146" i="2"/>
  <c r="CY100" i="2"/>
  <c r="CY193" i="2"/>
  <c r="CY26" i="2"/>
  <c r="CY172" i="2"/>
  <c r="CY203" i="2"/>
  <c r="CY121" i="2"/>
  <c r="CY108" i="2"/>
  <c r="CY52" i="2"/>
  <c r="CY74" i="2"/>
  <c r="CY14" i="2"/>
  <c r="CY8" i="2"/>
  <c r="CY92" i="2"/>
  <c r="CY31" i="2"/>
  <c r="CY190" i="2"/>
  <c r="CY60" i="2"/>
  <c r="CY133" i="2"/>
  <c r="CY161" i="2"/>
  <c r="CY6" i="2"/>
  <c r="CY180" i="2"/>
  <c r="CY41" i="2"/>
  <c r="CY137" i="2"/>
  <c r="CY151" i="2"/>
  <c r="CY91" i="2"/>
  <c r="CY142" i="2"/>
  <c r="CY29" i="2"/>
  <c r="CY9" i="2"/>
  <c r="CY39" i="2"/>
  <c r="CY179" i="2"/>
  <c r="CY33" i="2"/>
  <c r="CY15" i="2"/>
  <c r="CY4" i="2"/>
  <c r="CY11" i="2"/>
  <c r="CY5" i="2"/>
  <c r="CY162" i="2"/>
  <c r="CY78" i="2"/>
  <c r="CY199" i="2"/>
  <c r="CY18" i="2"/>
  <c r="CY173" i="2"/>
  <c r="CY177" i="2"/>
  <c r="CY71" i="2"/>
  <c r="CY53" i="2"/>
  <c r="CY150" i="2"/>
  <c r="CY93" i="2"/>
  <c r="CY158" i="2"/>
  <c r="CY120" i="2"/>
  <c r="CY139" i="2"/>
  <c r="CY124" i="2"/>
  <c r="CY16" i="2"/>
  <c r="CY122" i="2"/>
  <c r="CY50" i="2"/>
  <c r="CY186" i="2"/>
  <c r="CY160" i="2"/>
  <c r="CY44" i="2"/>
  <c r="CY70" i="2"/>
  <c r="CY194" i="2"/>
  <c r="CY56" i="2"/>
  <c r="CY45" i="2"/>
  <c r="CY35" i="2"/>
  <c r="CY174" i="2"/>
  <c r="CY144" i="2"/>
  <c r="CY163" i="2"/>
  <c r="CY111" i="2"/>
  <c r="CY132" i="2"/>
  <c r="CY51" i="2"/>
  <c r="CY19" i="2"/>
  <c r="CY143" i="2"/>
  <c r="CY114" i="2"/>
  <c r="CY62" i="2"/>
  <c r="CY82" i="2"/>
  <c r="CY189" i="2"/>
  <c r="CY147" i="2"/>
  <c r="CY154" i="2"/>
  <c r="CY131" i="2"/>
  <c r="CY47" i="2"/>
  <c r="CY148" i="2"/>
  <c r="CY13" i="2"/>
  <c r="CY126" i="2"/>
  <c r="CY21" i="2"/>
  <c r="CY201" i="2"/>
  <c r="CY48" i="2"/>
  <c r="CY109" i="2"/>
  <c r="CY42" i="2"/>
  <c r="CY49" i="2"/>
  <c r="CY167" i="2"/>
  <c r="CY130" i="2"/>
  <c r="CY79" i="2"/>
  <c r="CY168" i="2"/>
  <c r="CY171" i="2"/>
  <c r="CY95" i="2"/>
  <c r="CY152" i="2"/>
  <c r="CY118" i="2"/>
  <c r="CY22" i="2"/>
  <c r="CY105" i="2"/>
  <c r="CY170" i="2"/>
  <c r="CY102" i="2"/>
  <c r="CY129" i="2"/>
  <c r="CY63" i="2"/>
  <c r="CY169" i="2"/>
  <c r="CY58" i="2"/>
  <c r="CY145" i="2"/>
  <c r="CY76" i="2"/>
  <c r="CY72" i="2"/>
  <c r="CY17" i="2"/>
  <c r="CY176" i="2"/>
  <c r="CY55" i="2"/>
  <c r="CY69" i="2"/>
  <c r="CY165" i="2"/>
  <c r="CY38" i="2"/>
  <c r="CY34" i="2"/>
  <c r="CY61" i="2"/>
  <c r="CY57" i="2"/>
  <c r="CY125" i="2"/>
  <c r="CY86" i="2"/>
  <c r="CY117" i="2"/>
  <c r="CY83" i="2"/>
  <c r="CY90" i="2"/>
  <c r="CY25" i="2"/>
  <c r="CY198" i="2"/>
  <c r="CY101" i="2"/>
  <c r="CY156" i="2"/>
  <c r="CY141" i="2"/>
  <c r="CY75" i="2"/>
  <c r="CY89" i="2"/>
  <c r="CY182" i="2"/>
  <c r="CY107" i="2"/>
  <c r="CY99" i="2"/>
  <c r="CY32" i="2"/>
  <c r="CY81" i="2"/>
  <c r="CY119" i="2"/>
  <c r="CY59" i="2"/>
  <c r="CY67" i="2"/>
  <c r="CY10" i="2"/>
  <c r="CY94" i="2"/>
  <c r="CY116" i="2"/>
  <c r="CY104" i="2"/>
  <c r="CY191" i="2"/>
  <c r="CY98" i="2"/>
  <c r="CY106" i="2"/>
  <c r="CY192" i="2"/>
  <c r="CY7" i="2"/>
  <c r="CY184" i="2"/>
  <c r="CY187" i="2"/>
  <c r="CY115" i="2"/>
  <c r="CY166" i="2"/>
  <c r="CY28" i="2"/>
  <c r="CY54" i="2"/>
  <c r="CY164" i="2"/>
  <c r="CY140" i="2"/>
  <c r="CY80" i="2"/>
  <c r="CY12" i="2"/>
  <c r="CY188" i="2"/>
  <c r="CY30" i="2"/>
  <c r="CY68" i="2"/>
  <c r="CY195" i="2"/>
  <c r="CY27" i="2"/>
  <c r="CY64" i="2"/>
  <c r="CY43" i="2"/>
  <c r="CY110" i="2"/>
  <c r="CY3" i="2"/>
  <c r="C10" i="4" s="1"/>
  <c r="E10" i="4" s="1"/>
  <c r="F10" i="4" s="1"/>
  <c r="G10" i="4" s="1"/>
  <c r="L10" i="4" s="1"/>
  <c r="CY85" i="2"/>
  <c r="CY202" i="2"/>
  <c r="CY153" i="2"/>
  <c r="CY88" i="2"/>
  <c r="CY65" i="2"/>
  <c r="CY87" i="2"/>
  <c r="CY178" i="2"/>
  <c r="CY20" i="2"/>
  <c r="CY183" i="2"/>
  <c r="CY40" i="2"/>
  <c r="CY97" i="2"/>
  <c r="CY157" i="2"/>
  <c r="CY185" i="2"/>
  <c r="CY96" i="2"/>
  <c r="CY66" i="2"/>
  <c r="CY136" i="2"/>
  <c r="CY84" i="2"/>
  <c r="CY155" i="2"/>
  <c r="CY113" i="2"/>
  <c r="CY138" i="2"/>
  <c r="CY37" i="2"/>
  <c r="CY181" i="2"/>
  <c r="CY149" i="2"/>
  <c r="CY128" i="2"/>
  <c r="CY159" i="2"/>
  <c r="CY135" i="2"/>
  <c r="CY134" i="2"/>
  <c r="CY200" i="2"/>
  <c r="CY36" i="2"/>
  <c r="CY103" i="2"/>
  <c r="CY123" i="2"/>
  <c r="CY23" i="2"/>
  <c r="CY197" i="2"/>
  <c r="CY46" i="2"/>
  <c r="CY73" i="2"/>
  <c r="CY196" i="2"/>
  <c r="CY112" i="2"/>
  <c r="CY175" i="2"/>
  <c r="CY127" i="2"/>
  <c r="CY77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70" i="2"/>
  <c r="BI108" i="2"/>
  <c r="BI60" i="2"/>
  <c r="BI163" i="2"/>
  <c r="BI52" i="2"/>
  <c r="BI139" i="2"/>
  <c r="BI140" i="2"/>
  <c r="BI135" i="2"/>
  <c r="BI9" i="2"/>
  <c r="BI182" i="2"/>
  <c r="BI171" i="2"/>
  <c r="BI65" i="2"/>
  <c r="BI27" i="2"/>
  <c r="BI202" i="2"/>
  <c r="BI168" i="2"/>
  <c r="BI10" i="2"/>
  <c r="BI151" i="2"/>
  <c r="BI161" i="2"/>
  <c r="BI195" i="2"/>
  <c r="BI184" i="2"/>
  <c r="BI86" i="2"/>
  <c r="BI99" i="2"/>
  <c r="BI90" i="2"/>
  <c r="BI129" i="2"/>
  <c r="BI42" i="2"/>
  <c r="BI200" i="2"/>
  <c r="BI109" i="2"/>
  <c r="BI188" i="2"/>
  <c r="BI19" i="2"/>
  <c r="BI132" i="2"/>
  <c r="BI101" i="2"/>
  <c r="BI194" i="2"/>
  <c r="BI122" i="2"/>
  <c r="BI192" i="2"/>
  <c r="BI62" i="2"/>
  <c r="BI167" i="2"/>
  <c r="BI53" i="2"/>
  <c r="BI68" i="2"/>
  <c r="BI4" i="2"/>
  <c r="BI33" i="2"/>
  <c r="BI136" i="2"/>
  <c r="BI18" i="2"/>
  <c r="BI69" i="2"/>
  <c r="BI166" i="2"/>
  <c r="BI72" i="2"/>
  <c r="BI176" i="2"/>
  <c r="BI183" i="2"/>
  <c r="BI16" i="2"/>
  <c r="BI125" i="2"/>
  <c r="BI198" i="2"/>
  <c r="BI6" i="2"/>
  <c r="BI131" i="2"/>
  <c r="BI25" i="2"/>
  <c r="BI189" i="2"/>
  <c r="BI23" i="2"/>
  <c r="BI63" i="2"/>
  <c r="BI201" i="2"/>
  <c r="BI158" i="2"/>
  <c r="BI100" i="2"/>
  <c r="BI173" i="2"/>
  <c r="BI138" i="2"/>
  <c r="BI180" i="2"/>
  <c r="BI137" i="2"/>
  <c r="BI88" i="2"/>
  <c r="BI164" i="2"/>
  <c r="BI147" i="2"/>
  <c r="BI36" i="2"/>
  <c r="BI82" i="2"/>
  <c r="BI126" i="2"/>
  <c r="BI159" i="2"/>
  <c r="BI112" i="2"/>
  <c r="BI196" i="2"/>
  <c r="BI175" i="2"/>
  <c r="BI127" i="2"/>
  <c r="BI24" i="2"/>
  <c r="BI28" i="2"/>
  <c r="BI153" i="2"/>
  <c r="BI73" i="2"/>
  <c r="BI178" i="2"/>
  <c r="BI32" i="2"/>
  <c r="BI13" i="2"/>
  <c r="BI43" i="2"/>
  <c r="BI98" i="2"/>
  <c r="BI155" i="2"/>
  <c r="BI190" i="2"/>
  <c r="BI76" i="2"/>
  <c r="BI110" i="2"/>
  <c r="BI85" i="2"/>
  <c r="BI3" i="2"/>
  <c r="C8" i="4" s="1"/>
  <c r="E8" i="4" s="1"/>
  <c r="F8" i="4" s="1"/>
  <c r="G8" i="4" s="1"/>
  <c r="L8" i="4" s="1"/>
  <c r="BI111" i="2"/>
  <c r="BI17" i="2"/>
  <c r="BI75" i="2"/>
  <c r="BI149" i="2"/>
  <c r="BI174" i="2"/>
  <c r="BI66" i="2"/>
  <c r="BI169" i="2"/>
  <c r="BI146" i="2"/>
  <c r="BI106" i="2"/>
  <c r="BI145" i="2"/>
  <c r="BI117" i="2"/>
  <c r="BI71" i="2"/>
  <c r="BI94" i="2"/>
  <c r="BI96" i="2"/>
  <c r="BI185" i="2"/>
  <c r="BI187" i="2"/>
  <c r="BI37" i="2"/>
  <c r="BI186" i="2"/>
  <c r="BI199" i="2"/>
  <c r="BI81" i="2"/>
  <c r="BI29" i="2"/>
  <c r="BI156" i="2"/>
  <c r="BI26" i="2"/>
  <c r="BI84" i="2"/>
  <c r="BI7" i="2"/>
  <c r="BI191" i="2"/>
  <c r="BI87" i="2"/>
  <c r="BI50" i="2"/>
  <c r="BI181" i="2"/>
  <c r="BI128" i="2"/>
  <c r="BI124" i="2"/>
  <c r="BI142" i="2"/>
  <c r="BI103" i="2"/>
  <c r="BI49" i="2"/>
  <c r="BI38" i="2"/>
  <c r="BI170" i="2"/>
  <c r="BI56" i="2"/>
  <c r="BI157" i="2"/>
  <c r="BI61" i="2"/>
  <c r="BI15" i="2"/>
  <c r="BI57" i="2"/>
  <c r="BI92" i="2"/>
  <c r="BI114" i="2"/>
  <c r="BI59" i="2"/>
  <c r="BI20" i="2"/>
  <c r="BI44" i="2"/>
  <c r="BI34" i="2"/>
  <c r="BI102" i="2"/>
  <c r="BI45" i="2"/>
  <c r="BI143" i="2"/>
  <c r="BI67" i="2"/>
  <c r="BI78" i="2"/>
  <c r="BI152" i="2"/>
  <c r="BI14" i="2"/>
  <c r="BI22" i="2"/>
  <c r="BI177" i="2"/>
  <c r="BI165" i="2"/>
  <c r="BI97" i="2"/>
  <c r="BI148" i="2"/>
  <c r="BI21" i="2"/>
  <c r="BI55" i="2"/>
  <c r="BI107" i="2"/>
  <c r="BI46" i="2"/>
  <c r="BI172" i="2"/>
  <c r="BI162" i="2"/>
  <c r="BI35" i="2"/>
  <c r="BI119" i="2"/>
  <c r="BI83" i="2"/>
  <c r="BI58" i="2"/>
  <c r="BI79" i="2"/>
  <c r="BI120" i="2"/>
  <c r="BI30" i="2"/>
  <c r="BI134" i="2"/>
  <c r="BI104" i="2"/>
  <c r="BI12" i="2"/>
  <c r="BI133" i="2"/>
  <c r="BI51" i="2"/>
  <c r="BI197" i="2"/>
  <c r="BI116" i="2"/>
  <c r="BI113" i="2"/>
  <c r="BI80" i="2"/>
  <c r="BI5" i="2"/>
  <c r="BI40" i="2"/>
  <c r="BI160" i="2"/>
  <c r="BI11" i="2"/>
  <c r="BI41" i="2"/>
  <c r="BI64" i="2"/>
  <c r="BI89" i="2"/>
  <c r="BI105" i="2"/>
  <c r="BI115" i="2"/>
  <c r="BI144" i="2"/>
  <c r="BI74" i="2"/>
  <c r="BI8" i="2"/>
  <c r="BI54" i="2"/>
  <c r="BI118" i="2"/>
  <c r="BI48" i="2"/>
  <c r="BI154" i="2"/>
  <c r="BI77" i="2"/>
  <c r="BI39" i="2"/>
  <c r="BI179" i="2"/>
  <c r="BI141" i="2"/>
  <c r="BI121" i="2"/>
  <c r="BI123" i="2"/>
  <c r="BI31" i="2"/>
  <c r="BI93" i="2"/>
  <c r="BI91" i="2"/>
  <c r="BI130" i="2"/>
  <c r="BI203" i="2"/>
  <c r="BI150" i="2"/>
  <c r="BI193" i="2"/>
  <c r="BI95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<sst xmlns="http://schemas.openxmlformats.org/spreadsheetml/2006/main" count="1116" uniqueCount="324">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</sst>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147.43366176898456</c:v>
                </c:pt>
                <c:pt idx="15">
                  <c:v>175.15013994164227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226.42350612832965</c:v>
                </c:pt>
                <c:pt idx="20">
                  <c:v>252.59871949023648</c:v>
                </c:pt>
                <c:pt idx="21">
                  <c:v>278.7124764590701</c:v>
                </c:pt>
                <c:pt idx="22">
                  <c:v>304.3445602390621</c:v>
                </c:pt>
                <c:pt idx="23">
                  <c:v>253.02728945651555</c:v>
                </c:pt>
                <c:pt idx="24">
                  <c:v>275.29097608691217</c:v>
                </c:pt>
                <c:pt idx="25">
                  <c:v>297.51422498707058</c:v>
                </c:pt>
                <c:pt idx="26">
                  <c:v>319.7004800513119</c:v>
                </c:pt>
                <c:pt idx="27">
                  <c:v>340.57553734988892</c:v>
                </c:pt>
                <c:pt idx="28">
                  <c:v>361.42246215684605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3.1574352117632487</c:v>
                </c:pt>
                <c:pt idx="2">
                  <c:v>3.5999782306865691</c:v>
                </c:pt>
                <c:pt idx="3">
                  <c:v>4.1047664343620669</c:v>
                </c:pt>
                <c:pt idx="4">
                  <c:v>4.6805838797664601</c:v>
                </c:pt>
                <c:pt idx="5">
                  <c:v>5.3374580784151151</c:v>
                </c:pt>
                <c:pt idx="6">
                  <c:v>6.0868365247961362</c:v>
                </c:pt>
                <c:pt idx="7">
                  <c:v>6.9417883525842585</c:v>
                </c:pt>
                <c:pt idx="8">
                  <c:v>7.9172347041745645</c:v>
                </c:pt>
                <c:pt idx="9">
                  <c:v>9.0302119118489568</c:v>
                </c:pt>
                <c:pt idx="10">
                  <c:v>10.30017217514315</c:v>
                </c:pt>
                <c:pt idx="11">
                  <c:v>11.749327089267696</c:v>
                </c:pt>
                <c:pt idx="12">
                  <c:v>13.403040145820308</c:v>
                </c:pt>
                <c:pt idx="13">
                  <c:v>15.290275203310477</c:v>
                </c:pt>
                <c:pt idx="14">
                  <c:v>17.444108926988743</c:v>
                </c:pt>
                <c:pt idx="15">
                  <c:v>19.902316343192009</c:v>
                </c:pt>
                <c:pt idx="16">
                  <c:v>22.708039963540383</c:v>
                </c:pt>
                <c:pt idx="17">
                  <c:v>25.910554432483483</c:v>
                </c:pt>
                <c:pt idx="18">
                  <c:v>29.566140364927794</c:v>
                </c:pt>
                <c:pt idx="19">
                  <c:v>33.739082999908902</c:v>
                </c:pt>
                <c:pt idx="20">
                  <c:v>38.502813536884425</c:v>
                </c:pt>
                <c:pt idx="21">
                  <c:v>43.941213583690264</c:v>
                </c:pt>
                <c:pt idx="22">
                  <c:v>50.150106075834543</c:v>
                </c:pt>
                <c:pt idx="23">
                  <c:v>57.238959378578983</c:v>
                </c:pt>
                <c:pt idx="24">
                  <c:v>65.332835116792566</c:v>
                </c:pt>
                <c:pt idx="25">
                  <c:v>74.574614662209299</c:v>
                </c:pt>
                <c:pt idx="26">
                  <c:v>86.158510470515964</c:v>
                </c:pt>
                <c:pt idx="27">
                  <c:v>97.703177946167614</c:v>
                </c:pt>
                <c:pt idx="28">
                  <c:v>109.21391592938788</c:v>
                </c:pt>
                <c:pt idx="29">
                  <c:v>120.69481062217777</c:v>
                </c:pt>
                <c:pt idx="30">
                  <c:v>132.14910489975802</c:v>
                </c:pt>
                <c:pt idx="31">
                  <c:v>144.05520916362818</c:v>
                </c:pt>
                <c:pt idx="32">
                  <c:v>155.93775882820455</c:v>
                </c:pt>
                <c:pt idx="33">
                  <c:v>167.79880331835713</c:v>
                </c:pt>
                <c:pt idx="34">
                  <c:v>179.64007820340888</c:v>
                </c:pt>
                <c:pt idx="35">
                  <c:v>191.46307124402202</c:v>
                </c:pt>
                <c:pt idx="36">
                  <c:v>173.48498574926043</c:v>
                </c:pt>
                <c:pt idx="37">
                  <c:v>186.26311995847519</c:v>
                </c:pt>
                <c:pt idx="38">
                  <c:v>199.02079476214126</c:v>
                </c:pt>
                <c:pt idx="39">
                  <c:v>211.75950715739978</c:v>
                </c:pt>
                <c:pt idx="40">
                  <c:v>224.48055915021379</c:v>
                </c:pt>
                <c:pt idx="41">
                  <c:v>204.68470429512658</c:v>
                </c:pt>
                <c:pt idx="42">
                  <c:v>217.88658883714629</c:v>
                </c:pt>
                <c:pt idx="43">
                  <c:v>231.07009053068865</c:v>
                </c:pt>
                <c:pt idx="44">
                  <c:v>244.23640635769303</c:v>
                </c:pt>
                <c:pt idx="45">
                  <c:v>257.3865936219953</c:v>
                </c:pt>
                <c:pt idx="46">
                  <c:v>237.6553276150083</c:v>
                </c:pt>
                <c:pt idx="47">
                  <c:v>250.81345477764856</c:v>
                </c:pt>
                <c:pt idx="48">
                  <c:v>263.9559369584577</c:v>
                </c:pt>
                <c:pt idx="49">
                  <c:v>277.08366310900448</c:v>
                </c:pt>
                <c:pt idx="50">
                  <c:v>290.19743103031283</c:v>
                </c:pt>
                <c:pt idx="51">
                  <c:v>270.5215927056289</c:v>
                </c:pt>
                <c:pt idx="52">
                  <c:v>283.64224516951543</c:v>
                </c:pt>
                <c:pt idx="53">
                  <c:v>296.74930832673988</c:v>
                </c:pt>
                <c:pt idx="54">
                  <c:v>309.84346710446152</c:v>
                </c:pt>
                <c:pt idx="55">
                  <c:v>322.92534379451814</c:v>
                </c:pt>
                <c:pt idx="56">
                  <c:v>302.83030487228262</c:v>
                </c:pt>
                <c:pt idx="57">
                  <c:v>315.45145534176953</c:v>
                </c:pt>
                <c:pt idx="58">
                  <c:v>328.06141769701776</c:v>
                </c:pt>
                <c:pt idx="59">
                  <c:v>340.66068267684113</c:v>
                </c:pt>
                <c:pt idx="60">
                  <c:v>353.24970174806896</c:v>
                </c:pt>
                <c:pt idx="61">
                  <c:v>333.19571649252038</c:v>
                </c:pt>
                <c:pt idx="62">
                  <c:v>345.79075477962851</c:v>
                </c:pt>
                <c:pt idx="63">
                  <c:v>358.37572087946961</c:v>
                </c:pt>
                <c:pt idx="64">
                  <c:v>370.95101839037164</c:v>
                </c:pt>
                <c:pt idx="65">
                  <c:v>383.51702130873826</c:v>
                </c:pt>
                <c:pt idx="66">
                  <c:v>362.56854195764782</c:v>
                </c:pt>
                <c:pt idx="67">
                  <c:v>374.20974903573409</c:v>
                </c:pt>
                <c:pt idx="68">
                  <c:v>385.84306708196328</c:v>
                </c:pt>
                <c:pt idx="69">
                  <c:v>397.46876752677196</c:v>
                </c:pt>
                <c:pt idx="70">
                  <c:v>409.08710462349319</c:v>
                </c:pt>
                <c:pt idx="71">
                  <c:v>388.16880820600954</c:v>
                </c:pt>
                <c:pt idx="72">
                  <c:v>399.79301616201764</c:v>
                </c:pt>
                <c:pt idx="73">
                  <c:v>411.40990969949058</c:v>
                </c:pt>
                <c:pt idx="74">
                  <c:v>423.01972449465933</c:v>
                </c:pt>
                <c:pt idx="75">
                  <c:v>434.62268223024995</c:v>
                </c:pt>
                <c:pt idx="76">
                  <c:v>412.80345673799064</c:v>
                </c:pt>
                <c:pt idx="77">
                  <c:v>423.48397302905875</c:v>
                </c:pt>
                <c:pt idx="78">
                  <c:v>434.15869291655468</c:v>
                </c:pt>
                <c:pt idx="79">
                  <c:v>444.82777903657205</c:v>
                </c:pt>
                <c:pt idx="80">
                  <c:v>455.49138558575515</c:v>
                </c:pt>
                <c:pt idx="81">
                  <c:v>433.23068233058711</c:v>
                </c:pt>
                <c:pt idx="82">
                  <c:v>443.43647307310084</c:v>
                </c:pt>
                <c:pt idx="83">
                  <c:v>453.63723243721915</c:v>
                </c:pt>
                <c:pt idx="84">
                  <c:v>463.83308953522004</c:v>
                </c:pt>
                <c:pt idx="85">
                  <c:v>474.02416733906404</c:v>
                </c:pt>
                <c:pt idx="86">
                  <c:v>451.31931304097878</c:v>
                </c:pt>
                <c:pt idx="87">
                  <c:v>461.05288028198476</c:v>
                </c:pt>
                <c:pt idx="88">
                  <c:v>470.78206284896743</c:v>
                </c:pt>
                <c:pt idx="89">
                  <c:v>480.50696415087856</c:v>
                </c:pt>
                <c:pt idx="90">
                  <c:v>490.22768306866232</c:v>
                </c:pt>
                <c:pt idx="91">
                  <c:v>463.13807064070289</c:v>
                </c:pt>
                <c:pt idx="92">
                  <c:v>468.4659829266057</c:v>
                </c:pt>
                <c:pt idx="93">
                  <c:v>473.79260414178452</c:v>
                </c:pt>
                <c:pt idx="94">
                  <c:v>479.1179508597067</c:v>
                </c:pt>
                <c:pt idx="95">
                  <c:v>484.44203925509163</c:v>
                </c:pt>
                <c:pt idx="96">
                  <c:v>489.76488511787994</c:v>
                </c:pt>
                <c:pt idx="97">
                  <c:v>495.08650386656154</c:v>
                </c:pt>
                <c:pt idx="98">
                  <c:v>500.40691056090049</c:v>
                </c:pt>
                <c:pt idx="99">
                  <c:v>505.7261199140932</c:v>
                </c:pt>
                <c:pt idx="100">
                  <c:v>511.04414630438492</c:v>
                </c:pt>
                <c:pt idx="101">
                  <c:v>482.59032414855642</c:v>
                </c:pt>
                <c:pt idx="102">
                  <c:v>486.52503910078366</c:v>
                </c:pt>
                <c:pt idx="103">
                  <c:v>490.45907856773647</c:v>
                </c:pt>
                <c:pt idx="104">
                  <c:v>494.39244873679621</c:v>
                </c:pt>
                <c:pt idx="105">
                  <c:v>498.32515568877449</c:v>
                </c:pt>
                <c:pt idx="106">
                  <c:v>502.25720540059518</c:v>
                </c:pt>
                <c:pt idx="107">
                  <c:v>506.18860374788636</c:v>
                </c:pt>
                <c:pt idx="108">
                  <c:v>510.11935650748882</c:v>
                </c:pt>
                <c:pt idx="109">
                  <c:v>514.04946935988164</c:v>
                </c:pt>
                <c:pt idx="110">
                  <c:v>517.97894789153122</c:v>
                </c:pt>
                <c:pt idx="111">
                  <c:v>491.3846374177129</c:v>
                </c:pt>
                <c:pt idx="112">
                  <c:v>494.8551544494353</c:v>
                </c:pt>
                <c:pt idx="113">
                  <c:v>498.3251556887742</c:v>
                </c:pt>
                <c:pt idx="114">
                  <c:v>501.79464523740438</c:v>
                </c:pt>
                <c:pt idx="115">
                  <c:v>505.26362713560303</c:v>
                </c:pt>
                <c:pt idx="116">
                  <c:v>508.73210536359448</c:v>
                </c:pt>
                <c:pt idx="117">
                  <c:v>512.20008384285597</c:v>
                </c:pt>
                <c:pt idx="118">
                  <c:v>515.66756643738336</c:v>
                </c:pt>
                <c:pt idx="119">
                  <c:v>519.1345569549261</c:v>
                </c:pt>
                <c:pt idx="120">
                  <c:v>522.60105914818269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3.2877822830537951</c:v>
                </c:pt>
                <c:pt idx="2">
                  <c:v>3.7486563824478041</c:v>
                </c:pt>
                <c:pt idx="3">
                  <c:v>4.2743621988779381</c:v>
                </c:pt>
                <c:pt idx="4">
                  <c:v>4.8740498871689484</c:v>
                </c:pt>
                <c:pt idx="5">
                  <c:v>5.5581650240281348</c:v>
                </c:pt>
                <c:pt idx="6">
                  <c:v>6.3386325329171171</c:v>
                </c:pt>
                <c:pt idx="7">
                  <c:v>7.2290667920123957</c:v>
                </c:pt>
                <c:pt idx="8">
                  <c:v>8.2450116617021205</c:v>
                </c:pt>
                <c:pt idx="9">
                  <c:v>9.4042147024631397</c:v>
                </c:pt>
                <c:pt idx="10">
                  <c:v>10.72694046494486</c:v>
                </c:pt>
                <c:pt idx="11">
                  <c:v>12.236328432650803</c:v>
                </c:pt>
                <c:pt idx="12">
                  <c:v>13.958801996331969</c:v>
                </c:pt>
                <c:pt idx="13">
                  <c:v>15.924535752475025</c:v>
                </c:pt>
                <c:pt idx="14">
                  <c:v>18.16798946253861</c:v>
                </c:pt>
                <c:pt idx="15">
                  <c:v>20.728518203687273</c:v>
                </c:pt>
                <c:pt idx="16">
                  <c:v>23.651069607227843</c:v>
                </c:pt>
                <c:pt idx="17">
                  <c:v>26.986980642400102</c:v>
                </c:pt>
                <c:pt idx="18">
                  <c:v>30.794888188792299</c:v>
                </c:pt>
                <c:pt idx="19">
                  <c:v>35.141769682679019</c:v>
                </c:pt>
                <c:pt idx="20">
                  <c:v>40.104132457894728</c:v>
                </c:pt>
                <c:pt idx="21">
                  <c:v>45.769373072652449</c:v>
                </c:pt>
                <c:pt idx="22">
                  <c:v>52.237330968265496</c:v>
                </c:pt>
                <c:pt idx="23">
                  <c:v>59.622064299257012</c:v>
                </c:pt>
                <c:pt idx="24">
                  <c:v>68.053879770033035</c:v>
                </c:pt>
                <c:pt idx="25">
                  <c:v>77.681652883443277</c:v>
                </c:pt>
                <c:pt idx="26">
                  <c:v>89.749527295102055</c:v>
                </c:pt>
                <c:pt idx="27">
                  <c:v>101.77669150071307</c:v>
                </c:pt>
                <c:pt idx="28">
                  <c:v>113.76864450731324</c:v>
                </c:pt>
                <c:pt idx="29">
                  <c:v>125.72962687559315</c:v>
                </c:pt>
                <c:pt idx="30">
                  <c:v>137.6630039822968</c:v>
                </c:pt>
                <c:pt idx="31">
                  <c:v>150.06719138513347</c:v>
                </c:pt>
                <c:pt idx="32">
                  <c:v>162.44693439980156</c:v>
                </c:pt>
                <c:pt idx="33">
                  <c:v>174.80435986940384</c:v>
                </c:pt>
                <c:pt idx="34">
                  <c:v>187.14126892541751</c:v>
                </c:pt>
                <c:pt idx="35">
                  <c:v>199.45920552954112</c:v>
                </c:pt>
                <c:pt idx="36">
                  <c:v>180.72853624887799</c:v>
                </c:pt>
                <c:pt idx="37">
                  <c:v>194.04156088484288</c:v>
                </c:pt>
                <c:pt idx="38">
                  <c:v>207.33335324915291</c:v>
                </c:pt>
                <c:pt idx="39">
                  <c:v>220.60546688889869</c:v>
                </c:pt>
                <c:pt idx="40">
                  <c:v>233.85925299408595</c:v>
                </c:pt>
                <c:pt idx="41">
                  <c:v>213.23441535885948</c:v>
                </c:pt>
                <c:pt idx="42">
                  <c:v>226.9891306675197</c:v>
                </c:pt>
                <c:pt idx="43">
                  <c:v>240.72476870476387</c:v>
                </c:pt>
                <c:pt idx="44">
                  <c:v>254.44257166922989</c:v>
                </c:pt>
                <c:pt idx="45">
                  <c:v>268.14363680502896</c:v>
                </c:pt>
                <c:pt idx="46">
                  <c:v>247.58582789971763</c:v>
                </c:pt>
                <c:pt idx="47">
                  <c:v>261.29513286819559</c:v>
                </c:pt>
                <c:pt idx="48">
                  <c:v>274.98820185643041</c:v>
                </c:pt>
                <c:pt idx="49">
                  <c:v>288.66595739666019</c:v>
                </c:pt>
                <c:pt idx="50">
                  <c:v>302.32922742731336</c:v>
                </c:pt>
                <c:pt idx="51">
                  <c:v>281.82894001768091</c:v>
                </c:pt>
                <c:pt idx="52">
                  <c:v>295.49935465856674</c:v>
                </c:pt>
                <c:pt idx="53">
                  <c:v>309.15566664872</c:v>
                </c:pt>
                <c:pt idx="54">
                  <c:v>322.79858678882687</c:v>
                </c:pt>
                <c:pt idx="55">
                  <c:v>336.42876087816643</c:v>
                </c:pt>
                <c:pt idx="56">
                  <c:v>315.49150440002353</c:v>
                </c:pt>
                <c:pt idx="57">
                  <c:v>328.64161514294386</c:v>
                </c:pt>
                <c:pt idx="58">
                  <c:v>341.7801151340143</c:v>
                </c:pt>
                <c:pt idx="59">
                  <c:v>354.90751364999682</c:v>
                </c:pt>
                <c:pt idx="60">
                  <c:v>368.02427921214581</c:v>
                </c:pt>
                <c:pt idx="61">
                  <c:v>347.12962722715201</c:v>
                </c:pt>
                <c:pt idx="62">
                  <c:v>360.25263938461012</c:v>
                </c:pt>
                <c:pt idx="63">
                  <c:v>373.36519887198909</c:v>
                </c:pt>
                <c:pt idx="64">
                  <c:v>386.46772453378168</c:v>
                </c:pt>
                <c:pt idx="65">
                  <c:v>399.56060449432636</c:v>
                </c:pt>
                <c:pt idx="66">
                  <c:v>377.73380252948976</c:v>
                </c:pt>
                <c:pt idx="67">
                  <c:v>389.86308609918143</c:v>
                </c:pt>
                <c:pt idx="68">
                  <c:v>401.98418262418681</c:v>
                </c:pt>
                <c:pt idx="69">
                  <c:v>414.09737378838713</c:v>
                </c:pt>
                <c:pt idx="70">
                  <c:v>426.20292344968493</c:v>
                </c:pt>
                <c:pt idx="71">
                  <c:v>404.40744459656599</c:v>
                </c:pt>
                <c:pt idx="72">
                  <c:v>416.51908689232135</c:v>
                </c:pt>
                <c:pt idx="73">
                  <c:v>428.62313846306932</c:v>
                </c:pt>
                <c:pt idx="74">
                  <c:v>440.71984388784927</c:v>
                </c:pt>
                <c:pt idx="75">
                  <c:v>452.80943322358308</c:v>
                </c:pt>
                <c:pt idx="76">
                  <c:v>430.07512632625327</c:v>
                </c:pt>
                <c:pt idx="77">
                  <c:v>441.20356260557975</c:v>
                </c:pt>
                <c:pt idx="78">
                  <c:v>452.32598351877181</c:v>
                </c:pt>
                <c:pt idx="79">
                  <c:v>463.44255784559732</c:v>
                </c:pt>
                <c:pt idx="80">
                  <c:v>474.55344560757021</c:v>
                </c:pt>
                <c:pt idx="81">
                  <c:v>451.35905094331798</c:v>
                </c:pt>
                <c:pt idx="82">
                  <c:v>461.99289571537264</c:v>
                </c:pt>
                <c:pt idx="83">
                  <c:v>472.62151904574694</c:v>
                </c:pt>
                <c:pt idx="84">
                  <c:v>483.24505492401107</c:v>
                </c:pt>
                <c:pt idx="85">
                  <c:v>493.86363096746396</c:v>
                </c:pt>
                <c:pt idx="86">
                  <c:v>470.20637427155265</c:v>
                </c:pt>
                <c:pt idx="87">
                  <c:v>480.3482240996845</c:v>
                </c:pt>
                <c:pt idx="88">
                  <c:v>490.48552362014703</c:v>
                </c:pt>
                <c:pt idx="89">
                  <c:v>500.6183801482257</c:v>
                </c:pt>
                <c:pt idx="90">
                  <c:v>510.74689630015132</c:v>
                </c:pt>
                <c:pt idx="91">
                  <c:v>482.5208818991357</c:v>
                </c:pt>
                <c:pt idx="92">
                  <c:v>488.07228780704173</c:v>
                </c:pt>
                <c:pt idx="93">
                  <c:v>493.62235387326592</c:v>
                </c:pt>
                <c:pt idx="94">
                  <c:v>499.17109729734813</c:v>
                </c:pt>
                <c:pt idx="95">
                  <c:v>504.71853486501777</c:v>
                </c:pt>
                <c:pt idx="96">
                  <c:v>510.26468296268939</c:v>
                </c:pt>
                <c:pt idx="97">
                  <c:v>515.80955759129495</c:v>
                </c:pt>
                <c:pt idx="98">
                  <c:v>521.35317437949095</c:v>
                </c:pt>
                <c:pt idx="99">
                  <c:v>526.89554859627299</c:v>
                </c:pt>
                <c:pt idx="100">
                  <c:v>532.43669516303328</c:v>
                </c:pt>
                <c:pt idx="101">
                  <c:v>502.78913844366917</c:v>
                </c:pt>
                <c:pt idx="102">
                  <c:v>506.88891940352158</c:v>
                </c:pt>
                <c:pt idx="103">
                  <c:v>510.98799936124533</c:v>
                </c:pt>
                <c:pt idx="104">
                  <c:v>515.08638473795327</c:v>
                </c:pt>
                <c:pt idx="105">
                  <c:v>519.18408184416353</c:v>
                </c:pt>
                <c:pt idx="106">
                  <c:v>523.28109688258166</c:v>
                </c:pt>
                <c:pt idx="107">
                  <c:v>527.37743595079155</c:v>
                </c:pt>
                <c:pt idx="108">
                  <c:v>531.47310504385689</c:v>
                </c:pt>
                <c:pt idx="109">
                  <c:v>535.56811005684028</c:v>
                </c:pt>
                <c:pt idx="110">
                  <c:v>539.66245678724067</c:v>
                </c:pt>
                <c:pt idx="111">
                  <c:v>511.95238758493542</c:v>
                </c:pt>
                <c:pt idx="112">
                  <c:v>515.56850235292188</c:v>
                </c:pt>
                <c:pt idx="113">
                  <c:v>519.1840818441633</c:v>
                </c:pt>
                <c:pt idx="114">
                  <c:v>522.79913031527769</c:v>
                </c:pt>
                <c:pt idx="115">
                  <c:v>526.41365195916649</c:v>
                </c:pt>
                <c:pt idx="116">
                  <c:v>530.02765090640912</c:v>
                </c:pt>
                <c:pt idx="117">
                  <c:v>533.64113122661854</c:v>
                </c:pt>
                <c:pt idx="118">
                  <c:v>537.25409692975597</c:v>
                </c:pt>
                <c:pt idx="119">
                  <c:v>540.8665519674106</c:v>
                </c:pt>
                <c:pt idx="120">
                  <c:v>544.47850023404101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2.4588818814673044</c:v>
                </c:pt>
                <c:pt idx="2">
                  <c:v>2.803228802291704</c:v>
                </c:pt>
                <c:pt idx="3">
                  <c:v>3.1959710997528603</c:v>
                </c:pt>
                <c:pt idx="4">
                  <c:v>3.6439332874270431</c:v>
                </c:pt>
                <c:pt idx="5">
                  <c:v>4.1549052773589841</c:v>
                </c:pt>
                <c:pt idx="6">
                  <c:v>4.7377793462617648</c:v>
                </c:pt>
                <c:pt idx="7">
                  <c:v>5.4027065865476773</c:v>
                </c:pt>
                <c:pt idx="8">
                  <c:v>6.1612756210210895</c:v>
                </c:pt>
                <c:pt idx="9">
                  <c:v>7.0267167572725642</c:v>
                </c:pt>
                <c:pt idx="10">
                  <c:v>8.0141352119172691</c:v>
                </c:pt>
                <c:pt idx="11">
                  <c:v>9.1407775539846572</c:v>
                </c:pt>
                <c:pt idx="12">
                  <c:v>10.426336110329641</c:v>
                </c:pt>
                <c:pt idx="13">
                  <c:v>11.893296754579206</c:v>
                </c:pt>
                <c:pt idx="14">
                  <c:v>13.567336277070206</c:v>
                </c:pt>
                <c:pt idx="15">
                  <c:v>15.477776420448906</c:v>
                </c:pt>
                <c:pt idx="16">
                  <c:v>17.658102680075974</c:v>
                </c:pt>
                <c:pt idx="17">
                  <c:v>20.146557128397426</c:v>
                </c:pt>
                <c:pt idx="18">
                  <c:v>22.986815848919587</c:v>
                </c:pt>
                <c:pt idx="19">
                  <c:v>26.228763082292243</c:v>
                </c:pt>
                <c:pt idx="20">
                  <c:v>29.929375921631351</c:v>
                </c:pt>
                <c:pt idx="21">
                  <c:v>34.153735377915019</c:v>
                </c:pt>
                <c:pt idx="22">
                  <c:v>38.976181904887525</c:v>
                </c:pt>
                <c:pt idx="23">
                  <c:v>44.481636067390205</c:v>
                </c:pt>
                <c:pt idx="24">
                  <c:v>50.767108004292602</c:v>
                </c:pt>
                <c:pt idx="25">
                  <c:v>57.94342273086675</c:v>
                </c:pt>
                <c:pt idx="26">
                  <c:v>66.937646369182985</c:v>
                </c:pt>
                <c:pt idx="27">
                  <c:v>75.900680081276448</c:v>
                </c:pt>
                <c:pt idx="28">
                  <c:v>84.836736904624345</c:v>
                </c:pt>
                <c:pt idx="29">
                  <c:v>93.749065724160445</c:v>
                </c:pt>
                <c:pt idx="30">
                  <c:v>102.64024490689751</c:v>
                </c:pt>
                <c:pt idx="31">
                  <c:v>111.88165312292686</c:v>
                </c:pt>
                <c:pt idx="32">
                  <c:v>121.10433338993421</c:v>
                </c:pt>
                <c:pt idx="33">
                  <c:v>130.30991517841122</c:v>
                </c:pt>
                <c:pt idx="34">
                  <c:v>139.49977841647276</c:v>
                </c:pt>
                <c:pt idx="35">
                  <c:v>148.67510600285962</c:v>
                </c:pt>
                <c:pt idx="36">
                  <c:v>134.72293427467449</c:v>
                </c:pt>
                <c:pt idx="37">
                  <c:v>144.63968374624491</c:v>
                </c:pt>
                <c:pt idx="38">
                  <c:v>154.54016621622662</c:v>
                </c:pt>
                <c:pt idx="39">
                  <c:v>164.42557192716174</c:v>
                </c:pt>
                <c:pt idx="40">
                  <c:v>174.29693608669695</c:v>
                </c:pt>
                <c:pt idx="41">
                  <c:v>158.93547642720696</c:v>
                </c:pt>
                <c:pt idx="42">
                  <c:v>169.18014507430107</c:v>
                </c:pt>
                <c:pt idx="43">
                  <c:v>179.41019776275081</c:v>
                </c:pt>
                <c:pt idx="44">
                  <c:v>189.62658619699667</c:v>
                </c:pt>
                <c:pt idx="45">
                  <c:v>199.8301510252742</c:v>
                </c:pt>
                <c:pt idx="46">
                  <c:v>184.52004510097296</c:v>
                </c:pt>
                <c:pt idx="47">
                  <c:v>194.72992283695325</c:v>
                </c:pt>
                <c:pt idx="48">
                  <c:v>204.92736145569236</c:v>
                </c:pt>
                <c:pt idx="49">
                  <c:v>215.11306775077458</c:v>
                </c:pt>
                <c:pt idx="50">
                  <c:v>225.28767604319719</c:v>
                </c:pt>
                <c:pt idx="51">
                  <c:v>210.02163993284736</c:v>
                </c:pt>
                <c:pt idx="52">
                  <c:v>220.20172203362608</c:v>
                </c:pt>
                <c:pt idx="53">
                  <c:v>230.37099945718512</c:v>
                </c:pt>
                <c:pt idx="54">
                  <c:v>240.5300167800107</c:v>
                </c:pt>
                <c:pt idx="55">
                  <c:v>250.67926877807722</c:v>
                </c:pt>
                <c:pt idx="56">
                  <c:v>235.0889309262694</c:v>
                </c:pt>
                <c:pt idx="57">
                  <c:v>244.88086471160247</c:v>
                </c:pt>
                <c:pt idx="58">
                  <c:v>254.66390297591636</c:v>
                </c:pt>
                <c:pt idx="59">
                  <c:v>264.43843589912376</c:v>
                </c:pt>
                <c:pt idx="60">
                  <c:v>274.20482243650332</c:v>
                </c:pt>
                <c:pt idx="61">
                  <c:v>258.64712580976118</c:v>
                </c:pt>
                <c:pt idx="62">
                  <c:v>268.41829814573384</c:v>
                </c:pt>
                <c:pt idx="63">
                  <c:v>278.18146221939975</c:v>
                </c:pt>
                <c:pt idx="64">
                  <c:v>287.93693892642813</c:v>
                </c:pt>
                <c:pt idx="65">
                  <c:v>297.68502562639242</c:v>
                </c:pt>
                <c:pt idx="66">
                  <c:v>281.43412679667932</c:v>
                </c:pt>
                <c:pt idx="67">
                  <c:v>290.46491877892981</c:v>
                </c:pt>
                <c:pt idx="68">
                  <c:v>299.48943829674113</c:v>
                </c:pt>
                <c:pt idx="69">
                  <c:v>308.50790116084801</c:v>
                </c:pt>
                <c:pt idx="70">
                  <c:v>317.52050952469801</c:v>
                </c:pt>
                <c:pt idx="71">
                  <c:v>301.29360874457461</c:v>
                </c:pt>
                <c:pt idx="72">
                  <c:v>310.31088495066075</c:v>
                </c:pt>
                <c:pt idx="73">
                  <c:v>319.32234555972747</c:v>
                </c:pt>
                <c:pt idx="74">
                  <c:v>328.32817795481515</c:v>
                </c:pt>
                <c:pt idx="75">
                  <c:v>337.32855839291483</c:v>
                </c:pt>
                <c:pt idx="76">
                  <c:v>320.40333904330788</c:v>
                </c:pt>
                <c:pt idx="77">
                  <c:v>328.68829671248756</c:v>
                </c:pt>
                <c:pt idx="78">
                  <c:v>336.96864573818101</c:v>
                </c:pt>
                <c:pt idx="79">
                  <c:v>345.24451543018557</c:v>
                </c:pt>
                <c:pt idx="80">
                  <c:v>353.51602838820548</c:v>
                </c:pt>
                <c:pt idx="81">
                  <c:v>336.24879501887324</c:v>
                </c:pt>
                <c:pt idx="82">
                  <c:v>344.16530379559237</c:v>
                </c:pt>
                <c:pt idx="83">
                  <c:v>352.07781219018153</c:v>
                </c:pt>
                <c:pt idx="84">
                  <c:v>359.98642285809751</c:v>
                </c:pt>
                <c:pt idx="85">
                  <c:v>367.89123357271279</c:v>
                </c:pt>
                <c:pt idx="86">
                  <c:v>350.27986069423014</c:v>
                </c:pt>
                <c:pt idx="87">
                  <c:v>357.82990992286085</c:v>
                </c:pt>
                <c:pt idx="88">
                  <c:v>365.37647295541746</c:v>
                </c:pt>
                <c:pt idx="89">
                  <c:v>372.91963201098378</c:v>
                </c:pt>
                <c:pt idx="90">
                  <c:v>380.45946570848531</c:v>
                </c:pt>
                <c:pt idx="91">
                  <c:v>359.44732119512577</c:v>
                </c:pt>
                <c:pt idx="92">
                  <c:v>363.5799840007133</c:v>
                </c:pt>
                <c:pt idx="93">
                  <c:v>367.71162029311745</c:v>
                </c:pt>
                <c:pt idx="94">
                  <c:v>371.84224324968204</c:v>
                </c:pt>
                <c:pt idx="95">
                  <c:v>375.97186573071184</c:v>
                </c:pt>
                <c:pt idx="96">
                  <c:v>380.10050029057857</c:v>
                </c:pt>
                <c:pt idx="97">
                  <c:v>384.22815918831861</c:v>
                </c:pt>
                <c:pt idx="98">
                  <c:v>388.35485439775078</c:v>
                </c:pt>
                <c:pt idx="99">
                  <c:v>392.48059761714194</c:v>
                </c:pt>
                <c:pt idx="100">
                  <c:v>396.60540027844394</c:v>
                </c:pt>
                <c:pt idx="101">
                  <c:v>374.5355879874981</c:v>
                </c:pt>
                <c:pt idx="102">
                  <c:v>377.58753535516621</c:v>
                </c:pt>
                <c:pt idx="103">
                  <c:v>380.63894565346504</c:v>
                </c:pt>
                <c:pt idx="104">
                  <c:v>383.68982380189931</c:v>
                </c:pt>
                <c:pt idx="105">
                  <c:v>386.74017463524177</c:v>
                </c:pt>
                <c:pt idx="106">
                  <c:v>389.79000290566495</c:v>
                </c:pt>
                <c:pt idx="107">
                  <c:v>392.83931328480304</c:v>
                </c:pt>
                <c:pt idx="108">
                  <c:v>395.88811036574498</c:v>
                </c:pt>
                <c:pt idx="109">
                  <c:v>398.93639866496443</c:v>
                </c:pt>
                <c:pt idx="110">
                  <c:v>401.98418262418676</c:v>
                </c:pt>
                <c:pt idx="111">
                  <c:v>381.35684703005268</c:v>
                </c:pt>
                <c:pt idx="112">
                  <c:v>384.04871588248358</c:v>
                </c:pt>
                <c:pt idx="113">
                  <c:v>386.74017463524166</c:v>
                </c:pt>
                <c:pt idx="114">
                  <c:v>389.43122654951389</c:v>
                </c:pt>
                <c:pt idx="115">
                  <c:v>392.12187483767099</c:v>
                </c:pt>
                <c:pt idx="116">
                  <c:v>394.81212266433721</c:v>
                </c:pt>
                <c:pt idx="117">
                  <c:v>397.50197314742576</c:v>
                </c:pt>
                <c:pt idx="118">
                  <c:v>400.19142935914948</c:v>
                </c:pt>
                <c:pt idx="119">
                  <c:v>402.88049432699887</c:v>
                </c:pt>
                <c:pt idx="120">
                  <c:v>405.56917103469465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2.6202873647055487</c:v>
                </c:pt>
                <c:pt idx="2">
                  <c:v>3.3014890700969475</c:v>
                </c:pt>
                <c:pt idx="3">
                  <c:v>4.1604758697806128</c:v>
                </c:pt>
                <c:pt idx="4">
                  <c:v>5.2438175769854629</c:v>
                </c:pt>
                <c:pt idx="5">
                  <c:v>6.6103243965889789</c:v>
                </c:pt>
                <c:pt idx="6">
                  <c:v>8.3342743628219527</c:v>
                </c:pt>
                <c:pt idx="7">
                  <c:v>10.509494235432264</c:v>
                </c:pt>
                <c:pt idx="8">
                  <c:v>13.25452014211402</c:v>
                </c:pt>
                <c:pt idx="9">
                  <c:v>16.71912439869411</c:v>
                </c:pt>
                <c:pt idx="10">
                  <c:v>21.092571102519226</c:v>
                </c:pt>
                <c:pt idx="11">
                  <c:v>40.959654766376069</c:v>
                </c:pt>
                <c:pt idx="12">
                  <c:v>60.556368030357454</c:v>
                </c:pt>
                <c:pt idx="13">
                  <c:v>79.985715393823597</c:v>
                </c:pt>
                <c:pt idx="14">
                  <c:v>99.294672325256599</c:v>
                </c:pt>
                <c:pt idx="15">
                  <c:v>118.51011399861339</c:v>
                </c:pt>
                <c:pt idx="16">
                  <c:v>86.075914671005776</c:v>
                </c:pt>
                <c:pt idx="17">
                  <c:v>110.69162732463077</c:v>
                </c:pt>
                <c:pt idx="18">
                  <c:v>135.17221080393281</c:v>
                </c:pt>
                <c:pt idx="19">
                  <c:v>159.54570617746938</c:v>
                </c:pt>
                <c:pt idx="20">
                  <c:v>183.83081652024472</c:v>
                </c:pt>
                <c:pt idx="21">
                  <c:v>148.25402389766143</c:v>
                </c:pt>
                <c:pt idx="22">
                  <c:v>174.33753126581527</c:v>
                </c:pt>
                <c:pt idx="23">
                  <c:v>200.32921613632394</c:v>
                </c:pt>
                <c:pt idx="24">
                  <c:v>226.24267877776924</c:v>
                </c:pt>
                <c:pt idx="25">
                  <c:v>252.08814071355724</c:v>
                </c:pt>
                <c:pt idx="26">
                  <c:v>215.74593348274445</c:v>
                </c:pt>
                <c:pt idx="27">
                  <c:v>240.57031057620057</c:v>
                </c:pt>
                <c:pt idx="28">
                  <c:v>265.33636719298863</c:v>
                </c:pt>
                <c:pt idx="29">
                  <c:v>290.05031041971233</c:v>
                </c:pt>
                <c:pt idx="30">
                  <c:v>314.7172026142477</c:v>
                </c:pt>
                <c:pt idx="31">
                  <c:v>276.13305084516702</c:v>
                </c:pt>
                <c:pt idx="32">
                  <c:v>298.39345366223546</c:v>
                </c:pt>
                <c:pt idx="33">
                  <c:v>320.6168590632679</c:v>
                </c:pt>
                <c:pt idx="34">
                  <c:v>342.80619071488059</c:v>
                </c:pt>
                <c:pt idx="35">
                  <c:v>364.96396296815789</c:v>
                </c:pt>
                <c:pt idx="36">
                  <c:v>324.08611998804474</c:v>
                </c:pt>
                <c:pt idx="37">
                  <c:v>343.84552311327383</c:v>
                </c:pt>
                <c:pt idx="38">
                  <c:v>363.5799840007133</c:v>
                </c:pt>
                <c:pt idx="39">
                  <c:v>383.29104626329899</c:v>
                </c:pt>
                <c:pt idx="40">
                  <c:v>402.9800818512519</c:v>
                </c:pt>
                <c:pt idx="41">
                  <c:v>359.4273541272596</c:v>
                </c:pt>
                <c:pt idx="42">
                  <c:v>376.37745953930607</c:v>
                </c:pt>
                <c:pt idx="43">
                  <c:v>393.31094714884654</c:v>
                </c:pt>
                <c:pt idx="44">
                  <c:v>410.22863289640105</c:v>
                </c:pt>
                <c:pt idx="45">
                  <c:v>427.13125995293154</c:v>
                </c:pt>
                <c:pt idx="46">
                  <c:v>400.56327392899146</c:v>
                </c:pt>
                <c:pt idx="47">
                  <c:v>415.40447321133956</c:v>
                </c:pt>
                <c:pt idx="48">
                  <c:v>430.23424187074426</c:v>
                </c:pt>
                <c:pt idx="49">
                  <c:v>445.05302932092837</c:v>
                </c:pt>
                <c:pt idx="50">
                  <c:v>459.86125261266943</c:v>
                </c:pt>
                <c:pt idx="51">
                  <c:v>439.88490533840962</c:v>
                </c:pt>
                <c:pt idx="52">
                  <c:v>452.63062434570611</c:v>
                </c:pt>
                <c:pt idx="53">
                  <c:v>465.3686716138655</c:v>
                </c:pt>
                <c:pt idx="54">
                  <c:v>478.09928670594991</c:v>
                </c:pt>
                <c:pt idx="55">
                  <c:v>490.82269538774045</c:v>
                </c:pt>
                <c:pt idx="56">
                  <c:v>473.97123882058969</c:v>
                </c:pt>
                <c:pt idx="57">
                  <c:v>484.63381543198619</c:v>
                </c:pt>
                <c:pt idx="58">
                  <c:v>495.29141143690708</c:v>
                </c:pt>
                <c:pt idx="59">
                  <c:v>505.94414912103224</c:v>
                </c:pt>
                <c:pt idx="60">
                  <c:v>516.59214520035403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3.113945541916562</c:v>
                </c:pt>
                <c:pt idx="2">
                  <c:v>3.5503730087223722</c:v>
                </c:pt>
                <c:pt idx="3">
                  <c:v>4.0481828196530492</c:v>
                </c:pt>
                <c:pt idx="4">
                  <c:v>4.6160369143549937</c:v>
                </c:pt>
                <c:pt idx="5">
                  <c:v>5.2638233537442369</c:v>
                </c:pt>
                <c:pt idx="6">
                  <c:v>6.0028303815790593</c:v>
                </c:pt>
                <c:pt idx="7">
                  <c:v>6.8459452618662198</c:v>
                </c:pt>
                <c:pt idx="8">
                  <c:v>7.8078814273157144</c:v>
                </c:pt>
                <c:pt idx="9">
                  <c:v>8.9054379796212881</c:v>
                </c:pt>
                <c:pt idx="10">
                  <c:v>10.157796160352767</c:v>
                </c:pt>
                <c:pt idx="11">
                  <c:v>11.586858072102316</c:v>
                </c:pt>
                <c:pt idx="12">
                  <c:v>13.217633685126408</c:v>
                </c:pt>
                <c:pt idx="13">
                  <c:v>15.078683028676075</c:v>
                </c:pt>
                <c:pt idx="14">
                  <c:v>17.202621454074428</c:v>
                </c:pt>
                <c:pt idx="15">
                  <c:v>19.626696986187671</c:v>
                </c:pt>
                <c:pt idx="16">
                  <c:v>22.393450071609919</c:v>
                </c:pt>
                <c:pt idx="17">
                  <c:v>25.551467508941673</c:v>
                </c:pt>
                <c:pt idx="18">
                  <c:v>29.156244035638881</c:v>
                </c:pt>
                <c:pt idx="19">
                  <c:v>33.271166977534087</c:v>
                </c:pt>
                <c:pt idx="20">
                  <c:v>37.968641576163897</c:v>
                </c:pt>
                <c:pt idx="21">
                  <c:v>43.331377135382525</c:v>
                </c:pt>
                <c:pt idx="22">
                  <c:v>49.453857018052851</c:v>
                </c:pt>
                <c:pt idx="23">
                  <c:v>56.444018828116505</c:v>
                </c:pt>
                <c:pt idx="24">
                  <c:v>64.425174892809764</c:v>
                </c:pt>
                <c:pt idx="25">
                  <c:v>73.538207482585321</c:v>
                </c:pt>
                <c:pt idx="26">
                  <c:v>84.960675105658922</c:v>
                </c:pt>
                <c:pt idx="27">
                  <c:v>96.34440998362345</c:v>
                </c:pt>
                <c:pt idx="28">
                  <c:v>107.69464401429015</c:v>
                </c:pt>
                <c:pt idx="29">
                  <c:v>119.01541177700146</c:v>
                </c:pt>
                <c:pt idx="30">
                  <c:v>130.30991517841116</c:v>
                </c:pt>
                <c:pt idx="31">
                  <c:v>142.04989216192442</c:v>
                </c:pt>
                <c:pt idx="32">
                  <c:v>153.76661212101567</c:v>
                </c:pt>
                <c:pt idx="33">
                  <c:v>165.46209858933358</c:v>
                </c:pt>
                <c:pt idx="34">
                  <c:v>177.13806521004514</c:v>
                </c:pt>
                <c:pt idx="35">
                  <c:v>188.79598094832463</c:v>
                </c:pt>
                <c:pt idx="36">
                  <c:v>171.06890310603498</c:v>
                </c:pt>
                <c:pt idx="37">
                  <c:v>183.6686363162344</c:v>
                </c:pt>
                <c:pt idx="38">
                  <c:v>196.24816859291039</c:v>
                </c:pt>
                <c:pt idx="39">
                  <c:v>208.80897802102797</c:v>
                </c:pt>
                <c:pt idx="40">
                  <c:v>221.35235015777684</c:v>
                </c:pt>
                <c:pt idx="41">
                  <c:v>201.83298159430865</c:v>
                </c:pt>
                <c:pt idx="42">
                  <c:v>214.85048322218776</c:v>
                </c:pt>
                <c:pt idx="43">
                  <c:v>227.84983423962134</c:v>
                </c:pt>
                <c:pt idx="44">
                  <c:v>240.83221650658706</c:v>
                </c:pt>
                <c:pt idx="45">
                  <c:v>253.79867396956936</c:v>
                </c:pt>
                <c:pt idx="46">
                  <c:v>234.34307827690756</c:v>
                </c:pt>
                <c:pt idx="47">
                  <c:v>247.31737533025003</c:v>
                </c:pt>
                <c:pt idx="48">
                  <c:v>260.2762250512057</c:v>
                </c:pt>
                <c:pt idx="49">
                  <c:v>273.220505160855</c:v>
                </c:pt>
                <c:pt idx="50">
                  <c:v>286.1510033812761</c:v>
                </c:pt>
                <c:pt idx="51">
                  <c:v>266.75013513037203</c:v>
                </c:pt>
                <c:pt idx="52">
                  <c:v>279.68743091813337</c:v>
                </c:pt>
                <c:pt idx="53">
                  <c:v>292.61130907849321</c:v>
                </c:pt>
                <c:pt idx="54">
                  <c:v>305.52244588564616</c:v>
                </c:pt>
                <c:pt idx="55">
                  <c:v>318.42145576976316</c:v>
                </c:pt>
                <c:pt idx="56">
                  <c:v>298.60731135776933</c:v>
                </c:pt>
                <c:pt idx="57">
                  <c:v>311.05204406793172</c:v>
                </c:pt>
                <c:pt idx="58">
                  <c:v>323.48573000787144</c:v>
                </c:pt>
                <c:pt idx="59">
                  <c:v>335.90885371669856</c:v>
                </c:pt>
                <c:pt idx="60">
                  <c:v>348.32186095767742</c:v>
                </c:pt>
                <c:pt idx="61">
                  <c:v>328.54825156463437</c:v>
                </c:pt>
                <c:pt idx="62">
                  <c:v>340.96720197828142</c:v>
                </c:pt>
                <c:pt idx="63">
                  <c:v>353.37620745071621</c:v>
                </c:pt>
                <c:pt idx="64">
                  <c:v>365.77566648144415</c:v>
                </c:pt>
                <c:pt idx="65">
                  <c:v>378.1659483420201</c:v>
                </c:pt>
                <c:pt idx="66">
                  <c:v>357.51040237087665</c:v>
                </c:pt>
                <c:pt idx="67">
                  <c:v>368.98882872292899</c:v>
                </c:pt>
                <c:pt idx="68">
                  <c:v>380.45946570848531</c:v>
                </c:pt>
                <c:pt idx="69">
                  <c:v>391.92258132889066</c:v>
                </c:pt>
                <c:pt idx="70">
                  <c:v>403.3784266253918</c:v>
                </c:pt>
                <c:pt idx="71">
                  <c:v>382.75268227452915</c:v>
                </c:pt>
                <c:pt idx="72">
                  <c:v>394.21432426135442</c:v>
                </c:pt>
                <c:pt idx="73">
                  <c:v>405.66874423568089</c:v>
                </c:pt>
                <c:pt idx="74">
                  <c:v>417.1161748963454</c:v>
                </c:pt>
                <c:pt idx="75">
                  <c:v>428.55683512546557</c:v>
                </c:pt>
                <c:pt idx="76">
                  <c:v>407.04280051298912</c:v>
                </c:pt>
                <c:pt idx="77">
                  <c:v>417.57392988530063</c:v>
                </c:pt>
                <c:pt idx="78">
                  <c:v>428.09933608237338</c:v>
                </c:pt>
                <c:pt idx="79">
                  <c:v>438.61917968565263</c:v>
                </c:pt>
                <c:pt idx="80">
                  <c:v>449.1336129437538</c:v>
                </c:pt>
                <c:pt idx="81">
                  <c:v>427.18430644135782</c:v>
                </c:pt>
                <c:pt idx="82">
                  <c:v>437.24733617095717</c:v>
                </c:pt>
                <c:pt idx="83">
                  <c:v>447.30539808561917</c:v>
                </c:pt>
                <c:pt idx="84">
                  <c:v>457.35861966649367</c:v>
                </c:pt>
                <c:pt idx="85">
                  <c:v>467.40712233198587</c:v>
                </c:pt>
                <c:pt idx="86">
                  <c:v>445.01990443229971</c:v>
                </c:pt>
                <c:pt idx="87">
                  <c:v>454.61730495685168</c:v>
                </c:pt>
                <c:pt idx="88">
                  <c:v>464.21037620075805</c:v>
                </c:pt>
                <c:pt idx="89">
                  <c:v>473.79922026656277</c:v>
                </c:pt>
                <c:pt idx="90">
                  <c:v>483.38393478600671</c:v>
                </c:pt>
                <c:pt idx="91">
                  <c:v>456.67332398568163</c:v>
                </c:pt>
                <c:pt idx="92">
                  <c:v>461.92669878249262</c:v>
                </c:pt>
                <c:pt idx="93">
                  <c:v>467.17879881920294</c:v>
                </c:pt>
                <c:pt idx="94">
                  <c:v>472.42964045990101</c:v>
                </c:pt>
                <c:pt idx="95">
                  <c:v>477.67923967496472</c:v>
                </c:pt>
                <c:pt idx="96">
                  <c:v>482.92761205485334</c:v>
                </c:pt>
                <c:pt idx="97">
                  <c:v>488.17477282326837</c:v>
                </c:pt>
                <c:pt idx="98">
                  <c:v>493.42073684971882</c:v>
                </c:pt>
                <c:pt idx="99">
                  <c:v>498.66551866152253</c:v>
                </c:pt>
                <c:pt idx="100">
                  <c:v>503.90913245527855</c:v>
                </c:pt>
                <c:pt idx="101">
                  <c:v>475.85343205805066</c:v>
                </c:pt>
                <c:pt idx="102">
                  <c:v>479.73309586441377</c:v>
                </c:pt>
                <c:pt idx="103">
                  <c:v>483.61209271918409</c:v>
                </c:pt>
                <c:pt idx="104">
                  <c:v>487.4904287315747</c:v>
                </c:pt>
                <c:pt idx="105">
                  <c:v>491.36810990557609</c:v>
                </c:pt>
                <c:pt idx="106">
                  <c:v>495.24514214260324</c:v>
                </c:pt>
                <c:pt idx="107">
                  <c:v>499.12153124405501</c:v>
                </c:pt>
                <c:pt idx="108">
                  <c:v>502.9972829137908</c:v>
                </c:pt>
                <c:pt idx="109">
                  <c:v>506.87240276052609</c:v>
                </c:pt>
                <c:pt idx="110">
                  <c:v>510.74689630015132</c:v>
                </c:pt>
                <c:pt idx="111">
                  <c:v>484.52470159799054</c:v>
                </c:pt>
                <c:pt idx="112">
                  <c:v>487.94666038986696</c:v>
                </c:pt>
                <c:pt idx="113">
                  <c:v>491.36810990557598</c:v>
                </c:pt>
                <c:pt idx="114">
                  <c:v>494.78905419497363</c:v>
                </c:pt>
                <c:pt idx="115">
                  <c:v>498.20949724729485</c:v>
                </c:pt>
                <c:pt idx="116">
                  <c:v>501.62944299248085</c:v>
                </c:pt>
                <c:pt idx="117">
                  <c:v>505.04889530246618</c:v>
                </c:pt>
                <c:pt idx="118">
                  <c:v>508.46785799243207</c:v>
                </c:pt>
                <c:pt idx="119">
                  <c:v>511.88633482202255</c:v>
                </c:pt>
                <c:pt idx="120">
                  <c:v>515.30432949652698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1.4446494747924661</c:v>
                </c:pt>
                <c:pt idx="2">
                  <c:v>1.7032179941020262</c:v>
                </c:pt>
                <c:pt idx="3">
                  <c:v>2.0082412457544763</c:v>
                </c:pt>
                <c:pt idx="4">
                  <c:v>2.3680951937653405</c:v>
                </c:pt>
                <c:pt idx="5">
                  <c:v>2.7926710865029833</c:v>
                </c:pt>
                <c:pt idx="6">
                  <c:v>3.2936504415475194</c:v>
                </c:pt>
                <c:pt idx="7">
                  <c:v>3.8848300775960793</c:v>
                </c:pt>
                <c:pt idx="8">
                  <c:v>4.5825063262069596</c:v>
                </c:pt>
                <c:pt idx="9">
                  <c:v>5.4059292268305654</c:v>
                </c:pt>
                <c:pt idx="10">
                  <c:v>6.377839485521748</c:v>
                </c:pt>
                <c:pt idx="11">
                  <c:v>7.5251033172333761</c:v>
                </c:pt>
                <c:pt idx="12">
                  <c:v>8.8794630602777733</c:v>
                </c:pt>
                <c:pt idx="13">
                  <c:v>10.478424728298359</c:v>
                </c:pt>
                <c:pt idx="14">
                  <c:v>12.366307543331528</c:v>
                </c:pt>
                <c:pt idx="15">
                  <c:v>14.595485083876353</c:v>
                </c:pt>
                <c:pt idx="16">
                  <c:v>17.227853115323715</c:v>
                </c:pt>
                <c:pt idx="17">
                  <c:v>20.336565601761166</c:v>
                </c:pt>
                <c:pt idx="18">
                  <c:v>24.008088011793529</c:v>
                </c:pt>
                <c:pt idx="19">
                  <c:v>28.34462604420094</c:v>
                </c:pt>
                <c:pt idx="20">
                  <c:v>33.466998569717767</c:v>
                </c:pt>
                <c:pt idx="21">
                  <c:v>39.518036218216324</c:v>
                </c:pt>
                <c:pt idx="22">
                  <c:v>46.666601997687287</c:v>
                </c:pt>
                <c:pt idx="23">
                  <c:v>55.112348040911343</c:v>
                </c:pt>
                <c:pt idx="24">
                  <c:v>65.091343544944792</c:v>
                </c:pt>
                <c:pt idx="25">
                  <c:v>76.882733798474405</c:v>
                </c:pt>
                <c:pt idx="26">
                  <c:v>90.816619594682138</c:v>
                </c:pt>
                <c:pt idx="27">
                  <c:v>107.28338114591146</c:v>
                </c:pt>
                <c:pt idx="28">
                  <c:v>126.74471185035777</c:v>
                </c:pt>
                <c:pt idx="29">
                  <c:v>149.74667609401612</c:v>
                </c:pt>
                <c:pt idx="30">
                  <c:v>176.93516310576453</c:v>
                </c:pt>
                <c:pt idx="31">
                  <c:v>115.77785737197435</c:v>
                </c:pt>
                <c:pt idx="32">
                  <c:v>126.01601193064431</c:v>
                </c:pt>
                <c:pt idx="33">
                  <c:v>136.23399433545893</c:v>
                </c:pt>
                <c:pt idx="34">
                  <c:v>146.43353271796309</c:v>
                </c:pt>
                <c:pt idx="35">
                  <c:v>156.61609434461207</c:v>
                </c:pt>
                <c:pt idx="36">
                  <c:v>166.78293977832863</c:v>
                </c:pt>
                <c:pt idx="37">
                  <c:v>176.93516310576453</c:v>
                </c:pt>
                <c:pt idx="38">
                  <c:v>187.07372242622981</c:v>
                </c:pt>
                <c:pt idx="39">
                  <c:v>197.19946337106239</c:v>
                </c:pt>
                <c:pt idx="40">
                  <c:v>207.31313753029789</c:v>
                </c:pt>
                <c:pt idx="41">
                  <c:v>167.2908897484331</c:v>
                </c:pt>
                <c:pt idx="42">
                  <c:v>177.94961915142096</c:v>
                </c:pt>
                <c:pt idx="43">
                  <c:v>188.59338138830185</c:v>
                </c:pt>
                <c:pt idx="44">
                  <c:v>199.22314097441145</c:v>
                </c:pt>
                <c:pt idx="45">
                  <c:v>209.839750973131</c:v>
                </c:pt>
                <c:pt idx="46">
                  <c:v>220.44397098530533</c:v>
                </c:pt>
                <c:pt idx="47">
                  <c:v>231.03648149074078</c:v>
                </c:pt>
                <c:pt idx="48">
                  <c:v>241.61789541835171</c:v>
                </c:pt>
                <c:pt idx="49">
                  <c:v>252.18876758094336</c:v>
                </c:pt>
                <c:pt idx="50">
                  <c:v>262.74960244358527</c:v>
                </c:pt>
                <c:pt idx="51">
                  <c:v>221.95788870113009</c:v>
                </c:pt>
                <c:pt idx="52">
                  <c:v>231.54060536306486</c:v>
                </c:pt>
                <c:pt idx="53">
                  <c:v>241.11426179447619</c:v>
                </c:pt>
                <c:pt idx="54">
                  <c:v>250.67926877807722</c:v>
                </c:pt>
                <c:pt idx="55">
                  <c:v>260.23600315922118</c:v>
                </c:pt>
                <c:pt idx="56">
                  <c:v>269.78481182023978</c:v>
                </c:pt>
                <c:pt idx="57">
                  <c:v>279.32601506215059</c:v>
                </c:pt>
                <c:pt idx="58">
                  <c:v>288.85990949975201</c:v>
                </c:pt>
                <c:pt idx="59">
                  <c:v>298.38677055421067</c:v>
                </c:pt>
                <c:pt idx="60">
                  <c:v>307.90685461043864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24" sqref="E24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10.75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36</v>
      </c>
      <c r="C9" s="32">
        <v>0.90905199999999997</v>
      </c>
      <c r="D9" s="33">
        <f t="shared" ref="D9:D18" si="0">C9*$C$5</f>
        <v>9.7723089999999999</v>
      </c>
      <c r="E9" s="34">
        <v>30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10</v>
      </c>
      <c r="C10" s="32">
        <v>9.0910000000000001E-3</v>
      </c>
      <c r="D10" s="33">
        <f t="shared" si="0"/>
        <v>9.7728250000000003E-2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16</v>
      </c>
      <c r="C11" s="32">
        <v>9.0910000000000001E-3</v>
      </c>
      <c r="D11" s="33">
        <f t="shared" si="0"/>
        <v>9.7728250000000003E-2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11</v>
      </c>
      <c r="C13" s="32">
        <v>2.2747E-2</v>
      </c>
      <c r="D13" s="33">
        <f t="shared" si="0"/>
        <v>0.24453025</v>
      </c>
      <c r="E13" s="34">
        <v>120</v>
      </c>
      <c r="F13" s="35" t="str">
        <f t="array" ref="F13">IF(E13="","",IF(INDEX(A:A,MAX(IF(ISNUMBER($A$140:$A$159),ROW($A$140:$A$159),"")))&lt;&gt;E13,"Corrigez : révolution incorrecte","OK"))</f>
        <v>OK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 t="s">
        <v>5</v>
      </c>
      <c r="C14" s="32">
        <v>2.2747E-2</v>
      </c>
      <c r="D14" s="33">
        <f t="shared" si="0"/>
        <v>0.24453025</v>
      </c>
      <c r="E14" s="34">
        <v>60</v>
      </c>
      <c r="F14" s="35" t="str">
        <f t="array" ref="F14">IF(E14="","",IF(INDEX(A:A,MAX(IF(ISNUMBER($A$166:$A$185),ROW($A$166:$A$185),"")))&lt;&gt;E14,"Corrigez : révolution incorrecte","OK"))</f>
        <v>OK</v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 t="s">
        <v>52</v>
      </c>
      <c r="C15" s="32">
        <v>9.0900000000000009E-3</v>
      </c>
      <c r="D15" s="33">
        <f t="shared" si="0"/>
        <v>9.7717500000000013E-2</v>
      </c>
      <c r="E15" s="34">
        <v>120</v>
      </c>
      <c r="F15" s="35" t="str">
        <f t="array" ref="F15">IF(E15="","",IF(INDEX(A:A,MAX(IF(ISNUMBER($A$192:$A$211),ROW($A$192:$A$211),"")))&lt;&gt;E15,"Corrigez : révolution incorrecte","OK"))</f>
        <v>OK</v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 t="s">
        <v>164</v>
      </c>
      <c r="C16" s="32">
        <v>9.0910000000000001E-3</v>
      </c>
      <c r="D16" s="33">
        <f t="shared" si="0"/>
        <v>9.7728250000000003E-2</v>
      </c>
      <c r="E16" s="34">
        <v>60</v>
      </c>
      <c r="F16" s="35" t="str">
        <f t="array" ref="F16">IF(E16="","",IF(INDEX(A:A,MAX(IF(ISNUMBER($A$218:$A$237),ROW($A$218:$A$237),"")))&lt;&gt;E16,"Corrigez : révolution incorrecte","OK"))</f>
        <v>OK</v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0.99090899999999982</v>
      </c>
      <c r="D19" s="38">
        <f>SUM(D9:D18)</f>
        <v>10.652271749999999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Pin maritime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11</v>
      </c>
      <c r="B36" s="60">
        <v>83</v>
      </c>
      <c r="C36" s="60">
        <v>1</v>
      </c>
      <c r="D36" s="60">
        <v>0</v>
      </c>
      <c r="E36" s="51">
        <v>0.2</v>
      </c>
      <c r="F36" s="51">
        <v>0.45</v>
      </c>
      <c r="G36" s="51">
        <v>0.35</v>
      </c>
      <c r="H36" s="51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12</v>
      </c>
      <c r="B37" s="60">
        <v>106</v>
      </c>
      <c r="C37" s="60">
        <v>2</v>
      </c>
      <c r="D37" s="60">
        <v>34</v>
      </c>
      <c r="E37" s="51">
        <v>0.2</v>
      </c>
      <c r="F37" s="51">
        <v>0.45</v>
      </c>
      <c r="G37" s="51">
        <v>0.35</v>
      </c>
      <c r="H37" s="51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13</v>
      </c>
      <c r="B38" s="60">
        <v>89</v>
      </c>
      <c r="C38" s="60">
        <v>3</v>
      </c>
      <c r="D38" s="60">
        <v>0</v>
      </c>
      <c r="E38" s="51">
        <v>0.2</v>
      </c>
      <c r="F38" s="51">
        <v>0.45</v>
      </c>
      <c r="G38" s="51">
        <v>0.35</v>
      </c>
      <c r="H38" s="51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16</v>
      </c>
      <c r="B39" s="60">
        <v>153</v>
      </c>
      <c r="C39" s="60">
        <v>4</v>
      </c>
      <c r="D39" s="60">
        <v>0</v>
      </c>
      <c r="E39" s="51">
        <v>0.4</v>
      </c>
      <c r="F39" s="51">
        <v>0.34</v>
      </c>
      <c r="G39" s="51">
        <v>0.26</v>
      </c>
      <c r="H39" s="51"/>
      <c r="I39" s="49">
        <f t="shared" si="1"/>
        <v>21.333333333333332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17</v>
      </c>
      <c r="B40" s="60">
        <v>176</v>
      </c>
      <c r="C40" s="60">
        <v>5</v>
      </c>
      <c r="D40" s="60">
        <v>43</v>
      </c>
      <c r="E40" s="51">
        <v>0.4</v>
      </c>
      <c r="F40" s="51">
        <v>0.34</v>
      </c>
      <c r="G40" s="51">
        <v>0.26</v>
      </c>
      <c r="H40" s="51"/>
      <c r="I40" s="49">
        <f t="shared" si="1"/>
        <v>23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18</v>
      </c>
      <c r="B41" s="60">
        <v>151</v>
      </c>
      <c r="C41" s="60">
        <v>6</v>
      </c>
      <c r="D41" s="60">
        <v>0</v>
      </c>
      <c r="E41" s="51">
        <v>0.4</v>
      </c>
      <c r="F41" s="51">
        <v>0.34</v>
      </c>
      <c r="G41" s="51">
        <v>0.26</v>
      </c>
      <c r="H41" s="51"/>
      <c r="I41" s="53">
        <f t="shared" si="1"/>
        <v>18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21</v>
      </c>
      <c r="B42" s="60">
        <v>212</v>
      </c>
      <c r="C42" s="60">
        <v>7</v>
      </c>
      <c r="D42" s="60">
        <v>0</v>
      </c>
      <c r="E42" s="51">
        <v>0.7</v>
      </c>
      <c r="F42" s="51">
        <v>0.22</v>
      </c>
      <c r="G42" s="51">
        <v>0.18</v>
      </c>
      <c r="H42" s="51"/>
      <c r="I42" s="53">
        <f t="shared" si="1"/>
        <v>20.333333333333332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22</v>
      </c>
      <c r="B43" s="60">
        <v>232</v>
      </c>
      <c r="C43" s="60">
        <v>8</v>
      </c>
      <c r="D43" s="60">
        <v>56</v>
      </c>
      <c r="E43" s="51">
        <v>0.7</v>
      </c>
      <c r="F43" s="51">
        <v>0.22</v>
      </c>
      <c r="G43" s="51">
        <v>0.18</v>
      </c>
      <c r="H43" s="51"/>
      <c r="I43" s="49">
        <f t="shared" si="1"/>
        <v>20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23</v>
      </c>
      <c r="B44" s="60">
        <v>192</v>
      </c>
      <c r="C44" s="60">
        <v>9</v>
      </c>
      <c r="D44" s="60">
        <v>0</v>
      </c>
      <c r="E44" s="51">
        <v>0.7</v>
      </c>
      <c r="F44" s="51">
        <v>0.22</v>
      </c>
      <c r="G44" s="51">
        <v>0.18</v>
      </c>
      <c r="H44" s="51"/>
      <c r="I44" s="49">
        <f t="shared" si="1"/>
        <v>16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26</v>
      </c>
      <c r="B45" s="60">
        <v>244</v>
      </c>
      <c r="C45" s="60">
        <v>10</v>
      </c>
      <c r="D45" s="60">
        <v>0</v>
      </c>
      <c r="E45" s="51">
        <v>0.8</v>
      </c>
      <c r="F45" s="51">
        <v>0.11</v>
      </c>
      <c r="G45" s="51">
        <v>0.09</v>
      </c>
      <c r="H45" s="51"/>
      <c r="I45" s="49">
        <f t="shared" si="1"/>
        <v>17.333333333333332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29</v>
      </c>
      <c r="B46" s="60">
        <v>293</v>
      </c>
      <c r="C46" s="60">
        <v>11</v>
      </c>
      <c r="D46" s="60">
        <v>0</v>
      </c>
      <c r="E46" s="51">
        <v>0.8</v>
      </c>
      <c r="F46" s="51">
        <v>0.11</v>
      </c>
      <c r="G46" s="51">
        <v>0.09</v>
      </c>
      <c r="H46" s="51"/>
      <c r="I46" s="49">
        <f>IF(A46&lt;&gt;0,(B46-(B45-D45))/(A46-A45),"")</f>
        <v>16.333333333333332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30</v>
      </c>
      <c r="B47" s="60">
        <v>309</v>
      </c>
      <c r="C47" s="60">
        <v>12</v>
      </c>
      <c r="D47" s="60">
        <v>309</v>
      </c>
      <c r="E47" s="51">
        <v>0.8</v>
      </c>
      <c r="F47" s="51">
        <v>0.11</v>
      </c>
      <c r="G47" s="51">
        <v>0.09</v>
      </c>
      <c r="H47" s="51"/>
      <c r="I47" s="49">
        <f>IF(A47&lt;&gt;0,(B47-(B46-D46))/(A47-A46),"")</f>
        <v>16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>IF(A48&lt;&gt;0,(B48-(B47-D47))/(A48-A47),"")</f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>IF(A49&lt;&gt;0,(B49-(B48-D48))/(A49-A48),"")</f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Chêne-liège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25</v>
      </c>
      <c r="B62" s="60">
        <v>30</v>
      </c>
      <c r="C62" s="60">
        <v>1</v>
      </c>
      <c r="D62" s="60">
        <v>0</v>
      </c>
      <c r="E62" s="51">
        <v>0</v>
      </c>
      <c r="F62" s="51"/>
      <c r="G62" s="51"/>
      <c r="H62" s="51">
        <v>1</v>
      </c>
      <c r="I62" s="53">
        <f>IFERROR(B62/A62,"")</f>
        <v>1.2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30</v>
      </c>
      <c r="B63" s="60">
        <v>54</v>
      </c>
      <c r="C63" s="60">
        <v>2</v>
      </c>
      <c r="D63" s="60">
        <v>0</v>
      </c>
      <c r="E63" s="51">
        <v>0</v>
      </c>
      <c r="F63" s="51"/>
      <c r="G63" s="51"/>
      <c r="H63" s="51">
        <v>1</v>
      </c>
      <c r="I63" s="49">
        <f>IF(A63&lt;&gt;0,(B63-(B62-D62))/(A63-A62),"")</f>
        <v>4.8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35</v>
      </c>
      <c r="B64" s="60">
        <v>79</v>
      </c>
      <c r="C64" s="60">
        <v>3</v>
      </c>
      <c r="D64" s="60">
        <v>13</v>
      </c>
      <c r="E64" s="51">
        <v>0</v>
      </c>
      <c r="F64" s="51"/>
      <c r="G64" s="51"/>
      <c r="H64" s="51">
        <v>1</v>
      </c>
      <c r="I64" s="49">
        <f>IF(A64&lt;&gt;0,(B64-(B63-D63))/(A64-A63),"")</f>
        <v>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40</v>
      </c>
      <c r="B65" s="60">
        <v>93</v>
      </c>
      <c r="C65" s="60">
        <v>4</v>
      </c>
      <c r="D65" s="60">
        <v>14</v>
      </c>
      <c r="E65" s="51">
        <v>0.2</v>
      </c>
      <c r="F65" s="51"/>
      <c r="G65" s="51"/>
      <c r="H65" s="51">
        <v>0.8</v>
      </c>
      <c r="I65" s="49">
        <f>IF(A65&lt;&gt;0,(B65-(B64-D64))/(A65-A64),"")</f>
        <v>5.4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45</v>
      </c>
      <c r="B66" s="60">
        <v>107</v>
      </c>
      <c r="C66" s="60">
        <v>5</v>
      </c>
      <c r="D66" s="60">
        <v>14</v>
      </c>
      <c r="E66" s="51">
        <v>0.2</v>
      </c>
      <c r="F66" s="51"/>
      <c r="G66" s="51"/>
      <c r="H66" s="51">
        <v>0.8</v>
      </c>
      <c r="I66" s="49">
        <f t="shared" ref="I66:I81" si="2">IF(A66&lt;&gt;0,(B66-(B65-D65))/(A66-A65),"")</f>
        <v>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50</v>
      </c>
      <c r="B67" s="60">
        <v>121</v>
      </c>
      <c r="C67" s="60">
        <v>6</v>
      </c>
      <c r="D67" s="60">
        <v>14</v>
      </c>
      <c r="E67" s="51">
        <v>0.2</v>
      </c>
      <c r="F67" s="51"/>
      <c r="G67" s="51"/>
      <c r="H67" s="51">
        <v>0.8</v>
      </c>
      <c r="I67" s="49">
        <f t="shared" si="2"/>
        <v>5.6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55</v>
      </c>
      <c r="B68" s="60">
        <v>135</v>
      </c>
      <c r="C68" s="60">
        <v>7</v>
      </c>
      <c r="D68" s="60">
        <v>14</v>
      </c>
      <c r="E68" s="51">
        <v>0.3</v>
      </c>
      <c r="F68" s="51"/>
      <c r="G68" s="51"/>
      <c r="H68" s="51">
        <v>0.7</v>
      </c>
      <c r="I68" s="49">
        <f t="shared" si="2"/>
        <v>5.6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60</v>
      </c>
      <c r="B69" s="50">
        <v>148</v>
      </c>
      <c r="C69" s="50">
        <v>8</v>
      </c>
      <c r="D69" s="50">
        <v>14</v>
      </c>
      <c r="E69" s="51">
        <v>0.3</v>
      </c>
      <c r="F69" s="51"/>
      <c r="G69" s="51"/>
      <c r="H69" s="51">
        <v>0.7</v>
      </c>
      <c r="I69" s="49">
        <f t="shared" si="2"/>
        <v>5.4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65</v>
      </c>
      <c r="B70" s="50">
        <v>161</v>
      </c>
      <c r="C70" s="50">
        <v>9</v>
      </c>
      <c r="D70" s="50">
        <v>14</v>
      </c>
      <c r="E70" s="51">
        <v>0.4</v>
      </c>
      <c r="F70" s="51"/>
      <c r="G70" s="51"/>
      <c r="H70" s="51">
        <v>0.6</v>
      </c>
      <c r="I70" s="49">
        <f t="shared" si="2"/>
        <v>5.4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70</v>
      </c>
      <c r="B71" s="50">
        <v>172</v>
      </c>
      <c r="C71" s="50">
        <v>10</v>
      </c>
      <c r="D71" s="50">
        <v>14</v>
      </c>
      <c r="E71" s="51">
        <v>0.4</v>
      </c>
      <c r="F71" s="51"/>
      <c r="G71" s="51"/>
      <c r="H71" s="51">
        <v>0.6</v>
      </c>
      <c r="I71" s="49">
        <f t="shared" si="2"/>
        <v>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75</v>
      </c>
      <c r="B72" s="50">
        <v>183</v>
      </c>
      <c r="C72" s="50">
        <v>11</v>
      </c>
      <c r="D72" s="50">
        <v>14</v>
      </c>
      <c r="E72" s="51">
        <v>0.5</v>
      </c>
      <c r="F72" s="51"/>
      <c r="G72" s="51"/>
      <c r="H72" s="51">
        <v>0.5</v>
      </c>
      <c r="I72" s="49">
        <f t="shared" si="2"/>
        <v>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80</v>
      </c>
      <c r="B73" s="50">
        <v>192</v>
      </c>
      <c r="C73" s="50">
        <v>12</v>
      </c>
      <c r="D73" s="50">
        <v>14</v>
      </c>
      <c r="E73" s="51">
        <v>0.5</v>
      </c>
      <c r="F73" s="51"/>
      <c r="G73" s="51"/>
      <c r="H73" s="51">
        <v>0.5</v>
      </c>
      <c r="I73" s="49">
        <f t="shared" si="2"/>
        <v>4.5999999999999996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>
        <v>85</v>
      </c>
      <c r="B74" s="50">
        <v>200</v>
      </c>
      <c r="C74" s="50">
        <v>13</v>
      </c>
      <c r="D74" s="50">
        <v>14</v>
      </c>
      <c r="E74" s="51">
        <v>0.6</v>
      </c>
      <c r="F74" s="51"/>
      <c r="G74" s="51"/>
      <c r="H74" s="51">
        <v>0.4</v>
      </c>
      <c r="I74" s="49">
        <f t="shared" si="2"/>
        <v>4.4000000000000004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>
        <v>90</v>
      </c>
      <c r="B75" s="50">
        <v>207</v>
      </c>
      <c r="C75" s="50">
        <v>14</v>
      </c>
      <c r="D75" s="50">
        <v>14</v>
      </c>
      <c r="E75" s="51">
        <v>0.6</v>
      </c>
      <c r="F75" s="51"/>
      <c r="G75" s="51"/>
      <c r="H75" s="51">
        <v>0.4</v>
      </c>
      <c r="I75" s="49">
        <f t="shared" si="2"/>
        <v>4.2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>
        <v>100</v>
      </c>
      <c r="B76" s="50">
        <v>216</v>
      </c>
      <c r="C76" s="50">
        <v>16</v>
      </c>
      <c r="D76" s="50">
        <v>14</v>
      </c>
      <c r="E76" s="51">
        <v>0.7</v>
      </c>
      <c r="F76" s="51"/>
      <c r="G76" s="51"/>
      <c r="H76" s="51">
        <v>0.3</v>
      </c>
      <c r="I76" s="49">
        <f t="shared" si="2"/>
        <v>2.2999999999999998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>
        <v>110</v>
      </c>
      <c r="B77" s="50">
        <v>219</v>
      </c>
      <c r="C77" s="50">
        <v>18</v>
      </c>
      <c r="D77" s="50">
        <v>13</v>
      </c>
      <c r="E77" s="51">
        <v>0.7</v>
      </c>
      <c r="F77" s="51"/>
      <c r="G77" s="51"/>
      <c r="H77" s="51">
        <v>0.3</v>
      </c>
      <c r="I77" s="49">
        <f t="shared" si="2"/>
        <v>1.7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>
        <v>120</v>
      </c>
      <c r="B78" s="50">
        <v>221</v>
      </c>
      <c r="C78" s="50">
        <v>20</v>
      </c>
      <c r="D78" s="50">
        <v>221</v>
      </c>
      <c r="E78" s="51">
        <v>0.8</v>
      </c>
      <c r="F78" s="51"/>
      <c r="G78" s="51"/>
      <c r="H78" s="51">
        <v>0.2</v>
      </c>
      <c r="I78" s="49">
        <f t="shared" si="2"/>
        <v>1.5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Chêne vert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25</v>
      </c>
      <c r="B88" s="60">
        <v>30</v>
      </c>
      <c r="C88" s="60">
        <v>1</v>
      </c>
      <c r="D88" s="60">
        <v>0</v>
      </c>
      <c r="E88" s="51">
        <v>0</v>
      </c>
      <c r="F88" s="51"/>
      <c r="G88" s="51"/>
      <c r="H88" s="87">
        <v>1</v>
      </c>
      <c r="I88" s="53">
        <f>IFERROR(B88/A88,"")</f>
        <v>1.2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30</v>
      </c>
      <c r="B89" s="60">
        <v>54</v>
      </c>
      <c r="C89" s="60">
        <v>2</v>
      </c>
      <c r="D89" s="60">
        <v>0</v>
      </c>
      <c r="E89" s="51">
        <v>0</v>
      </c>
      <c r="F89" s="51"/>
      <c r="G89" s="51"/>
      <c r="H89" s="87">
        <v>1</v>
      </c>
      <c r="I89" s="53">
        <f t="shared" ref="I89:I107" si="3">IF(A89&lt;&gt;0,(B89-(B88-D88))/(A89-A88),"")</f>
        <v>4.8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35</v>
      </c>
      <c r="B90" s="60">
        <v>79</v>
      </c>
      <c r="C90" s="60">
        <v>3</v>
      </c>
      <c r="D90" s="60">
        <v>13</v>
      </c>
      <c r="E90" s="87">
        <v>0</v>
      </c>
      <c r="F90" s="87"/>
      <c r="G90" s="87"/>
      <c r="H90" s="87">
        <v>1</v>
      </c>
      <c r="I90" s="53">
        <f t="shared" si="3"/>
        <v>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40</v>
      </c>
      <c r="B91" s="60">
        <v>93</v>
      </c>
      <c r="C91" s="60">
        <v>4</v>
      </c>
      <c r="D91" s="60">
        <v>14</v>
      </c>
      <c r="E91" s="87">
        <v>0.2</v>
      </c>
      <c r="F91" s="87"/>
      <c r="G91" s="87"/>
      <c r="H91" s="87">
        <v>0.8</v>
      </c>
      <c r="I91" s="53">
        <f t="shared" si="3"/>
        <v>5.4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45</v>
      </c>
      <c r="B92" s="60">
        <v>107</v>
      </c>
      <c r="C92" s="60">
        <v>5</v>
      </c>
      <c r="D92" s="60">
        <v>14</v>
      </c>
      <c r="E92" s="87">
        <v>0.2</v>
      </c>
      <c r="F92" s="87"/>
      <c r="G92" s="87"/>
      <c r="H92" s="87">
        <v>0.8</v>
      </c>
      <c r="I92" s="53">
        <f t="shared" si="3"/>
        <v>5.6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50</v>
      </c>
      <c r="B93" s="60">
        <v>121</v>
      </c>
      <c r="C93" s="60">
        <v>6</v>
      </c>
      <c r="D93" s="60">
        <v>14</v>
      </c>
      <c r="E93" s="87">
        <v>0.2</v>
      </c>
      <c r="F93" s="87"/>
      <c r="G93" s="87"/>
      <c r="H93" s="87">
        <v>0.8</v>
      </c>
      <c r="I93" s="53">
        <f t="shared" si="3"/>
        <v>5.6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55</v>
      </c>
      <c r="B94" s="60">
        <v>135</v>
      </c>
      <c r="C94" s="60">
        <v>7</v>
      </c>
      <c r="D94" s="60">
        <v>14</v>
      </c>
      <c r="E94" s="87">
        <v>0.3</v>
      </c>
      <c r="F94" s="87"/>
      <c r="G94" s="87"/>
      <c r="H94" s="87">
        <v>0.7</v>
      </c>
      <c r="I94" s="53">
        <f t="shared" si="3"/>
        <v>5.6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>
        <v>60</v>
      </c>
      <c r="B95" s="60">
        <v>148</v>
      </c>
      <c r="C95" s="60">
        <v>8</v>
      </c>
      <c r="D95" s="60">
        <v>14</v>
      </c>
      <c r="E95" s="87">
        <v>0.3</v>
      </c>
      <c r="F95" s="87"/>
      <c r="G95" s="87"/>
      <c r="H95" s="87">
        <v>0.7</v>
      </c>
      <c r="I95" s="53">
        <f t="shared" si="3"/>
        <v>5.4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>
        <v>65</v>
      </c>
      <c r="B96" s="60">
        <v>161</v>
      </c>
      <c r="C96" s="60">
        <v>9</v>
      </c>
      <c r="D96" s="60">
        <v>14</v>
      </c>
      <c r="E96" s="87">
        <v>0.4</v>
      </c>
      <c r="F96" s="87"/>
      <c r="G96" s="87"/>
      <c r="H96" s="87">
        <v>0.6</v>
      </c>
      <c r="I96" s="53">
        <f t="shared" si="3"/>
        <v>5.4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>
        <v>70</v>
      </c>
      <c r="B97" s="60">
        <v>172</v>
      </c>
      <c r="C97" s="60">
        <v>10</v>
      </c>
      <c r="D97" s="60">
        <v>14</v>
      </c>
      <c r="E97" s="87">
        <v>0.4</v>
      </c>
      <c r="F97" s="87"/>
      <c r="G97" s="87"/>
      <c r="H97" s="87">
        <v>0.6</v>
      </c>
      <c r="I97" s="53">
        <f t="shared" si="3"/>
        <v>5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>
        <v>75</v>
      </c>
      <c r="B98" s="60">
        <v>183</v>
      </c>
      <c r="C98" s="60">
        <v>11</v>
      </c>
      <c r="D98" s="60">
        <v>14</v>
      </c>
      <c r="E98" s="87">
        <v>0.5</v>
      </c>
      <c r="F98" s="87"/>
      <c r="G98" s="87"/>
      <c r="H98" s="87">
        <v>0.5</v>
      </c>
      <c r="I98" s="53">
        <f t="shared" si="3"/>
        <v>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>
        <v>80</v>
      </c>
      <c r="B99" s="60">
        <v>192</v>
      </c>
      <c r="C99" s="60">
        <v>12</v>
      </c>
      <c r="D99" s="60">
        <v>14</v>
      </c>
      <c r="E99" s="87">
        <v>0.5</v>
      </c>
      <c r="F99" s="87"/>
      <c r="G99" s="87"/>
      <c r="H99" s="87">
        <v>0.5</v>
      </c>
      <c r="I99" s="53">
        <f t="shared" si="3"/>
        <v>4.5999999999999996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>
        <v>85</v>
      </c>
      <c r="B100" s="60">
        <v>200</v>
      </c>
      <c r="C100" s="60">
        <v>13</v>
      </c>
      <c r="D100" s="60">
        <v>14</v>
      </c>
      <c r="E100" s="65">
        <v>0.6</v>
      </c>
      <c r="F100" s="65"/>
      <c r="G100" s="65"/>
      <c r="H100" s="65">
        <v>0.4</v>
      </c>
      <c r="I100" s="53">
        <f t="shared" si="3"/>
        <v>4.4000000000000004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>
        <v>90</v>
      </c>
      <c r="B101" s="60">
        <v>207</v>
      </c>
      <c r="C101" s="60">
        <v>14</v>
      </c>
      <c r="D101" s="60">
        <v>14</v>
      </c>
      <c r="E101" s="65">
        <v>0.6</v>
      </c>
      <c r="F101" s="65"/>
      <c r="G101" s="65"/>
      <c r="H101" s="65">
        <v>0.4</v>
      </c>
      <c r="I101" s="53">
        <f t="shared" si="3"/>
        <v>4.2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>
        <v>100</v>
      </c>
      <c r="B102" s="50">
        <v>216</v>
      </c>
      <c r="C102" s="60">
        <v>16</v>
      </c>
      <c r="D102" s="50">
        <v>14</v>
      </c>
      <c r="E102" s="54">
        <v>0.7</v>
      </c>
      <c r="F102" s="54"/>
      <c r="G102" s="54"/>
      <c r="H102" s="54">
        <v>0.3</v>
      </c>
      <c r="I102" s="53">
        <f t="shared" si="3"/>
        <v>2.2999999999999998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>
        <v>110</v>
      </c>
      <c r="B103" s="50">
        <v>219</v>
      </c>
      <c r="C103" s="60">
        <v>18</v>
      </c>
      <c r="D103" s="50">
        <v>13</v>
      </c>
      <c r="E103" s="54">
        <v>0.7</v>
      </c>
      <c r="F103" s="54"/>
      <c r="G103" s="54"/>
      <c r="H103" s="54">
        <v>0.3</v>
      </c>
      <c r="I103" s="53">
        <f t="shared" si="3"/>
        <v>1.7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>
        <v>120</v>
      </c>
      <c r="B104" s="50">
        <v>221</v>
      </c>
      <c r="C104" s="60">
        <v>20</v>
      </c>
      <c r="D104" s="50">
        <v>221</v>
      </c>
      <c r="E104" s="54">
        <v>0.8</v>
      </c>
      <c r="F104" s="54"/>
      <c r="G104" s="54"/>
      <c r="H104" s="54">
        <v>0.2</v>
      </c>
      <c r="I104" s="53">
        <f t="shared" si="3"/>
        <v>1.5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Chêne pédonculé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25</v>
      </c>
      <c r="B140" s="60">
        <v>30</v>
      </c>
      <c r="C140" s="50">
        <v>1</v>
      </c>
      <c r="D140" s="60">
        <v>0</v>
      </c>
      <c r="E140" s="51">
        <v>0</v>
      </c>
      <c r="F140" s="51"/>
      <c r="G140" s="51"/>
      <c r="H140" s="51">
        <v>1</v>
      </c>
      <c r="I140" s="57">
        <f>IFERROR(B140/A140,"")</f>
        <v>1.2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30</v>
      </c>
      <c r="B141" s="60">
        <v>54</v>
      </c>
      <c r="C141" s="50">
        <v>2</v>
      </c>
      <c r="D141" s="60">
        <v>0</v>
      </c>
      <c r="E141" s="51">
        <v>0</v>
      </c>
      <c r="F141" s="51"/>
      <c r="G141" s="51"/>
      <c r="H141" s="51">
        <v>1</v>
      </c>
      <c r="I141" s="57">
        <f t="shared" ref="I141:I159" si="5">IF(A141&lt;&gt;0,(B141-(B140-D140))/(A141-A140),"")</f>
        <v>4.8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35</v>
      </c>
      <c r="B142" s="60">
        <v>79</v>
      </c>
      <c r="C142" s="50">
        <v>3</v>
      </c>
      <c r="D142" s="60">
        <v>13</v>
      </c>
      <c r="E142" s="51">
        <v>0</v>
      </c>
      <c r="F142" s="51"/>
      <c r="G142" s="51"/>
      <c r="H142" s="51">
        <v>1</v>
      </c>
      <c r="I142" s="57">
        <f t="shared" si="5"/>
        <v>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40</v>
      </c>
      <c r="B143" s="60">
        <v>93</v>
      </c>
      <c r="C143" s="50">
        <v>4</v>
      </c>
      <c r="D143" s="60">
        <v>14</v>
      </c>
      <c r="E143" s="51">
        <v>0.2</v>
      </c>
      <c r="F143" s="51"/>
      <c r="G143" s="51"/>
      <c r="H143" s="51">
        <v>0.8</v>
      </c>
      <c r="I143" s="57">
        <f t="shared" si="5"/>
        <v>5.4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45</v>
      </c>
      <c r="B144" s="60">
        <v>107</v>
      </c>
      <c r="C144" s="50">
        <v>5</v>
      </c>
      <c r="D144" s="60">
        <v>14</v>
      </c>
      <c r="E144" s="51">
        <v>0.2</v>
      </c>
      <c r="F144" s="51"/>
      <c r="G144" s="51"/>
      <c r="H144" s="51">
        <v>0.8</v>
      </c>
      <c r="I144" s="57">
        <f t="shared" si="5"/>
        <v>5.6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50</v>
      </c>
      <c r="B145" s="60">
        <v>121</v>
      </c>
      <c r="C145" s="50">
        <v>6</v>
      </c>
      <c r="D145" s="60">
        <v>14</v>
      </c>
      <c r="E145" s="51">
        <v>0.2</v>
      </c>
      <c r="F145" s="51"/>
      <c r="G145" s="51"/>
      <c r="H145" s="51">
        <v>0.8</v>
      </c>
      <c r="I145" s="57">
        <f t="shared" si="5"/>
        <v>5.6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55</v>
      </c>
      <c r="B146" s="60">
        <v>135</v>
      </c>
      <c r="C146" s="50">
        <v>7</v>
      </c>
      <c r="D146" s="60">
        <v>14</v>
      </c>
      <c r="E146" s="51">
        <v>0.3</v>
      </c>
      <c r="F146" s="51"/>
      <c r="G146" s="51"/>
      <c r="H146" s="51">
        <v>0.7</v>
      </c>
      <c r="I146" s="57">
        <f t="shared" si="5"/>
        <v>5.6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60</v>
      </c>
      <c r="B147" s="60">
        <v>148</v>
      </c>
      <c r="C147" s="50">
        <v>8</v>
      </c>
      <c r="D147" s="60">
        <v>14</v>
      </c>
      <c r="E147" s="51">
        <v>0.3</v>
      </c>
      <c r="F147" s="51"/>
      <c r="G147" s="51"/>
      <c r="H147" s="51">
        <v>0.7</v>
      </c>
      <c r="I147" s="57">
        <f>IF(A147&lt;&gt;0,(B147-(B146-D146))/(A147-A146),"")</f>
        <v>5.4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>
        <v>65</v>
      </c>
      <c r="B148" s="60">
        <v>161</v>
      </c>
      <c r="C148" s="50">
        <v>9</v>
      </c>
      <c r="D148" s="60">
        <v>14</v>
      </c>
      <c r="E148" s="51">
        <v>0.4</v>
      </c>
      <c r="F148" s="51"/>
      <c r="G148" s="51"/>
      <c r="H148" s="51">
        <v>0.6</v>
      </c>
      <c r="I148" s="57">
        <f t="shared" si="5"/>
        <v>5.4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>
        <v>70</v>
      </c>
      <c r="B149" s="60">
        <v>172</v>
      </c>
      <c r="C149" s="50">
        <v>10</v>
      </c>
      <c r="D149" s="60">
        <v>14</v>
      </c>
      <c r="E149" s="51">
        <v>0.4</v>
      </c>
      <c r="F149" s="51"/>
      <c r="G149" s="51"/>
      <c r="H149" s="51">
        <v>0.6</v>
      </c>
      <c r="I149" s="57">
        <f t="shared" si="5"/>
        <v>5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>
        <v>75</v>
      </c>
      <c r="B150" s="60">
        <v>183</v>
      </c>
      <c r="C150" s="50">
        <v>11</v>
      </c>
      <c r="D150" s="60">
        <v>14</v>
      </c>
      <c r="E150" s="51">
        <v>0.5</v>
      </c>
      <c r="F150" s="51"/>
      <c r="G150" s="51"/>
      <c r="H150" s="51">
        <v>0.5</v>
      </c>
      <c r="I150" s="57">
        <f t="shared" si="5"/>
        <v>5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>
        <v>80</v>
      </c>
      <c r="B151" s="60">
        <v>192</v>
      </c>
      <c r="C151" s="50">
        <v>12</v>
      </c>
      <c r="D151" s="60">
        <v>14</v>
      </c>
      <c r="E151" s="51">
        <v>0.5</v>
      </c>
      <c r="F151" s="51"/>
      <c r="G151" s="51"/>
      <c r="H151" s="51">
        <v>0.5</v>
      </c>
      <c r="I151" s="57">
        <f t="shared" si="5"/>
        <v>4.5999999999999996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>
        <v>85</v>
      </c>
      <c r="B152" s="60">
        <v>200</v>
      </c>
      <c r="C152" s="50">
        <v>13</v>
      </c>
      <c r="D152" s="60">
        <v>14</v>
      </c>
      <c r="E152" s="54">
        <v>0.6</v>
      </c>
      <c r="F152" s="54"/>
      <c r="G152" s="54"/>
      <c r="H152" s="54">
        <v>0.4</v>
      </c>
      <c r="I152" s="57">
        <f t="shared" si="5"/>
        <v>4.4000000000000004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>
        <v>90</v>
      </c>
      <c r="B153" s="60">
        <v>207</v>
      </c>
      <c r="C153" s="50">
        <v>14</v>
      </c>
      <c r="D153" s="60">
        <v>14</v>
      </c>
      <c r="E153" s="54">
        <v>0.6</v>
      </c>
      <c r="F153" s="54"/>
      <c r="G153" s="54"/>
      <c r="H153" s="54">
        <v>0.4</v>
      </c>
      <c r="I153" s="57">
        <f t="shared" si="5"/>
        <v>4.2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>
        <v>100</v>
      </c>
      <c r="B154" s="56">
        <v>216</v>
      </c>
      <c r="C154" s="50">
        <v>16</v>
      </c>
      <c r="D154" s="50">
        <v>14</v>
      </c>
      <c r="E154" s="54">
        <v>0.7</v>
      </c>
      <c r="F154" s="54"/>
      <c r="G154" s="54"/>
      <c r="H154" s="54">
        <v>0.3</v>
      </c>
      <c r="I154" s="57">
        <f t="shared" si="5"/>
        <v>2.2999999999999998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>
        <v>110</v>
      </c>
      <c r="B155" s="56">
        <v>219</v>
      </c>
      <c r="C155" s="50">
        <v>18</v>
      </c>
      <c r="D155" s="50">
        <v>13</v>
      </c>
      <c r="E155" s="54">
        <v>0.7</v>
      </c>
      <c r="F155" s="54"/>
      <c r="G155" s="54"/>
      <c r="H155" s="54">
        <v>0.3</v>
      </c>
      <c r="I155" s="57">
        <f t="shared" si="5"/>
        <v>1.7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>
        <v>120</v>
      </c>
      <c r="B156" s="56">
        <v>221</v>
      </c>
      <c r="C156" s="50">
        <v>20</v>
      </c>
      <c r="D156" s="50">
        <v>221</v>
      </c>
      <c r="E156" s="54">
        <v>0.8</v>
      </c>
      <c r="F156" s="54"/>
      <c r="G156" s="54"/>
      <c r="H156" s="54">
        <v>0.2</v>
      </c>
      <c r="I156" s="57">
        <f t="shared" si="5"/>
        <v>1.5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>Bouleau verruqueux</v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>
        <v>10</v>
      </c>
      <c r="B166" s="60">
        <v>11</v>
      </c>
      <c r="C166" s="60">
        <v>1</v>
      </c>
      <c r="D166" s="60">
        <v>0</v>
      </c>
      <c r="E166" s="51">
        <v>0</v>
      </c>
      <c r="F166" s="51"/>
      <c r="G166" s="51"/>
      <c r="H166" s="51">
        <v>1</v>
      </c>
      <c r="I166" s="49">
        <f>IFERROR(B166/A166,"")</f>
        <v>1.1000000000000001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>
        <v>15</v>
      </c>
      <c r="B167" s="60">
        <v>65</v>
      </c>
      <c r="C167" s="60">
        <v>2</v>
      </c>
      <c r="D167" s="60">
        <v>32</v>
      </c>
      <c r="E167" s="51">
        <v>0</v>
      </c>
      <c r="F167" s="51"/>
      <c r="G167" s="51"/>
      <c r="H167" s="51">
        <v>1</v>
      </c>
      <c r="I167" s="49">
        <f t="shared" ref="I167:I185" si="6">IF(A167&lt;&gt;0,(B167-(B166-D166))/(A167-A166),"")</f>
        <v>10.8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>
        <v>20</v>
      </c>
      <c r="B168" s="60">
        <v>102</v>
      </c>
      <c r="C168" s="60">
        <v>3</v>
      </c>
      <c r="D168" s="60">
        <v>35</v>
      </c>
      <c r="E168" s="51">
        <v>0</v>
      </c>
      <c r="F168" s="51"/>
      <c r="G168" s="51"/>
      <c r="H168" s="51">
        <v>1</v>
      </c>
      <c r="I168" s="49">
        <f t="shared" si="6"/>
        <v>13.8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>
        <v>25</v>
      </c>
      <c r="B169" s="60">
        <v>141</v>
      </c>
      <c r="C169" s="60">
        <v>4</v>
      </c>
      <c r="D169" s="60">
        <v>35</v>
      </c>
      <c r="E169" s="51">
        <v>0.2</v>
      </c>
      <c r="F169" s="51"/>
      <c r="G169" s="51"/>
      <c r="H169" s="51">
        <v>0.8</v>
      </c>
      <c r="I169" s="49">
        <f t="shared" si="6"/>
        <v>14.8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>
        <v>30</v>
      </c>
      <c r="B170" s="60">
        <v>177</v>
      </c>
      <c r="C170" s="60">
        <v>5</v>
      </c>
      <c r="D170" s="60">
        <v>35</v>
      </c>
      <c r="E170" s="51">
        <v>0.3</v>
      </c>
      <c r="F170" s="51"/>
      <c r="G170" s="51"/>
      <c r="H170" s="51">
        <v>0.7</v>
      </c>
      <c r="I170" s="49">
        <f t="shared" si="6"/>
        <v>14.2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>
        <v>35</v>
      </c>
      <c r="B171" s="60">
        <v>206</v>
      </c>
      <c r="C171" s="60">
        <v>6</v>
      </c>
      <c r="D171" s="60">
        <v>35</v>
      </c>
      <c r="E171" s="51">
        <v>0.3</v>
      </c>
      <c r="F171" s="51"/>
      <c r="G171" s="51"/>
      <c r="H171" s="51">
        <v>0.7</v>
      </c>
      <c r="I171" s="49">
        <f t="shared" si="6"/>
        <v>12.8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>
        <v>40</v>
      </c>
      <c r="B172" s="60">
        <v>228</v>
      </c>
      <c r="C172" s="60">
        <v>7</v>
      </c>
      <c r="D172" s="60">
        <v>35</v>
      </c>
      <c r="E172" s="51">
        <v>0.4</v>
      </c>
      <c r="F172" s="51"/>
      <c r="G172" s="51"/>
      <c r="H172" s="51">
        <v>0.6</v>
      </c>
      <c r="I172" s="49">
        <f t="shared" si="6"/>
        <v>11.4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>
        <v>45</v>
      </c>
      <c r="B173" s="50">
        <v>242</v>
      </c>
      <c r="C173" s="50">
        <v>8</v>
      </c>
      <c r="D173" s="50">
        <v>24</v>
      </c>
      <c r="E173" s="51">
        <v>0.5</v>
      </c>
      <c r="F173" s="51"/>
      <c r="G173" s="51"/>
      <c r="H173" s="51">
        <v>0.5</v>
      </c>
      <c r="I173" s="49">
        <f t="shared" si="6"/>
        <v>9.8000000000000007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>
        <v>50</v>
      </c>
      <c r="B174" s="50">
        <v>261</v>
      </c>
      <c r="C174" s="50">
        <v>9</v>
      </c>
      <c r="D174" s="50">
        <v>19</v>
      </c>
      <c r="E174" s="51">
        <v>0.6</v>
      </c>
      <c r="F174" s="51"/>
      <c r="G174" s="51"/>
      <c r="H174" s="51">
        <v>0.4</v>
      </c>
      <c r="I174" s="49">
        <f t="shared" si="6"/>
        <v>8.6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>
        <v>55</v>
      </c>
      <c r="B175" s="50">
        <v>279</v>
      </c>
      <c r="C175" s="50">
        <v>10</v>
      </c>
      <c r="D175" s="50">
        <v>16</v>
      </c>
      <c r="E175" s="51">
        <v>0.6</v>
      </c>
      <c r="F175" s="51"/>
      <c r="G175" s="51"/>
      <c r="H175" s="51">
        <v>0.4</v>
      </c>
      <c r="I175" s="49">
        <f t="shared" si="6"/>
        <v>7.4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>
        <v>60</v>
      </c>
      <c r="B176" s="50">
        <v>294</v>
      </c>
      <c r="C176" s="50">
        <v>11</v>
      </c>
      <c r="D176" s="50">
        <v>294</v>
      </c>
      <c r="E176" s="51">
        <v>0.7</v>
      </c>
      <c r="F176" s="51"/>
      <c r="G176" s="51"/>
      <c r="H176" s="51">
        <v>0.3</v>
      </c>
      <c r="I176" s="49">
        <f t="shared" si="6"/>
        <v>6.2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>Cormier</v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>
        <v>25</v>
      </c>
      <c r="B192" s="60">
        <v>30</v>
      </c>
      <c r="C192" s="60">
        <v>1</v>
      </c>
      <c r="D192" s="60">
        <v>0</v>
      </c>
      <c r="E192" s="51">
        <v>0</v>
      </c>
      <c r="F192" s="51"/>
      <c r="G192" s="51"/>
      <c r="H192" s="51">
        <v>1</v>
      </c>
      <c r="I192" s="49">
        <f>IFERROR(B192/A192,"")</f>
        <v>1.2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>
        <v>30</v>
      </c>
      <c r="B193" s="60">
        <v>54</v>
      </c>
      <c r="C193" s="60">
        <v>2</v>
      </c>
      <c r="D193" s="60">
        <v>0</v>
      </c>
      <c r="E193" s="51">
        <v>0</v>
      </c>
      <c r="F193" s="51"/>
      <c r="G193" s="51"/>
      <c r="H193" s="51">
        <v>1</v>
      </c>
      <c r="I193" s="49">
        <f t="shared" ref="I193:I211" si="7">IF(A193&lt;&gt;0,(B193-(B192-D192))/(A193-A192),"")</f>
        <v>4.8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>
        <v>35</v>
      </c>
      <c r="B194" s="60">
        <v>79</v>
      </c>
      <c r="C194" s="60">
        <v>3</v>
      </c>
      <c r="D194" s="60">
        <v>13</v>
      </c>
      <c r="E194" s="51">
        <v>0</v>
      </c>
      <c r="F194" s="51"/>
      <c r="G194" s="51"/>
      <c r="H194" s="51">
        <v>1</v>
      </c>
      <c r="I194" s="49">
        <f t="shared" si="7"/>
        <v>5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>
        <v>40</v>
      </c>
      <c r="B195" s="60">
        <v>93</v>
      </c>
      <c r="C195" s="60">
        <v>4</v>
      </c>
      <c r="D195" s="60">
        <v>14</v>
      </c>
      <c r="E195" s="51">
        <v>0.2</v>
      </c>
      <c r="F195" s="51"/>
      <c r="G195" s="51"/>
      <c r="H195" s="51">
        <v>0.8</v>
      </c>
      <c r="I195" s="49">
        <f t="shared" si="7"/>
        <v>5.4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>
        <v>45</v>
      </c>
      <c r="B196" s="60">
        <v>107</v>
      </c>
      <c r="C196" s="60">
        <v>5</v>
      </c>
      <c r="D196" s="60">
        <v>14</v>
      </c>
      <c r="E196" s="51">
        <v>0.2</v>
      </c>
      <c r="F196" s="51"/>
      <c r="G196" s="51"/>
      <c r="H196" s="51">
        <v>0.8</v>
      </c>
      <c r="I196" s="49">
        <f t="shared" si="7"/>
        <v>5.6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>
        <v>50</v>
      </c>
      <c r="B197" s="60">
        <v>121</v>
      </c>
      <c r="C197" s="60">
        <v>6</v>
      </c>
      <c r="D197" s="60">
        <v>14</v>
      </c>
      <c r="E197" s="51">
        <v>0.2</v>
      </c>
      <c r="F197" s="51"/>
      <c r="G197" s="51"/>
      <c r="H197" s="51">
        <v>0.8</v>
      </c>
      <c r="I197" s="49">
        <f t="shared" si="7"/>
        <v>5.6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>
        <v>55</v>
      </c>
      <c r="B198" s="60">
        <v>135</v>
      </c>
      <c r="C198" s="60">
        <v>7</v>
      </c>
      <c r="D198" s="60">
        <v>14</v>
      </c>
      <c r="E198" s="51">
        <v>0.3</v>
      </c>
      <c r="F198" s="51"/>
      <c r="G198" s="51"/>
      <c r="H198" s="51">
        <v>0.7</v>
      </c>
      <c r="I198" s="49">
        <f t="shared" si="7"/>
        <v>5.6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>
        <v>60</v>
      </c>
      <c r="B199" s="50">
        <v>148</v>
      </c>
      <c r="C199" s="50">
        <v>8</v>
      </c>
      <c r="D199" s="50">
        <v>14</v>
      </c>
      <c r="E199" s="51">
        <v>0.3</v>
      </c>
      <c r="F199" s="51"/>
      <c r="G199" s="51"/>
      <c r="H199" s="51">
        <v>0.7</v>
      </c>
      <c r="I199" s="49">
        <f t="shared" si="7"/>
        <v>5.4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>
        <v>65</v>
      </c>
      <c r="B200" s="50">
        <v>161</v>
      </c>
      <c r="C200" s="50">
        <v>9</v>
      </c>
      <c r="D200" s="50">
        <v>14</v>
      </c>
      <c r="E200" s="51">
        <v>0.4</v>
      </c>
      <c r="F200" s="51"/>
      <c r="G200" s="51"/>
      <c r="H200" s="51">
        <v>0.6</v>
      </c>
      <c r="I200" s="49">
        <f t="shared" si="7"/>
        <v>5.4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>
        <v>70</v>
      </c>
      <c r="B201" s="50">
        <v>172</v>
      </c>
      <c r="C201" s="50">
        <v>10</v>
      </c>
      <c r="D201" s="50">
        <v>14</v>
      </c>
      <c r="E201" s="51">
        <v>0.4</v>
      </c>
      <c r="F201" s="51"/>
      <c r="G201" s="51"/>
      <c r="H201" s="51">
        <v>0.6</v>
      </c>
      <c r="I201" s="49">
        <f t="shared" si="7"/>
        <v>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>
        <v>75</v>
      </c>
      <c r="B202" s="50">
        <v>183</v>
      </c>
      <c r="C202" s="50">
        <v>11</v>
      </c>
      <c r="D202" s="50">
        <v>14</v>
      </c>
      <c r="E202" s="51">
        <v>0.5</v>
      </c>
      <c r="F202" s="51"/>
      <c r="G202" s="51"/>
      <c r="H202" s="51">
        <v>0.5</v>
      </c>
      <c r="I202" s="49">
        <f t="shared" si="7"/>
        <v>5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>
        <v>80</v>
      </c>
      <c r="B203" s="50">
        <v>192</v>
      </c>
      <c r="C203" s="50">
        <v>12</v>
      </c>
      <c r="D203" s="50">
        <v>14</v>
      </c>
      <c r="E203" s="51">
        <v>0.5</v>
      </c>
      <c r="F203" s="51"/>
      <c r="G203" s="51"/>
      <c r="H203" s="51">
        <v>0.5</v>
      </c>
      <c r="I203" s="49">
        <f t="shared" si="7"/>
        <v>4.5999999999999996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>
        <v>85</v>
      </c>
      <c r="B204" s="50">
        <v>200</v>
      </c>
      <c r="C204" s="50">
        <v>13</v>
      </c>
      <c r="D204" s="50">
        <v>14</v>
      </c>
      <c r="E204" s="51">
        <v>0.6</v>
      </c>
      <c r="F204" s="51"/>
      <c r="G204" s="51"/>
      <c r="H204" s="51">
        <v>0.4</v>
      </c>
      <c r="I204" s="49">
        <f t="shared" si="7"/>
        <v>4.4000000000000004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>
        <v>90</v>
      </c>
      <c r="B205" s="50">
        <v>207</v>
      </c>
      <c r="C205" s="50">
        <v>14</v>
      </c>
      <c r="D205" s="50">
        <v>14</v>
      </c>
      <c r="E205" s="51">
        <v>0.6</v>
      </c>
      <c r="F205" s="51"/>
      <c r="G205" s="51"/>
      <c r="H205" s="51">
        <v>0.4</v>
      </c>
      <c r="I205" s="49">
        <f t="shared" si="7"/>
        <v>4.2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>
        <v>100</v>
      </c>
      <c r="B206" s="50">
        <v>216</v>
      </c>
      <c r="C206" s="50">
        <v>16</v>
      </c>
      <c r="D206" s="50">
        <v>14</v>
      </c>
      <c r="E206" s="51">
        <v>0.7</v>
      </c>
      <c r="F206" s="51"/>
      <c r="G206" s="51"/>
      <c r="H206" s="51">
        <v>0.3</v>
      </c>
      <c r="I206" s="49">
        <f t="shared" si="7"/>
        <v>2.2999999999999998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>
        <v>110</v>
      </c>
      <c r="B207" s="50">
        <v>219</v>
      </c>
      <c r="C207" s="50">
        <v>18</v>
      </c>
      <c r="D207" s="50">
        <v>13</v>
      </c>
      <c r="E207" s="51">
        <v>0.7</v>
      </c>
      <c r="F207" s="51"/>
      <c r="G207" s="51"/>
      <c r="H207" s="51">
        <v>0.3</v>
      </c>
      <c r="I207" s="49">
        <f t="shared" si="7"/>
        <v>1.7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>
        <v>120</v>
      </c>
      <c r="B208" s="50">
        <v>221</v>
      </c>
      <c r="C208" s="50">
        <v>20</v>
      </c>
      <c r="D208" s="50">
        <v>221</v>
      </c>
      <c r="E208" s="51">
        <v>0.8</v>
      </c>
      <c r="F208" s="51"/>
      <c r="G208" s="51"/>
      <c r="H208" s="51">
        <v>0.2</v>
      </c>
      <c r="I208" s="49">
        <f t="shared" si="7"/>
        <v>1.5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>Cèdre de l'Atlas</v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>
        <v>30</v>
      </c>
      <c r="B218" s="60">
        <v>170</v>
      </c>
      <c r="C218" s="50">
        <v>1</v>
      </c>
      <c r="D218" s="60">
        <v>70</v>
      </c>
      <c r="E218" s="63">
        <v>0.2</v>
      </c>
      <c r="F218" s="63">
        <v>0.45</v>
      </c>
      <c r="G218" s="63">
        <v>0.35</v>
      </c>
      <c r="H218" s="63"/>
      <c r="I218" s="53">
        <f>IFERROR(B218/A218,"")</f>
        <v>5.666666666666667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>
        <v>40</v>
      </c>
      <c r="B219" s="60">
        <v>200</v>
      </c>
      <c r="C219" s="50">
        <v>2</v>
      </c>
      <c r="D219" s="60">
        <v>50</v>
      </c>
      <c r="E219" s="63">
        <v>0.3</v>
      </c>
      <c r="F219" s="63">
        <v>0.39</v>
      </c>
      <c r="G219" s="63">
        <v>0.31</v>
      </c>
      <c r="H219" s="63"/>
      <c r="I219" s="53">
        <f t="shared" ref="I219:I237" si="8">IF(A219&lt;&gt;0,(B219-(B218-D218))/(A219-A218),"")</f>
        <v>10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>
        <v>50</v>
      </c>
      <c r="B220" s="60">
        <v>255</v>
      </c>
      <c r="C220" s="50">
        <v>3</v>
      </c>
      <c r="D220" s="60">
        <v>50</v>
      </c>
      <c r="E220" s="63">
        <v>0.4</v>
      </c>
      <c r="F220" s="63">
        <v>0.34</v>
      </c>
      <c r="G220" s="63">
        <v>0.26</v>
      </c>
      <c r="H220" s="63"/>
      <c r="I220" s="53">
        <f t="shared" si="8"/>
        <v>10.5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>
        <v>60</v>
      </c>
      <c r="B221" s="55">
        <v>300</v>
      </c>
      <c r="C221" s="55">
        <v>4</v>
      </c>
      <c r="D221" s="55">
        <v>300</v>
      </c>
      <c r="E221" s="63">
        <v>0.5</v>
      </c>
      <c r="F221" s="63">
        <v>0.28000000000000003</v>
      </c>
      <c r="G221" s="63">
        <v>0.22</v>
      </c>
      <c r="H221" s="63"/>
      <c r="I221" s="53">
        <f t="shared" si="8"/>
        <v>9.5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32" sqref="C32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Pin maritime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Chêne-liège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Chêne vert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>Chêne pédonculé</v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>Bouleau verruqueux</v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>Cormier</v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>Cèdre de l'Atlas</v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150.21793637331223</v>
      </c>
      <c r="T3" s="59">
        <f>IF('Données projet'!E9&gt;30,$R$33-$H$33,LOOKUP('Données projet'!$E$9,$A$3:$A$203,R3:R203)-LOOKUP('Données projet'!$E$9,$A$3:$A$203,$H$3:$H$203))</f>
        <v>364.59164590134486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223.92539057016376</v>
      </c>
      <c r="AO3" s="59">
        <f>IF('Données projet'!E10&gt;30,$AM$33-$H$33,LOOKUP('Données projet'!$E$10,$A$3:$A$203,AM3:AM203)-LOOKUP('Données projet'!$E$10,$A$3:$A$203,$H$3:$H$203))</f>
        <v>94.125825809616856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236.39682613502913</v>
      </c>
      <c r="BJ3" s="59">
        <f>IF('Données projet'!E11&gt;30,$BH$33-$H$33,LOOKUP('Données projet'!$E$11,$A$3:$A$203,BH3:BH203)-LOOKUP('Données projet'!$E$11,$A$3:$A$203,$H$3:$H$203))</f>
        <v>99.639724892155641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157.20393815370375</v>
      </c>
      <c r="CZ3" s="59">
        <f>IF('Données projet'!E13&gt;30,$CX$33-$H$33,LOOKUP('Données projet'!$E$13,$A$3:$A$203,CX3:CX203)-LOOKUP('Données projet'!$E$13,$A$3:$A$203,$H$3:$H$203))</f>
        <v>64.616965816756363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221.78186926953776</v>
      </c>
      <c r="DU3" s="59">
        <f>IF('Données projet'!E14&gt;30,$DS$33-$H$33,LOOKUP('Données projet'!$E$14,$A$3:$A$203,DS3:DS203)-LOOKUP('Données projet'!$E$14,$A$3:$A$203,$H$3:$H$203))</f>
        <v>276.69392352410654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219.76574638403434</v>
      </c>
      <c r="EP3" s="59">
        <f>IF('Données projet'!E15&gt;30,$EN$33-$H$33,LOOKUP('Données projet'!$E$15,$A$3:$A$203,EN3:EN203)-LOOKUP('Données projet'!$E$15,$A$3:$A$203,$H$3:$H$203))</f>
        <v>92.286636088269972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86.164294406232727</v>
      </c>
      <c r="FK3" s="59">
        <f>IF('Données projet'!E16&gt;30,$FI$33-$H$33,LOOKUP('Données projet'!$E$16,$A$3:$A$203,FI3:FI203)-LOOKUP('Données projet'!$E$16,$A$3:$A$203,$H$3:$H$203))</f>
        <v>138.91188401562334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150.21793637331223</v>
      </c>
      <c r="T4" s="59">
        <f>$T$3</f>
        <v>364.59164590134486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1.2</v>
      </c>
      <c r="AI4" s="13">
        <f>IF('Données projet'!$A$62&gt;35,AI3+AH4-AQ3,IF(A4&lt;'Données projet'!$A$62,$AF$205^A4,IF(A4='Données projet'!$A$62,'Données projet'!$B$62,AI3+AH4-AQ3)))</f>
        <v>1.1457367676485573</v>
      </c>
      <c r="AJ4" s="13">
        <f>AI4*VLOOKUP('Données projet'!$B$10,Paramètres!$A$1:$I$89,3,0)*VLOOKUP('Données projet'!$B$10,Paramètres!$A$1:$I$89,5,0)</f>
        <v>1.2511445502722245</v>
      </c>
      <c r="AK4" s="13">
        <f>EXP(-1.0587+0.8836*LN(AJ4)+0.284)</f>
        <v>0.56173691102724865</v>
      </c>
      <c r="AL4" s="20">
        <f t="shared" ref="AL4:AL67" si="4">(AJ4+AK4)*0.475*44/12</f>
        <v>3.1574352117632487</v>
      </c>
      <c r="AM4" s="59">
        <f t="shared" ref="AM4:AM67" si="5">AL4+(AD4+AE4)*44/12</f>
        <v>296.49076854509656</v>
      </c>
      <c r="AN4" s="59">
        <f ca="1">AVERAGE(OFFSET($AM$3,0,0,'Données projet'!$E$10+1,1))-AVERAGE(OFFSET($H$3,0,0,'Données projet'!$E$10+1,1))</f>
        <v>223.92539057016376</v>
      </c>
      <c r="AO4" s="59">
        <f>$AO$3</f>
        <v>94.125825809616856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1.2</v>
      </c>
      <c r="BD4" s="12">
        <f>IF('Données projet'!$A$88&gt;35,BD3+BC4-BL3,IF(A4&lt;'Données projet'!$A$88,$BA$205^A4,IF(A4='Données projet'!$A$88,'Données projet'!$B$88,BD3+BC4-BL3)))</f>
        <v>1.1457367676485573</v>
      </c>
      <c r="BE4" s="13">
        <f>BD4*VLOOKUP('Données projet'!$B$11,Paramètres!$A$1:$I$89,3,0)*VLOOKUP('Données projet'!$B$11,Paramètres!$A$1:$I$89,5,0)</f>
        <v>1.3047650309981771</v>
      </c>
      <c r="BF4" s="13">
        <f>EXP(-1.0587+0.8836*LN(BE4)+0.284)</f>
        <v>0.58295685400878672</v>
      </c>
      <c r="BG4" s="20">
        <f t="shared" ref="BG4:BG67" si="7">(BE4+BF4)*0.475*44/12</f>
        <v>3.2877822830537951</v>
      </c>
      <c r="BH4" s="59">
        <f t="shared" ref="BH4:BH67" si="8">BG4+(AY4+AZ4)*44/12</f>
        <v>296.6211156163871</v>
      </c>
      <c r="BI4" s="59">
        <f ca="1">AVERAGE(OFFSET($BH$3,0,0,'Données projet'!$E$11+1,1))-AVERAGE(OFFSET($H$3,0,0,'Données projet'!$E$11+1,1))</f>
        <v>236.39682613502913</v>
      </c>
      <c r="BJ4" s="59">
        <f>$BJ$3</f>
        <v>99.639724892155641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1.2</v>
      </c>
      <c r="CT4" s="12">
        <f>IF('Données projet'!$A$140&gt;35,CT3+CS4-DB3,IF(A4&lt;'Données projet'!$A$140,$CQ$205^A4,IF(A4='Données projet'!$A$140,'Données projet'!$B$140,CT3+CS4-DB3)))</f>
        <v>1.1457367676485573</v>
      </c>
      <c r="CU4" s="17">
        <f>CT4*VLOOKUP('Données projet'!$B$13,Paramètres!$A$1:$I$89,3,0)*VLOOKUP('Données projet'!$B$13,Paramètres!$A$1:$I$89,5,0)</f>
        <v>0.96516865306714472</v>
      </c>
      <c r="CV4" s="13">
        <f>EXP(-1.0587+0.8836*LN(CU4)+0.284)</f>
        <v>0.44662955638776708</v>
      </c>
      <c r="CW4" s="20">
        <f t="shared" ref="CW4:CW67" si="13">(CU4+CV4)*0.475*44/12</f>
        <v>2.4588818814673044</v>
      </c>
      <c r="CX4" s="59">
        <f t="shared" ref="CX4:CX67" si="14">CW4+(CO4+CP4)*44/12</f>
        <v>295.79221521480059</v>
      </c>
      <c r="CY4" s="59">
        <f ca="1">AVERAGE(OFFSET($CX$3,0,0,'Données projet'!$E$13+1,1))-AVERAGE(OFFSET($H$3,0,0,'Données projet'!$E$13+1,1))</f>
        <v>157.20393815370375</v>
      </c>
      <c r="CZ4" s="59">
        <f>$CZ$3</f>
        <v>64.616965816756363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1.1000000000000001</v>
      </c>
      <c r="DO4" s="12">
        <f>IF('Données projet'!$A$166&gt;35,DO3+DN4-DW3,IF(A4&lt;'Données projet'!$A$166,$DL$205^A4,IF(A4='Données projet'!$A$166,'Données projet'!$B$166,DO3+DN4-DW3)))</f>
        <v>1.2709816152101407</v>
      </c>
      <c r="DP4" s="17">
        <f>DO4*VLOOKUP('Données projet'!$B$14,Paramètres!$A$1:$I$89,3,0)*VLOOKUP('Données projet'!$B$14,Paramètres!$A$1:$I$89,5,0)</f>
        <v>1.0310202862584663</v>
      </c>
      <c r="DQ4" s="13">
        <f>EXP(-1.0587+0.8836*LN(DP4)+0.284)</f>
        <v>0.47345092792653765</v>
      </c>
      <c r="DR4" s="20">
        <f t="shared" ref="DR4:DR67" si="16">(DP4+DQ4)*0.475*44/12</f>
        <v>2.6202873647055487</v>
      </c>
      <c r="DS4" s="59">
        <f t="shared" ref="DS4:DS67" si="17">DR4+(DJ4+DK4)*44/12</f>
        <v>295.95362069803889</v>
      </c>
      <c r="DT4" s="59">
        <f ca="1">AVERAGE(OFFSET($DS$3,0,0,'Données projet'!$E$14+1,1))-AVERAGE(OFFSET($H$3,0,0,'Données projet'!$E$14+1,1))</f>
        <v>221.78186926953776</v>
      </c>
      <c r="DU4" s="59">
        <f>$DU$3</f>
        <v>276.69392352410654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1.2</v>
      </c>
      <c r="EJ4" s="12">
        <f>IF('Données projet'!$A$192&gt;35,EJ3+EI4-ER3,IF(A4&lt;'Données projet'!$A$192,$EG$205^A4,IF(A4='Données projet'!$A$192,'Données projet'!$B$192,EJ3+EI4-ER3)))</f>
        <v>1.1457367676485573</v>
      </c>
      <c r="EK4" s="17">
        <f>EJ4*VLOOKUP('Données projet'!$B$15,Paramètres!$A$1:$I$89,3,0)*VLOOKUP('Données projet'!$B$15,Paramètres!$A$1:$I$89,5,0)</f>
        <v>1.233271056696907</v>
      </c>
      <c r="EL4" s="13">
        <f>EXP(-1.0587+0.8836*LN(EK4)+0.284)</f>
        <v>0.55464025923604754</v>
      </c>
      <c r="EM4" s="20">
        <f t="shared" ref="EM4:EM67" si="19">(EK4+EL4)*0.475*44/12</f>
        <v>3.113945541916562</v>
      </c>
      <c r="EN4" s="59">
        <f t="shared" ref="EN4:EN67" si="20">EM4+(EE4+EF4)*44/12</f>
        <v>296.44727887524988</v>
      </c>
      <c r="EO4" s="59">
        <f ca="1">AVERAGE(OFFSET($EN$3,0,0,'Données projet'!$E$15+1,1))-AVERAGE(OFFSET($H$3,0,0,'Données projet'!$E$15+1,1))</f>
        <v>219.76574638403434</v>
      </c>
      <c r="EP4" s="59">
        <f>$EP$3</f>
        <v>92.286636088269972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5.666666666666667</v>
      </c>
      <c r="FE4" s="12">
        <f>IF('Données projet'!$A$218&gt;35,FE3+FD4-FM3,IF(A4&lt;'Données projet'!$A$218,$FB$205^A4,IF(A4='Données projet'!$A$218,'Données projet'!$B$218,FE3+FD4-FM3)))</f>
        <v>1.1867200975826817</v>
      </c>
      <c r="FF4" s="17">
        <f>FE4*VLOOKUP('Données projet'!$B$16,Paramètres!$A$1:$I$89,3,0)*VLOOKUP('Données projet'!$B$16,Paramètres!$A$1:$I$89,5,0)</f>
        <v>0.55538500566869509</v>
      </c>
      <c r="FG4" s="13">
        <f>EXP(-1.0587+0.8836*LN(FF4)+0.284)</f>
        <v>0.27407880760927583</v>
      </c>
      <c r="FH4" s="20">
        <f t="shared" ref="FH4:FH67" si="22">(FF4+FG4)*0.475*44/12</f>
        <v>1.4446494747924661</v>
      </c>
      <c r="FI4" s="59">
        <f t="shared" ref="FI4:FI67" si="23">FH4+(EZ4+FA4)*44/12</f>
        <v>294.77798280812578</v>
      </c>
      <c r="FJ4" s="59">
        <f ca="1">AVERAGE(OFFSET($FI$3,0,0,'Données projet'!$E$16+1,1))-AVERAGE(OFFSET($H$3,0,0,'Données projet'!$E$16+1,1))</f>
        <v>86.164294406232727</v>
      </c>
      <c r="FK4" s="59">
        <f>$FK$3</f>
        <v>138.91188401562334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150.21793637331223</v>
      </c>
      <c r="T5" s="59">
        <f t="shared" ref="T5:T68" si="34">$T$3</f>
        <v>364.59164590134486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1.2</v>
      </c>
      <c r="AI5" s="13">
        <f>IF('Données projet'!$A$62&gt;35,AI4+AH5-AQ4,IF(A5&lt;'Données projet'!$A$62,$AF$205^A5,IF(A5='Données projet'!$A$62,'Données projet'!$B$62,AI4+AH5-AQ4)))</f>
        <v>1.312712740741764</v>
      </c>
      <c r="AJ5" s="13">
        <f>AI5*VLOOKUP('Données projet'!$B$10,Paramètres!$A$1:$I$89,3,0)*VLOOKUP('Données projet'!$B$10,Paramètres!$A$1:$I$89,5,0)</f>
        <v>1.4334823128900063</v>
      </c>
      <c r="AK5" s="13">
        <f t="shared" ref="AK5:AK68" si="35">EXP(-1.0587+0.8836*LN(AJ5)+0.284)</f>
        <v>0.63349083391567951</v>
      </c>
      <c r="AL5" s="20">
        <f t="shared" si="4"/>
        <v>3.5999782306865691</v>
      </c>
      <c r="AM5" s="59">
        <f t="shared" si="5"/>
        <v>296.9333115640199</v>
      </c>
      <c r="AN5" s="59">
        <f ca="1">AVERAGE(OFFSET($AM$3,0,0,'Données projet'!$E$10+1,1))-AVERAGE(OFFSET($H$3,0,0,'Données projet'!$E$10+1,1))</f>
        <v>223.92539057016376</v>
      </c>
      <c r="AO5" s="59">
        <f t="shared" ref="AO5:AO68" si="36">$AO$3</f>
        <v>94.125825809616856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1.2</v>
      </c>
      <c r="BD5" s="12">
        <f>IF('Données projet'!$A$88&gt;35,BD4+BC5-BL4,IF(A5&lt;'Données projet'!$A$88,$BA$205^A5,IF(A5='Données projet'!$A$88,'Données projet'!$B$88,BD4+BC5-BL4)))</f>
        <v>1.312712740741764</v>
      </c>
      <c r="BE5" s="13">
        <f>BD5*VLOOKUP('Données projet'!$B$11,Paramètres!$A$1:$I$89,3,0)*VLOOKUP('Données projet'!$B$11,Paramètres!$A$1:$I$89,5,0)</f>
        <v>1.494917269156721</v>
      </c>
      <c r="BF5" s="13">
        <f t="shared" ref="BF5:BF68" si="37">EXP(-1.0587+0.8836*LN(BE5)+0.284)</f>
        <v>0.65742132363627681</v>
      </c>
      <c r="BG5" s="20">
        <f t="shared" si="7"/>
        <v>3.7486563824478041</v>
      </c>
      <c r="BH5" s="59">
        <f t="shared" si="8"/>
        <v>297.08198971578111</v>
      </c>
      <c r="BI5" s="59">
        <f ca="1">AVERAGE(OFFSET($BH$3,0,0,'Données projet'!$E$11+1,1))-AVERAGE(OFFSET($H$3,0,0,'Données projet'!$E$11+1,1))</f>
        <v>236.39682613502913</v>
      </c>
      <c r="BJ5" s="59">
        <f t="shared" ref="BJ5:BJ68" si="38">$BJ$3</f>
        <v>99.639724892155641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1.2</v>
      </c>
      <c r="CT5" s="12">
        <f>IF('Données projet'!$A$140&gt;35,CT4+CS5-DB4,IF(A5&lt;'Données projet'!$A$140,$CQ$205^A5,IF(A5='Données projet'!$A$140,'Données projet'!$B$140,CT4+CS5-DB4)))</f>
        <v>1.312712740741764</v>
      </c>
      <c r="CU5" s="17">
        <f>CT5*VLOOKUP('Données projet'!$B$13,Paramètres!$A$1:$I$89,3,0)*VLOOKUP('Données projet'!$B$13,Paramètres!$A$1:$I$89,5,0)</f>
        <v>1.105829212800862</v>
      </c>
      <c r="CV5" s="13">
        <f t="shared" ref="CV5:CV68" si="41">EXP(-1.0587+0.8836*LN(CU5)+0.284)</f>
        <v>0.50368014736662359</v>
      </c>
      <c r="CW5" s="20">
        <f t="shared" si="13"/>
        <v>2.803228802291704</v>
      </c>
      <c r="CX5" s="59">
        <f t="shared" si="14"/>
        <v>296.13656213562501</v>
      </c>
      <c r="CY5" s="59">
        <f ca="1">AVERAGE(OFFSET($CX$3,0,0,'Données projet'!$E$13+1,1))-AVERAGE(OFFSET($H$3,0,0,'Données projet'!$E$13+1,1))</f>
        <v>157.20393815370375</v>
      </c>
      <c r="CZ5" s="59">
        <f t="shared" ref="CZ5:CZ68" si="42">$CZ$3</f>
        <v>64.616965816756363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1.1000000000000001</v>
      </c>
      <c r="DO5" s="12">
        <f>IF('Données projet'!$A$166&gt;35,DO4+DN5-DW4,IF(A5&lt;'Données projet'!$A$166,$DL$205^A5,IF(A5='Données projet'!$A$166,'Données projet'!$B$166,DO4+DN5-DW4)))</f>
        <v>1.6153942662021783</v>
      </c>
      <c r="DP5" s="17">
        <f>DO5*VLOOKUP('Données projet'!$B$14,Paramètres!$A$1:$I$89,3,0)*VLOOKUP('Données projet'!$B$14,Paramètres!$A$1:$I$89,5,0)</f>
        <v>1.310407828743207</v>
      </c>
      <c r="DQ5" s="13">
        <f t="shared" ref="DQ5:DQ68" si="43">EXP(-1.0587+0.8836*LN(DP5)+0.284)</f>
        <v>0.58518398183877263</v>
      </c>
      <c r="DR5" s="20">
        <f t="shared" si="16"/>
        <v>3.3014890700969475</v>
      </c>
      <c r="DS5" s="59">
        <f t="shared" si="17"/>
        <v>296.63482240343023</v>
      </c>
      <c r="DT5" s="59">
        <f ca="1">AVERAGE(OFFSET($DS$3,0,0,'Données projet'!$E$14+1,1))-AVERAGE(OFFSET($H$3,0,0,'Données projet'!$E$14+1,1))</f>
        <v>221.78186926953776</v>
      </c>
      <c r="DU5" s="59">
        <f t="shared" ref="DU5:DU68" si="44">$DU$3</f>
        <v>276.69392352410654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1.2</v>
      </c>
      <c r="EJ5" s="12">
        <f>IF('Données projet'!$A$192&gt;35,EJ4+EI5-ER4,IF(A5&lt;'Données projet'!$A$192,$EG$205^A5,IF(A5='Données projet'!$A$192,'Données projet'!$B$192,EJ4+EI5-ER4)))</f>
        <v>1.312712740741764</v>
      </c>
      <c r="EK5" s="17">
        <f>EJ5*VLOOKUP('Données projet'!$B$15,Paramètres!$A$1:$I$89,3,0)*VLOOKUP('Données projet'!$B$15,Paramètres!$A$1:$I$89,5,0)</f>
        <v>1.4130039941344348</v>
      </c>
      <c r="EL5" s="13">
        <f t="shared" ref="EL5:EL68" si="45">EXP(-1.0587+0.8836*LN(EK5)+0.284)</f>
        <v>0.62548768551477418</v>
      </c>
      <c r="EM5" s="20">
        <f t="shared" si="19"/>
        <v>3.5503730087223722</v>
      </c>
      <c r="EN5" s="59">
        <f t="shared" si="20"/>
        <v>296.88370634205569</v>
      </c>
      <c r="EO5" s="59">
        <f ca="1">AVERAGE(OFFSET($EN$3,0,0,'Données projet'!$E$15+1,1))-AVERAGE(OFFSET($H$3,0,0,'Données projet'!$E$15+1,1))</f>
        <v>219.76574638403434</v>
      </c>
      <c r="EP5" s="59">
        <f t="shared" ref="EP5:EP68" si="46">$EP$3</f>
        <v>92.286636088269972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5.666666666666667</v>
      </c>
      <c r="FE5" s="12">
        <f>IF('Données projet'!$A$218&gt;35,FE4+FD5-FM4,IF(A5&lt;'Données projet'!$A$218,$FB$205^A5,IF(A5='Données projet'!$A$218,'Données projet'!$B$218,FE4+FD5-FM4)))</f>
        <v>1.4083045900066495</v>
      </c>
      <c r="FF5" s="17">
        <f>FE5*VLOOKUP('Données projet'!$B$16,Paramètres!$A$1:$I$89,3,0)*VLOOKUP('Données projet'!$B$16,Paramètres!$A$1:$I$89,5,0)</f>
        <v>0.65908654812311196</v>
      </c>
      <c r="FG5" s="13">
        <f t="shared" ref="FG5:FG68" si="47">EXP(-1.0587+0.8836*LN(FF5)+0.284)</f>
        <v>0.31883765901680755</v>
      </c>
      <c r="FH5" s="20">
        <f t="shared" si="22"/>
        <v>1.7032179941020262</v>
      </c>
      <c r="FI5" s="59">
        <f t="shared" si="23"/>
        <v>295.03655132743535</v>
      </c>
      <c r="FJ5" s="59">
        <f ca="1">AVERAGE(OFFSET($FI$3,0,0,'Données projet'!$E$16+1,1))-AVERAGE(OFFSET($H$3,0,0,'Données projet'!$E$16+1,1))</f>
        <v>86.164294406232727</v>
      </c>
      <c r="FK5" s="59">
        <f t="shared" ref="FK5:FK68" si="48">$FK$3</f>
        <v>138.91188401562334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150.21793637331223</v>
      </c>
      <c r="T6" s="59">
        <f t="shared" si="34"/>
        <v>364.59164590134486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1.2</v>
      </c>
      <c r="AI6" s="13">
        <f>IF('Données projet'!$A$62&gt;35,AI5+AH6-AQ5,IF(A6&lt;'Données projet'!$A$62,$AF$205^A6,IF(A6='Données projet'!$A$62,'Données projet'!$B$62,AI5+AH6-AQ5)))</f>
        <v>1.5040232524285473</v>
      </c>
      <c r="AJ6" s="13">
        <f>AI6*VLOOKUP('Données projet'!$B$10,Paramètres!$A$1:$I$89,3,0)*VLOOKUP('Données projet'!$B$10,Paramètres!$A$1:$I$89,5,0)</f>
        <v>1.6423933916519737</v>
      </c>
      <c r="AK6" s="13">
        <f t="shared" si="35"/>
        <v>0.71441030271859118</v>
      </c>
      <c r="AL6" s="20">
        <f t="shared" si="4"/>
        <v>4.1047664343620669</v>
      </c>
      <c r="AM6" s="59">
        <f t="shared" si="5"/>
        <v>297.43809976769541</v>
      </c>
      <c r="AN6" s="59">
        <f ca="1">AVERAGE(OFFSET($AM$3,0,0,'Données projet'!$E$10+1,1))-AVERAGE(OFFSET($H$3,0,0,'Données projet'!$E$10+1,1))</f>
        <v>223.92539057016376</v>
      </c>
      <c r="AO6" s="59">
        <f t="shared" si="36"/>
        <v>94.125825809616856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1.2</v>
      </c>
      <c r="BD6" s="12">
        <f>IF('Données projet'!$A$88&gt;35,BD5+BC6-BL5,IF(A6&lt;'Données projet'!$A$88,$BA$205^A6,IF(A6='Données projet'!$A$88,'Données projet'!$B$88,BD5+BC6-BL5)))</f>
        <v>1.5040232524285473</v>
      </c>
      <c r="BE6" s="13">
        <f>BD6*VLOOKUP('Données projet'!$B$11,Paramètres!$A$1:$I$89,3,0)*VLOOKUP('Données projet'!$B$11,Paramètres!$A$1:$I$89,5,0)</f>
        <v>1.7127816798656297</v>
      </c>
      <c r="BF6" s="13">
        <f t="shared" si="37"/>
        <v>0.74139757307864129</v>
      </c>
      <c r="BG6" s="20">
        <f t="shared" si="7"/>
        <v>4.2743621988779381</v>
      </c>
      <c r="BH6" s="59">
        <f t="shared" si="8"/>
        <v>297.60769553221127</v>
      </c>
      <c r="BI6" s="59">
        <f ca="1">AVERAGE(OFFSET($BH$3,0,0,'Données projet'!$E$11+1,1))-AVERAGE(OFFSET($H$3,0,0,'Données projet'!$E$11+1,1))</f>
        <v>236.39682613502913</v>
      </c>
      <c r="BJ6" s="59">
        <f t="shared" si="38"/>
        <v>99.639724892155641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1.2</v>
      </c>
      <c r="CT6" s="12">
        <f>IF('Données projet'!$A$140&gt;35,CT5+CS6-DB5,IF(A6&lt;'Données projet'!$A$140,$CQ$205^A6,IF(A6='Données projet'!$A$140,'Données projet'!$B$140,CT5+CS6-DB5)))</f>
        <v>1.5040232524285473</v>
      </c>
      <c r="CU6" s="17">
        <f>CT6*VLOOKUP('Données projet'!$B$13,Paramètres!$A$1:$I$89,3,0)*VLOOKUP('Données projet'!$B$13,Paramètres!$A$1:$I$89,5,0)</f>
        <v>1.2669891878458084</v>
      </c>
      <c r="CV6" s="13">
        <f t="shared" si="41"/>
        <v>0.5680181421558339</v>
      </c>
      <c r="CW6" s="20">
        <f t="shared" si="13"/>
        <v>3.1959710997528603</v>
      </c>
      <c r="CX6" s="59">
        <f t="shared" si="14"/>
        <v>296.52930443308617</v>
      </c>
      <c r="CY6" s="59">
        <f ca="1">AVERAGE(OFFSET($CX$3,0,0,'Données projet'!$E$13+1,1))-AVERAGE(OFFSET($H$3,0,0,'Données projet'!$E$13+1,1))</f>
        <v>157.20393815370375</v>
      </c>
      <c r="CZ6" s="59">
        <f t="shared" si="42"/>
        <v>64.616965816756363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1.1000000000000001</v>
      </c>
      <c r="DO6" s="12">
        <f>IF('Données projet'!$A$166&gt;35,DO5+DN6-DW5,IF(A6&lt;'Données projet'!$A$166,$DL$205^A6,IF(A6='Données projet'!$A$166,'Données projet'!$B$166,DO5+DN6-DW5)))</f>
        <v>2.0531364136588448</v>
      </c>
      <c r="DP6" s="17">
        <f>DO6*VLOOKUP('Données projet'!$B$14,Paramètres!$A$1:$I$89,3,0)*VLOOKUP('Données projet'!$B$14,Paramètres!$A$1:$I$89,5,0)</f>
        <v>1.6655042587600553</v>
      </c>
      <c r="DQ6" s="13">
        <f t="shared" si="43"/>
        <v>0.72328571431972233</v>
      </c>
      <c r="DR6" s="20">
        <f t="shared" si="16"/>
        <v>4.1604758697806128</v>
      </c>
      <c r="DS6" s="59">
        <f t="shared" si="17"/>
        <v>297.49380920311393</v>
      </c>
      <c r="DT6" s="59">
        <f ca="1">AVERAGE(OFFSET($DS$3,0,0,'Données projet'!$E$14+1,1))-AVERAGE(OFFSET($H$3,0,0,'Données projet'!$E$14+1,1))</f>
        <v>221.78186926953776</v>
      </c>
      <c r="DU6" s="59">
        <f t="shared" si="44"/>
        <v>276.69392352410654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1.2</v>
      </c>
      <c r="EJ6" s="12">
        <f>IF('Données projet'!$A$192&gt;35,EJ5+EI6-ER5,IF(A6&lt;'Données projet'!$A$192,$EG$205^A6,IF(A6='Données projet'!$A$192,'Données projet'!$B$192,EJ5+EI6-ER5)))</f>
        <v>1.5040232524285473</v>
      </c>
      <c r="EK6" s="17">
        <f>EJ6*VLOOKUP('Données projet'!$B$15,Paramètres!$A$1:$I$89,3,0)*VLOOKUP('Données projet'!$B$15,Paramètres!$A$1:$I$89,5,0)</f>
        <v>1.6189306289140883</v>
      </c>
      <c r="EL6" s="13">
        <f t="shared" si="45"/>
        <v>0.70538486562354785</v>
      </c>
      <c r="EM6" s="20">
        <f t="shared" si="19"/>
        <v>4.0481828196530492</v>
      </c>
      <c r="EN6" s="59">
        <f t="shared" si="20"/>
        <v>297.38151615298636</v>
      </c>
      <c r="EO6" s="59">
        <f ca="1">AVERAGE(OFFSET($EN$3,0,0,'Données projet'!$E$15+1,1))-AVERAGE(OFFSET($H$3,0,0,'Données projet'!$E$15+1,1))</f>
        <v>219.76574638403434</v>
      </c>
      <c r="EP6" s="59">
        <f t="shared" si="46"/>
        <v>92.286636088269972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5.666666666666667</v>
      </c>
      <c r="FE6" s="12">
        <f>IF('Données projet'!$A$218&gt;35,FE5+FD6-FM5,IF(A6&lt;'Données projet'!$A$218,$FB$205^A6,IF(A6='Données projet'!$A$218,'Données projet'!$B$218,FE5+FD6-FM5)))</f>
        <v>1.6712633604788296</v>
      </c>
      <c r="FF6" s="17">
        <f>FE6*VLOOKUP('Données projet'!$B$16,Paramètres!$A$1:$I$89,3,0)*VLOOKUP('Données projet'!$B$16,Paramètres!$A$1:$I$89,5,0)</f>
        <v>0.78215125270409225</v>
      </c>
      <c r="FG6" s="13">
        <f t="shared" si="47"/>
        <v>0.37090592189177923</v>
      </c>
      <c r="FH6" s="20">
        <f t="shared" si="22"/>
        <v>2.0082412457544763</v>
      </c>
      <c r="FI6" s="59">
        <f t="shared" si="23"/>
        <v>295.34157457908782</v>
      </c>
      <c r="FJ6" s="59">
        <f ca="1">AVERAGE(OFFSET($FI$3,0,0,'Données projet'!$E$16+1,1))-AVERAGE(OFFSET($H$3,0,0,'Données projet'!$E$16+1,1))</f>
        <v>86.164294406232727</v>
      </c>
      <c r="FK6" s="59">
        <f t="shared" si="48"/>
        <v>138.91188401562334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150.21793637331223</v>
      </c>
      <c r="T7" s="59">
        <f t="shared" si="34"/>
        <v>364.59164590134486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1.2</v>
      </c>
      <c r="AI7" s="13">
        <f>IF('Données projet'!$A$62&gt;35,AI6+AH7-AQ6,IF(A7&lt;'Données projet'!$A$62,$AF$205^A7,IF(A7='Données projet'!$A$62,'Données projet'!$B$62,AI6+AH7-AQ6)))</f>
        <v>1.7232147397057538</v>
      </c>
      <c r="AJ7" s="13">
        <f>AI7*VLOOKUP('Données projet'!$B$10,Paramètres!$A$1:$I$89,3,0)*VLOOKUP('Données projet'!$B$10,Paramètres!$A$1:$I$89,5,0)</f>
        <v>1.881750495758683</v>
      </c>
      <c r="AK7" s="13">
        <f t="shared" si="35"/>
        <v>0.80566608592540934</v>
      </c>
      <c r="AL7" s="20">
        <f t="shared" si="4"/>
        <v>4.6805838797664601</v>
      </c>
      <c r="AM7" s="59">
        <f t="shared" si="5"/>
        <v>298.01391721309977</v>
      </c>
      <c r="AN7" s="59">
        <f ca="1">AVERAGE(OFFSET($AM$3,0,0,'Données projet'!$E$10+1,1))-AVERAGE(OFFSET($H$3,0,0,'Données projet'!$E$10+1,1))</f>
        <v>223.92539057016376</v>
      </c>
      <c r="AO7" s="59">
        <f t="shared" si="36"/>
        <v>94.125825809616856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1.2</v>
      </c>
      <c r="BD7" s="12">
        <f>IF('Données projet'!$A$88&gt;35,BD6+BC7-BL6,IF(A7&lt;'Données projet'!$A$88,$BA$205^A7,IF(A7='Données projet'!$A$88,'Données projet'!$B$88,BD6+BC7-BL6)))</f>
        <v>1.7232147397057538</v>
      </c>
      <c r="BE7" s="13">
        <f>BD7*VLOOKUP('Données projet'!$B$11,Paramètres!$A$1:$I$89,3,0)*VLOOKUP('Données projet'!$B$11,Paramètres!$A$1:$I$89,5,0)</f>
        <v>1.9623969455769126</v>
      </c>
      <c r="BF7" s="13">
        <f t="shared" si="37"/>
        <v>0.83610059729521113</v>
      </c>
      <c r="BG7" s="20">
        <f t="shared" si="7"/>
        <v>4.8740498871689484</v>
      </c>
      <c r="BH7" s="59">
        <f t="shared" si="8"/>
        <v>298.20738322050227</v>
      </c>
      <c r="BI7" s="59">
        <f ca="1">AVERAGE(OFFSET($BH$3,0,0,'Données projet'!$E$11+1,1))-AVERAGE(OFFSET($H$3,0,0,'Données projet'!$E$11+1,1))</f>
        <v>236.39682613502913</v>
      </c>
      <c r="BJ7" s="59">
        <f t="shared" si="38"/>
        <v>99.639724892155641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1.2</v>
      </c>
      <c r="CT7" s="12">
        <f>IF('Données projet'!$A$140&gt;35,CT6+CS7-DB6,IF(A7&lt;'Données projet'!$A$140,$CQ$205^A7,IF(A7='Données projet'!$A$140,'Données projet'!$B$140,CT6+CS7-DB6)))</f>
        <v>1.7232147397057538</v>
      </c>
      <c r="CU7" s="17">
        <f>CT7*VLOOKUP('Données projet'!$B$13,Paramètres!$A$1:$I$89,3,0)*VLOOKUP('Données projet'!$B$13,Paramètres!$A$1:$I$89,5,0)</f>
        <v>1.4516360967281272</v>
      </c>
      <c r="CV7" s="13">
        <f t="shared" si="41"/>
        <v>0.6405744032299836</v>
      </c>
      <c r="CW7" s="20">
        <f t="shared" si="13"/>
        <v>3.6439332874270431</v>
      </c>
      <c r="CX7" s="59">
        <f t="shared" si="14"/>
        <v>296.97726662076036</v>
      </c>
      <c r="CY7" s="59">
        <f ca="1">AVERAGE(OFFSET($CX$3,0,0,'Données projet'!$E$13+1,1))-AVERAGE(OFFSET($H$3,0,0,'Données projet'!$E$13+1,1))</f>
        <v>157.20393815370375</v>
      </c>
      <c r="CZ7" s="59">
        <f t="shared" si="42"/>
        <v>64.616965816756363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1.1000000000000001</v>
      </c>
      <c r="DO7" s="12">
        <f>IF('Données projet'!$A$166&gt;35,DO6+DN7-DW6,IF(A7&lt;'Données projet'!$A$166,$DL$205^A7,IF(A7='Données projet'!$A$166,'Données projet'!$B$166,DO6+DN7-DW6)))</f>
        <v>2.6094986352788743</v>
      </c>
      <c r="DP7" s="17">
        <f>DO7*VLOOKUP('Données projet'!$B$14,Paramètres!$A$1:$I$89,3,0)*VLOOKUP('Données projet'!$B$14,Paramètres!$A$1:$I$89,5,0)</f>
        <v>2.116825292938223</v>
      </c>
      <c r="DQ7" s="13">
        <f t="shared" si="43"/>
        <v>0.89397905748405238</v>
      </c>
      <c r="DR7" s="20">
        <f t="shared" si="16"/>
        <v>5.2438175769854629</v>
      </c>
      <c r="DS7" s="59">
        <f t="shared" si="17"/>
        <v>298.57715091031878</v>
      </c>
      <c r="DT7" s="59">
        <f ca="1">AVERAGE(OFFSET($DS$3,0,0,'Données projet'!$E$14+1,1))-AVERAGE(OFFSET($H$3,0,0,'Données projet'!$E$14+1,1))</f>
        <v>221.78186926953776</v>
      </c>
      <c r="DU7" s="59">
        <f t="shared" si="44"/>
        <v>276.69392352410654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1.2</v>
      </c>
      <c r="EJ7" s="12">
        <f>IF('Données projet'!$A$192&gt;35,EJ6+EI7-ER6,IF(A7&lt;'Données projet'!$A$192,$EG$205^A7,IF(A7='Données projet'!$A$192,'Données projet'!$B$192,EJ6+EI7-ER6)))</f>
        <v>1.7232147397057538</v>
      </c>
      <c r="EK7" s="17">
        <f>EJ7*VLOOKUP('Données projet'!$B$15,Paramètres!$A$1:$I$89,3,0)*VLOOKUP('Données projet'!$B$15,Paramètres!$A$1:$I$89,5,0)</f>
        <v>1.8548683458192732</v>
      </c>
      <c r="EL7" s="13">
        <f t="shared" si="45"/>
        <v>0.79548777725536501</v>
      </c>
      <c r="EM7" s="20">
        <f t="shared" si="19"/>
        <v>4.6160369143549937</v>
      </c>
      <c r="EN7" s="59">
        <f t="shared" si="20"/>
        <v>297.94937024768831</v>
      </c>
      <c r="EO7" s="59">
        <f ca="1">AVERAGE(OFFSET($EN$3,0,0,'Données projet'!$E$15+1,1))-AVERAGE(OFFSET($H$3,0,0,'Données projet'!$E$15+1,1))</f>
        <v>219.76574638403434</v>
      </c>
      <c r="EP7" s="59">
        <f t="shared" si="46"/>
        <v>92.286636088269972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5.666666666666667</v>
      </c>
      <c r="FE7" s="12">
        <f>IF('Données projet'!$A$218&gt;35,FE6+FD7-FM6,IF(A7&lt;'Données projet'!$A$218,$FB$205^A7,IF(A7='Données projet'!$A$218,'Données projet'!$B$218,FE6+FD7-FM6)))</f>
        <v>1.9833218182337973</v>
      </c>
      <c r="FF7" s="17">
        <f>FE7*VLOOKUP('Données projet'!$B$16,Paramètres!$A$1:$I$89,3,0)*VLOOKUP('Données projet'!$B$16,Paramètres!$A$1:$I$89,5,0)</f>
        <v>0.92819461093341715</v>
      </c>
      <c r="FG7" s="13">
        <f t="shared" si="47"/>
        <v>0.43147727065433811</v>
      </c>
      <c r="FH7" s="20">
        <f t="shared" si="22"/>
        <v>2.3680951937653405</v>
      </c>
      <c r="FI7" s="59">
        <f t="shared" si="23"/>
        <v>295.70142852709864</v>
      </c>
      <c r="FJ7" s="59">
        <f ca="1">AVERAGE(OFFSET($FI$3,0,0,'Données projet'!$E$16+1,1))-AVERAGE(OFFSET($H$3,0,0,'Données projet'!$E$16+1,1))</f>
        <v>86.164294406232727</v>
      </c>
      <c r="FK7" s="59">
        <f t="shared" si="48"/>
        <v>138.91188401562334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150.21793637331223</v>
      </c>
      <c r="T8" s="59">
        <f t="shared" si="34"/>
        <v>364.59164590134486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1.2</v>
      </c>
      <c r="AI8" s="13">
        <f>IF('Données projet'!$A$62&gt;35,AI7+AH8-AQ7,IF(A8&lt;'Données projet'!$A$62,$AF$205^A8,IF(A8='Données projet'!$A$62,'Données projet'!$B$62,AI7+AH8-AQ7)))</f>
        <v>1.9743504858348202</v>
      </c>
      <c r="AJ8" s="13">
        <f>AI8*VLOOKUP('Données projet'!$B$10,Paramètres!$A$1:$I$89,3,0)*VLOOKUP('Données projet'!$B$10,Paramètres!$A$1:$I$89,5,0)</f>
        <v>2.1559907305316233</v>
      </c>
      <c r="AK8" s="13">
        <f t="shared" si="35"/>
        <v>0.90857850109428084</v>
      </c>
      <c r="AL8" s="20">
        <f t="shared" si="4"/>
        <v>5.3374580784151151</v>
      </c>
      <c r="AM8" s="59">
        <f t="shared" si="5"/>
        <v>298.67079141174844</v>
      </c>
      <c r="AN8" s="59">
        <f ca="1">AVERAGE(OFFSET($AM$3,0,0,'Données projet'!$E$10+1,1))-AVERAGE(OFFSET($H$3,0,0,'Données projet'!$E$10+1,1))</f>
        <v>223.92539057016376</v>
      </c>
      <c r="AO8" s="59">
        <f t="shared" si="36"/>
        <v>94.125825809616856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1.2</v>
      </c>
      <c r="BD8" s="12">
        <f>IF('Données projet'!$A$88&gt;35,BD7+BC8-BL7,IF(A8&lt;'Données projet'!$A$88,$BA$205^A8,IF(A8='Données projet'!$A$88,'Données projet'!$B$88,BD7+BC8-BL7)))</f>
        <v>1.9743504858348202</v>
      </c>
      <c r="BE8" s="13">
        <f>BD8*VLOOKUP('Données projet'!$B$11,Paramètres!$A$1:$I$89,3,0)*VLOOKUP('Données projet'!$B$11,Paramètres!$A$1:$I$89,5,0)</f>
        <v>2.2483903332686932</v>
      </c>
      <c r="BF8" s="13">
        <f t="shared" si="37"/>
        <v>0.94290058961827439</v>
      </c>
      <c r="BG8" s="20">
        <f t="shared" si="7"/>
        <v>5.5581650240281348</v>
      </c>
      <c r="BH8" s="59">
        <f t="shared" si="8"/>
        <v>298.89149835736146</v>
      </c>
      <c r="BI8" s="59">
        <f ca="1">AVERAGE(OFFSET($BH$3,0,0,'Données projet'!$E$11+1,1))-AVERAGE(OFFSET($H$3,0,0,'Données projet'!$E$11+1,1))</f>
        <v>236.39682613502913</v>
      </c>
      <c r="BJ8" s="59">
        <f t="shared" si="38"/>
        <v>99.639724892155641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1.2</v>
      </c>
      <c r="CT8" s="12">
        <f>IF('Données projet'!$A$140&gt;35,CT7+CS8-DB7,IF(A8&lt;'Données projet'!$A$140,$CQ$205^A8,IF(A8='Données projet'!$A$140,'Données projet'!$B$140,CT7+CS8-DB7)))</f>
        <v>1.9743504858348202</v>
      </c>
      <c r="CU8" s="17">
        <f>CT8*VLOOKUP('Données projet'!$B$13,Paramètres!$A$1:$I$89,3,0)*VLOOKUP('Données projet'!$B$13,Paramètres!$A$1:$I$89,5,0)</f>
        <v>1.6631928492672525</v>
      </c>
      <c r="CV8" s="13">
        <f t="shared" si="41"/>
        <v>0.72239869754173336</v>
      </c>
      <c r="CW8" s="20">
        <f t="shared" si="13"/>
        <v>4.1549052773589841</v>
      </c>
      <c r="CX8" s="59">
        <f t="shared" si="14"/>
        <v>297.48823861069229</v>
      </c>
      <c r="CY8" s="59">
        <f ca="1">AVERAGE(OFFSET($CX$3,0,0,'Données projet'!$E$13+1,1))-AVERAGE(OFFSET($H$3,0,0,'Données projet'!$E$13+1,1))</f>
        <v>157.20393815370375</v>
      </c>
      <c r="CZ8" s="59">
        <f t="shared" si="42"/>
        <v>64.616965816756363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1.1000000000000001</v>
      </c>
      <c r="DO8" s="12">
        <f>IF('Données projet'!$A$166&gt;35,DO7+DN8-DW7,IF(A8&lt;'Données projet'!$A$166,$DL$205^A8,IF(A8='Données projet'!$A$166,'Données projet'!$B$166,DO7+DN8-DW7)))</f>
        <v>3.3166247903554016</v>
      </c>
      <c r="DP8" s="17">
        <f>DO8*VLOOKUP('Données projet'!$B$14,Paramètres!$A$1:$I$89,3,0)*VLOOKUP('Données projet'!$B$14,Paramètres!$A$1:$I$89,5,0)</f>
        <v>2.690446029936302</v>
      </c>
      <c r="DQ8" s="13">
        <f t="shared" si="43"/>
        <v>1.1049555374832079</v>
      </c>
      <c r="DR8" s="20">
        <f t="shared" si="16"/>
        <v>6.6103243965889789</v>
      </c>
      <c r="DS8" s="59">
        <f t="shared" si="17"/>
        <v>299.94365772992228</v>
      </c>
      <c r="DT8" s="59">
        <f ca="1">AVERAGE(OFFSET($DS$3,0,0,'Données projet'!$E$14+1,1))-AVERAGE(OFFSET($H$3,0,0,'Données projet'!$E$14+1,1))</f>
        <v>221.78186926953776</v>
      </c>
      <c r="DU8" s="59">
        <f t="shared" si="44"/>
        <v>276.69392352410654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1.2</v>
      </c>
      <c r="EJ8" s="12">
        <f>IF('Données projet'!$A$192&gt;35,EJ7+EI8-ER7,IF(A8&lt;'Données projet'!$A$192,$EG$205^A8,IF(A8='Données projet'!$A$192,'Données projet'!$B$192,EJ7+EI8-ER7)))</f>
        <v>1.9743504858348202</v>
      </c>
      <c r="EK8" s="17">
        <f>EJ8*VLOOKUP('Données projet'!$B$15,Paramètres!$A$1:$I$89,3,0)*VLOOKUP('Données projet'!$B$15,Paramètres!$A$1:$I$89,5,0)</f>
        <v>2.1251908629526004</v>
      </c>
      <c r="EL8" s="13">
        <f t="shared" si="45"/>
        <v>0.89710005785748825</v>
      </c>
      <c r="EM8" s="20">
        <f t="shared" si="19"/>
        <v>5.2638233537442369</v>
      </c>
      <c r="EN8" s="59">
        <f t="shared" si="20"/>
        <v>298.59715668707753</v>
      </c>
      <c r="EO8" s="59">
        <f ca="1">AVERAGE(OFFSET($EN$3,0,0,'Données projet'!$E$15+1,1))-AVERAGE(OFFSET($H$3,0,0,'Données projet'!$E$15+1,1))</f>
        <v>219.76574638403434</v>
      </c>
      <c r="EP8" s="59">
        <f t="shared" si="46"/>
        <v>92.286636088269972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5.666666666666667</v>
      </c>
      <c r="FE8" s="12">
        <f>IF('Données projet'!$A$218&gt;35,FE7+FD8-FM7,IF(A8&lt;'Données projet'!$A$218,$FB$205^A8,IF(A8='Données projet'!$A$218,'Données projet'!$B$218,FE7+FD8-FM7)))</f>
        <v>2.3536478616722736</v>
      </c>
      <c r="FF8" s="17">
        <f>FE8*VLOOKUP('Données projet'!$B$16,Paramètres!$A$1:$I$89,3,0)*VLOOKUP('Données projet'!$B$16,Paramètres!$A$1:$I$89,5,0)</f>
        <v>1.101507199262624</v>
      </c>
      <c r="FG8" s="13">
        <f t="shared" si="47"/>
        <v>0.50194031451899346</v>
      </c>
      <c r="FH8" s="20">
        <f t="shared" si="22"/>
        <v>2.7926710865029833</v>
      </c>
      <c r="FI8" s="59">
        <f t="shared" si="23"/>
        <v>296.12600441983631</v>
      </c>
      <c r="FJ8" s="59">
        <f ca="1">AVERAGE(OFFSET($FI$3,0,0,'Données projet'!$E$16+1,1))-AVERAGE(OFFSET($H$3,0,0,'Données projet'!$E$16+1,1))</f>
        <v>86.164294406232727</v>
      </c>
      <c r="FK8" s="59">
        <f t="shared" si="48"/>
        <v>138.91188401562334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150.21793637331223</v>
      </c>
      <c r="T9" s="59">
        <f t="shared" si="34"/>
        <v>364.59164590134486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1.2</v>
      </c>
      <c r="AI9" s="13">
        <f>IF('Données projet'!$A$62&gt;35,AI8+AH9-AQ8,IF(A9&lt;'Données projet'!$A$62,$AF$205^A9,IF(A9='Données projet'!$A$62,'Données projet'!$B$62,AI8+AH9-AQ8)))</f>
        <v>2.2620859438457455</v>
      </c>
      <c r="AJ9" s="13">
        <f>AI9*VLOOKUP('Données projet'!$B$10,Paramètres!$A$1:$I$89,3,0)*VLOOKUP('Données projet'!$B$10,Paramètres!$A$1:$I$89,5,0)</f>
        <v>2.4701978506795541</v>
      </c>
      <c r="AK9" s="13">
        <f t="shared" si="35"/>
        <v>1.0246365176244476</v>
      </c>
      <c r="AL9" s="20">
        <f t="shared" si="4"/>
        <v>6.0868365247961362</v>
      </c>
      <c r="AM9" s="59">
        <f t="shared" si="5"/>
        <v>299.42016985812944</v>
      </c>
      <c r="AN9" s="59">
        <f ca="1">AVERAGE(OFFSET($AM$3,0,0,'Données projet'!$E$10+1,1))-AVERAGE(OFFSET($H$3,0,0,'Données projet'!$E$10+1,1))</f>
        <v>223.92539057016376</v>
      </c>
      <c r="AO9" s="59">
        <f t="shared" si="36"/>
        <v>94.125825809616856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1.2</v>
      </c>
      <c r="BD9" s="12">
        <f>IF('Données projet'!$A$88&gt;35,BD8+BC9-BL8,IF(A9&lt;'Données projet'!$A$88,$BA$205^A9,IF(A9='Données projet'!$A$88,'Données projet'!$B$88,BD8+BC9-BL8)))</f>
        <v>2.2620859438457455</v>
      </c>
      <c r="BE9" s="13">
        <f>BD9*VLOOKUP('Données projet'!$B$11,Paramètres!$A$1:$I$89,3,0)*VLOOKUP('Données projet'!$B$11,Paramètres!$A$1:$I$89,5,0)</f>
        <v>2.5760634728515348</v>
      </c>
      <c r="BF9" s="13">
        <f t="shared" si="37"/>
        <v>1.0633427661439394</v>
      </c>
      <c r="BG9" s="20">
        <f t="shared" si="7"/>
        <v>6.3386325329171171</v>
      </c>
      <c r="BH9" s="59">
        <f t="shared" si="8"/>
        <v>299.67196586625045</v>
      </c>
      <c r="BI9" s="59">
        <f ca="1">AVERAGE(OFFSET($BH$3,0,0,'Données projet'!$E$11+1,1))-AVERAGE(OFFSET($H$3,0,0,'Données projet'!$E$11+1,1))</f>
        <v>236.39682613502913</v>
      </c>
      <c r="BJ9" s="59">
        <f t="shared" si="38"/>
        <v>99.639724892155641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1.2</v>
      </c>
      <c r="CT9" s="12">
        <f>IF('Données projet'!$A$140&gt;35,CT8+CS9-DB8,IF(A9&lt;'Données projet'!$A$140,$CQ$205^A9,IF(A9='Données projet'!$A$140,'Données projet'!$B$140,CT8+CS9-DB8)))</f>
        <v>2.2620859438457455</v>
      </c>
      <c r="CU9" s="17">
        <f>CT9*VLOOKUP('Données projet'!$B$13,Paramètres!$A$1:$I$89,3,0)*VLOOKUP('Données projet'!$B$13,Paramètres!$A$1:$I$89,5,0)</f>
        <v>1.9055811990956562</v>
      </c>
      <c r="CV9" s="13">
        <f t="shared" si="41"/>
        <v>0.81467488488239048</v>
      </c>
      <c r="CW9" s="20">
        <f t="shared" si="13"/>
        <v>4.7377793462617648</v>
      </c>
      <c r="CX9" s="59">
        <f t="shared" si="14"/>
        <v>298.0711126795951</v>
      </c>
      <c r="CY9" s="59">
        <f ca="1">AVERAGE(OFFSET($CX$3,0,0,'Données projet'!$E$13+1,1))-AVERAGE(OFFSET($H$3,0,0,'Données projet'!$E$13+1,1))</f>
        <v>157.20393815370375</v>
      </c>
      <c r="CZ9" s="59">
        <f t="shared" si="42"/>
        <v>64.616965816756363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1.1000000000000001</v>
      </c>
      <c r="DO9" s="12">
        <f>IF('Données projet'!$A$166&gt;35,DO8+DN9-DW8,IF(A9&lt;'Données projet'!$A$166,$DL$205^A9,IF(A9='Données projet'!$A$166,'Données projet'!$B$166,DO8+DN9-DW8)))</f>
        <v>4.2153691330919028</v>
      </c>
      <c r="DP9" s="17">
        <f>DO9*VLOOKUP('Données projet'!$B$14,Paramètres!$A$1:$I$89,3,0)*VLOOKUP('Données projet'!$B$14,Paramètres!$A$1:$I$89,5,0)</f>
        <v>3.4195074407641517</v>
      </c>
      <c r="DQ9" s="13">
        <f t="shared" si="43"/>
        <v>1.3657218584637647</v>
      </c>
      <c r="DR9" s="20">
        <f t="shared" si="16"/>
        <v>8.3342743628219527</v>
      </c>
      <c r="DS9" s="59">
        <f t="shared" si="17"/>
        <v>301.66760769615524</v>
      </c>
      <c r="DT9" s="59">
        <f ca="1">AVERAGE(OFFSET($DS$3,0,0,'Données projet'!$E$14+1,1))-AVERAGE(OFFSET($H$3,0,0,'Données projet'!$E$14+1,1))</f>
        <v>221.78186926953776</v>
      </c>
      <c r="DU9" s="59">
        <f t="shared" si="44"/>
        <v>276.69392352410654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1.2</v>
      </c>
      <c r="EJ9" s="12">
        <f>IF('Données projet'!$A$192&gt;35,EJ8+EI9-ER8,IF(A9&lt;'Données projet'!$A$192,$EG$205^A9,IF(A9='Données projet'!$A$192,'Données projet'!$B$192,EJ8+EI9-ER8)))</f>
        <v>2.2620859438457455</v>
      </c>
      <c r="EK9" s="17">
        <f>EJ9*VLOOKUP('Données projet'!$B$15,Paramètres!$A$1:$I$89,3,0)*VLOOKUP('Données projet'!$B$15,Paramètres!$A$1:$I$89,5,0)</f>
        <v>2.4349093099555601</v>
      </c>
      <c r="EL9" s="13">
        <f t="shared" si="45"/>
        <v>1.0116918660706939</v>
      </c>
      <c r="EM9" s="20">
        <f t="shared" si="19"/>
        <v>6.0028303815790593</v>
      </c>
      <c r="EN9" s="59">
        <f t="shared" si="20"/>
        <v>299.33616371491235</v>
      </c>
      <c r="EO9" s="59">
        <f ca="1">AVERAGE(OFFSET($EN$3,0,0,'Données projet'!$E$15+1,1))-AVERAGE(OFFSET($H$3,0,0,'Données projet'!$E$15+1,1))</f>
        <v>219.76574638403434</v>
      </c>
      <c r="EP9" s="59">
        <f t="shared" si="46"/>
        <v>92.286636088269972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5.666666666666667</v>
      </c>
      <c r="FE9" s="12">
        <f>IF('Données projet'!$A$218&gt;35,FE8+FD9-FM8,IF(A9&lt;'Données projet'!$A$218,$FB$205^A9,IF(A9='Données projet'!$A$218,'Données projet'!$B$218,FE8+FD9-FM8)))</f>
        <v>2.7931212200789908</v>
      </c>
      <c r="FF9" s="17">
        <f>FE9*VLOOKUP('Données projet'!$B$16,Paramètres!$A$1:$I$89,3,0)*VLOOKUP('Données projet'!$B$16,Paramètres!$A$1:$I$89,5,0)</f>
        <v>1.3071807309969676</v>
      </c>
      <c r="FG9" s="13">
        <f t="shared" si="47"/>
        <v>0.58391043161404843</v>
      </c>
      <c r="FH9" s="20">
        <f t="shared" si="22"/>
        <v>3.2936504415475194</v>
      </c>
      <c r="FI9" s="59">
        <f t="shared" si="23"/>
        <v>296.62698377488084</v>
      </c>
      <c r="FJ9" s="59">
        <f ca="1">AVERAGE(OFFSET($FI$3,0,0,'Données projet'!$E$16+1,1))-AVERAGE(OFFSET($H$3,0,0,'Données projet'!$E$16+1,1))</f>
        <v>86.164294406232727</v>
      </c>
      <c r="FK9" s="59">
        <f t="shared" si="48"/>
        <v>138.91188401562334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150.21793637331223</v>
      </c>
      <c r="T10" s="59">
        <f t="shared" si="34"/>
        <v>364.59164590134486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1.2</v>
      </c>
      <c r="AI10" s="13">
        <f>IF('Données projet'!$A$62&gt;35,AI9+AH10-AQ9,IF(A10&lt;'Données projet'!$A$62,$AF$205^A10,IF(A10='Données projet'!$A$62,'Données projet'!$B$62,AI9+AH10-AQ9)))</f>
        <v>2.5917550374450604</v>
      </c>
      <c r="AJ10" s="13">
        <f>AI10*VLOOKUP('Données projet'!$B$10,Paramètres!$A$1:$I$89,3,0)*VLOOKUP('Données projet'!$B$10,Paramètres!$A$1:$I$89,5,0)</f>
        <v>2.8301965008900059</v>
      </c>
      <c r="AK10" s="13">
        <f t="shared" si="35"/>
        <v>1.1555192996368417</v>
      </c>
      <c r="AL10" s="20">
        <f t="shared" si="4"/>
        <v>6.9417883525842585</v>
      </c>
      <c r="AM10" s="59">
        <f t="shared" si="5"/>
        <v>300.27512168591755</v>
      </c>
      <c r="AN10" s="59">
        <f ca="1">AVERAGE(OFFSET($AM$3,0,0,'Données projet'!$E$10+1,1))-AVERAGE(OFFSET($H$3,0,0,'Données projet'!$E$10+1,1))</f>
        <v>223.92539057016376</v>
      </c>
      <c r="AO10" s="59">
        <f t="shared" si="36"/>
        <v>94.125825809616856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1.2</v>
      </c>
      <c r="BD10" s="12">
        <f>IF('Données projet'!$A$88&gt;35,BD9+BC10-BL9,IF(A10&lt;'Données projet'!$A$88,$BA$205^A10,IF(A10='Données projet'!$A$88,'Données projet'!$B$88,BD9+BC10-BL9)))</f>
        <v>2.5917550374450604</v>
      </c>
      <c r="BE10" s="13">
        <f>BD10*VLOOKUP('Données projet'!$B$11,Paramètres!$A$1:$I$89,3,0)*VLOOKUP('Données projet'!$B$11,Paramètres!$A$1:$I$89,5,0)</f>
        <v>2.9514906366424349</v>
      </c>
      <c r="BF10" s="13">
        <f t="shared" si="37"/>
        <v>1.1991697224077444</v>
      </c>
      <c r="BG10" s="20">
        <f t="shared" si="7"/>
        <v>7.2290667920123957</v>
      </c>
      <c r="BH10" s="59">
        <f t="shared" si="8"/>
        <v>300.56240012534573</v>
      </c>
      <c r="BI10" s="59">
        <f ca="1">AVERAGE(OFFSET($BH$3,0,0,'Données projet'!$E$11+1,1))-AVERAGE(OFFSET($H$3,0,0,'Données projet'!$E$11+1,1))</f>
        <v>236.39682613502913</v>
      </c>
      <c r="BJ10" s="59">
        <f t="shared" si="38"/>
        <v>99.639724892155641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1.2</v>
      </c>
      <c r="CT10" s="12">
        <f>IF('Données projet'!$A$140&gt;35,CT9+CS10-DB9,IF(A10&lt;'Données projet'!$A$140,$CQ$205^A10,IF(A10='Données projet'!$A$140,'Données projet'!$B$140,CT9+CS10-DB9)))</f>
        <v>2.5917550374450604</v>
      </c>
      <c r="CU10" s="17">
        <f>CT10*VLOOKUP('Données projet'!$B$13,Paramètres!$A$1:$I$89,3,0)*VLOOKUP('Données projet'!$B$13,Paramètres!$A$1:$I$89,5,0)</f>
        <v>2.1832944435437192</v>
      </c>
      <c r="CV10" s="13">
        <f t="shared" si="41"/>
        <v>0.91873804634011569</v>
      </c>
      <c r="CW10" s="20">
        <f t="shared" si="13"/>
        <v>5.4027065865476773</v>
      </c>
      <c r="CX10" s="59">
        <f t="shared" si="14"/>
        <v>298.73603991988097</v>
      </c>
      <c r="CY10" s="59">
        <f ca="1">AVERAGE(OFFSET($CX$3,0,0,'Données projet'!$E$13+1,1))-AVERAGE(OFFSET($H$3,0,0,'Données projet'!$E$13+1,1))</f>
        <v>157.20393815370375</v>
      </c>
      <c r="CZ10" s="59">
        <f t="shared" si="42"/>
        <v>64.616965816756363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1.1000000000000001</v>
      </c>
      <c r="DO10" s="12">
        <f>IF('Données projet'!$A$166&gt;35,DO9+DN10-DW9,IF(A10&lt;'Données projet'!$A$166,$DL$205^A10,IF(A10='Données projet'!$A$166,'Données projet'!$B$166,DO9+DN10-DW9)))</f>
        <v>5.3576566694841175</v>
      </c>
      <c r="DP10" s="17">
        <f>DO10*VLOOKUP('Données projet'!$B$14,Paramètres!$A$1:$I$89,3,0)*VLOOKUP('Données projet'!$B$14,Paramètres!$A$1:$I$89,5,0)</f>
        <v>4.3461310902855157</v>
      </c>
      <c r="DQ10" s="13">
        <f t="shared" si="43"/>
        <v>1.6880282793406653</v>
      </c>
      <c r="DR10" s="20">
        <f t="shared" si="16"/>
        <v>10.509494235432264</v>
      </c>
      <c r="DS10" s="59">
        <f t="shared" si="17"/>
        <v>303.84282756876559</v>
      </c>
      <c r="DT10" s="59">
        <f ca="1">AVERAGE(OFFSET($DS$3,0,0,'Données projet'!$E$14+1,1))-AVERAGE(OFFSET($H$3,0,0,'Données projet'!$E$14+1,1))</f>
        <v>221.78186926953776</v>
      </c>
      <c r="DU10" s="59">
        <f t="shared" si="44"/>
        <v>276.69392352410654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1.2</v>
      </c>
      <c r="EJ10" s="12">
        <f>IF('Données projet'!$A$192&gt;35,EJ9+EI10-ER9,IF(A10&lt;'Données projet'!$A$192,$EG$205^A10,IF(A10='Données projet'!$A$192,'Données projet'!$B$192,EJ9+EI10-ER9)))</f>
        <v>2.5917550374450604</v>
      </c>
      <c r="EK10" s="17">
        <f>EJ10*VLOOKUP('Données projet'!$B$15,Paramètres!$A$1:$I$89,3,0)*VLOOKUP('Données projet'!$B$15,Paramètres!$A$1:$I$89,5,0)</f>
        <v>2.7897651223058633</v>
      </c>
      <c r="EL10" s="13">
        <f t="shared" si="45"/>
        <v>1.1409211524498617</v>
      </c>
      <c r="EM10" s="20">
        <f t="shared" si="19"/>
        <v>6.8459452618662198</v>
      </c>
      <c r="EN10" s="59">
        <f t="shared" si="20"/>
        <v>300.17927859519955</v>
      </c>
      <c r="EO10" s="59">
        <f ca="1">AVERAGE(OFFSET($EN$3,0,0,'Données projet'!$E$15+1,1))-AVERAGE(OFFSET($H$3,0,0,'Données projet'!$E$15+1,1))</f>
        <v>219.76574638403434</v>
      </c>
      <c r="EP10" s="59">
        <f t="shared" si="46"/>
        <v>92.286636088269972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5.666666666666667</v>
      </c>
      <c r="FE10" s="12">
        <f>IF('Données projet'!$A$218&gt;35,FE9+FD10-FM9,IF(A10&lt;'Données projet'!$A$218,$FB$205^A10,IF(A10='Données projet'!$A$218,'Données projet'!$B$218,FE9+FD10-FM9)))</f>
        <v>3.3146530868523985</v>
      </c>
      <c r="FF10" s="17">
        <f>FE10*VLOOKUP('Données projet'!$B$16,Paramètres!$A$1:$I$89,3,0)*VLOOKUP('Données projet'!$B$16,Paramètres!$A$1:$I$89,5,0)</f>
        <v>1.5512576446469224</v>
      </c>
      <c r="FG10" s="13">
        <f t="shared" si="47"/>
        <v>0.67926680181972632</v>
      </c>
      <c r="FH10" s="20">
        <f t="shared" si="22"/>
        <v>3.8848300775960793</v>
      </c>
      <c r="FI10" s="59">
        <f t="shared" si="23"/>
        <v>297.21816341092938</v>
      </c>
      <c r="FJ10" s="59">
        <f ca="1">AVERAGE(OFFSET($FI$3,0,0,'Données projet'!$E$16+1,1))-AVERAGE(OFFSET($H$3,0,0,'Données projet'!$E$16+1,1))</f>
        <v>86.164294406232727</v>
      </c>
      <c r="FK10" s="59">
        <f t="shared" si="48"/>
        <v>138.91188401562334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150.21793637331223</v>
      </c>
      <c r="T11" s="59">
        <f t="shared" si="34"/>
        <v>364.59164590134486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1.2</v>
      </c>
      <c r="AI11" s="13">
        <f>IF('Données projet'!$A$62&gt;35,AI10+AH11-AQ10,IF(A11&lt;'Données projet'!$A$62,$AF$205^A11,IF(A11='Données projet'!$A$62,'Données projet'!$B$62,AI10+AH11-AQ10)))</f>
        <v>2.9694690391391689</v>
      </c>
      <c r="AJ11" s="13">
        <f>AI11*VLOOKUP('Données projet'!$B$10,Paramètres!$A$1:$I$89,3,0)*VLOOKUP('Données projet'!$B$10,Paramètres!$A$1:$I$89,5,0)</f>
        <v>3.2426601907399726</v>
      </c>
      <c r="AK11" s="13">
        <f t="shared" si="35"/>
        <v>1.3031205006521218</v>
      </c>
      <c r="AL11" s="20">
        <f t="shared" si="4"/>
        <v>7.9172347041745645</v>
      </c>
      <c r="AM11" s="59">
        <f t="shared" si="5"/>
        <v>301.25056803750789</v>
      </c>
      <c r="AN11" s="59">
        <f ca="1">AVERAGE(OFFSET($AM$3,0,0,'Données projet'!$E$10+1,1))-AVERAGE(OFFSET($H$3,0,0,'Données projet'!$E$10+1,1))</f>
        <v>223.92539057016376</v>
      </c>
      <c r="AO11" s="59">
        <f t="shared" si="36"/>
        <v>94.125825809616856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1.2</v>
      </c>
      <c r="BD11" s="12">
        <f>IF('Données projet'!$A$88&gt;35,BD10+BC11-BL10,IF(A11&lt;'Données projet'!$A$88,$BA$205^A11,IF(A11='Données projet'!$A$88,'Données projet'!$B$88,BD10+BC11-BL10)))</f>
        <v>2.9694690391391689</v>
      </c>
      <c r="BE11" s="13">
        <f>BD11*VLOOKUP('Données projet'!$B$11,Paramètres!$A$1:$I$89,3,0)*VLOOKUP('Données projet'!$B$11,Paramètres!$A$1:$I$89,5,0)</f>
        <v>3.3816313417716857</v>
      </c>
      <c r="BF11" s="13">
        <f t="shared" si="37"/>
        <v>1.3523466458084794</v>
      </c>
      <c r="BG11" s="20">
        <f t="shared" si="7"/>
        <v>8.2450116617021205</v>
      </c>
      <c r="BH11" s="59">
        <f t="shared" si="8"/>
        <v>301.57834499503542</v>
      </c>
      <c r="BI11" s="59">
        <f ca="1">AVERAGE(OFFSET($BH$3,0,0,'Données projet'!$E$11+1,1))-AVERAGE(OFFSET($H$3,0,0,'Données projet'!$E$11+1,1))</f>
        <v>236.39682613502913</v>
      </c>
      <c r="BJ11" s="59">
        <f t="shared" si="38"/>
        <v>99.639724892155641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1.2</v>
      </c>
      <c r="CT11" s="12">
        <f>IF('Données projet'!$A$140&gt;35,CT10+CS11-DB10,IF(A11&lt;'Données projet'!$A$140,$CQ$205^A11,IF(A11='Données projet'!$A$140,'Données projet'!$B$140,CT10+CS11-DB10)))</f>
        <v>2.9694690391391689</v>
      </c>
      <c r="CU11" s="17">
        <f>CT11*VLOOKUP('Données projet'!$B$13,Paramètres!$A$1:$I$89,3,0)*VLOOKUP('Données projet'!$B$13,Paramètres!$A$1:$I$89,5,0)</f>
        <v>2.5014807185708361</v>
      </c>
      <c r="CV11" s="13">
        <f t="shared" si="41"/>
        <v>1.0360938006757223</v>
      </c>
      <c r="CW11" s="20">
        <f t="shared" si="13"/>
        <v>6.1612756210210895</v>
      </c>
      <c r="CX11" s="59">
        <f t="shared" si="14"/>
        <v>299.49460895435442</v>
      </c>
      <c r="CY11" s="59">
        <f ca="1">AVERAGE(OFFSET($CX$3,0,0,'Données projet'!$E$13+1,1))-AVERAGE(OFFSET($H$3,0,0,'Données projet'!$E$13+1,1))</f>
        <v>157.20393815370375</v>
      </c>
      <c r="CZ11" s="59">
        <f t="shared" si="42"/>
        <v>64.616965816756363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1.1000000000000001</v>
      </c>
      <c r="DO11" s="12">
        <f>IF('Données projet'!$A$166&gt;35,DO10+DN11-DW10,IF(A11&lt;'Données projet'!$A$166,$DL$205^A11,IF(A11='Données projet'!$A$166,'Données projet'!$B$166,DO10+DN11-DW10)))</f>
        <v>6.8094831275223076</v>
      </c>
      <c r="DP11" s="17">
        <f>DO11*VLOOKUP('Données projet'!$B$14,Paramètres!$A$1:$I$89,3,0)*VLOOKUP('Données projet'!$B$14,Paramètres!$A$1:$I$89,5,0)</f>
        <v>5.5238527130460966</v>
      </c>
      <c r="DQ11" s="13">
        <f t="shared" si="43"/>
        <v>2.0863980862538192</v>
      </c>
      <c r="DR11" s="20">
        <f t="shared" si="16"/>
        <v>13.25452014211402</v>
      </c>
      <c r="DS11" s="59">
        <f t="shared" si="17"/>
        <v>306.58785347544733</v>
      </c>
      <c r="DT11" s="59">
        <f ca="1">AVERAGE(OFFSET($DS$3,0,0,'Données projet'!$E$14+1,1))-AVERAGE(OFFSET($H$3,0,0,'Données projet'!$E$14+1,1))</f>
        <v>221.78186926953776</v>
      </c>
      <c r="DU11" s="59">
        <f t="shared" si="44"/>
        <v>276.69392352410654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1.2</v>
      </c>
      <c r="EJ11" s="12">
        <f>IF('Données projet'!$A$192&gt;35,EJ10+EI11-ER10,IF(A11&lt;'Données projet'!$A$192,$EG$205^A11,IF(A11='Données projet'!$A$192,'Données projet'!$B$192,EJ10+EI11-ER10)))</f>
        <v>2.9694690391391689</v>
      </c>
      <c r="EK11" s="17">
        <f>EJ11*VLOOKUP('Données projet'!$B$15,Paramètres!$A$1:$I$89,3,0)*VLOOKUP('Données projet'!$B$15,Paramètres!$A$1:$I$89,5,0)</f>
        <v>3.1963364737294016</v>
      </c>
      <c r="EL11" s="13">
        <f t="shared" si="45"/>
        <v>1.28665764721742</v>
      </c>
      <c r="EM11" s="20">
        <f t="shared" si="19"/>
        <v>7.8078814273157144</v>
      </c>
      <c r="EN11" s="59">
        <f t="shared" si="20"/>
        <v>301.14121476064901</v>
      </c>
      <c r="EO11" s="59">
        <f ca="1">AVERAGE(OFFSET($EN$3,0,0,'Données projet'!$E$15+1,1))-AVERAGE(OFFSET($H$3,0,0,'Données projet'!$E$15+1,1))</f>
        <v>219.76574638403434</v>
      </c>
      <c r="EP11" s="59">
        <f t="shared" si="46"/>
        <v>92.286636088269972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5.666666666666667</v>
      </c>
      <c r="FE11" s="12">
        <f>IF('Données projet'!$A$218&gt;35,FE10+FD11-FM10,IF(A11&lt;'Données projet'!$A$218,$FB$205^A11,IF(A11='Données projet'!$A$218,'Données projet'!$B$218,FE10+FD11-FM10)))</f>
        <v>3.9335654346822158</v>
      </c>
      <c r="FF11" s="17">
        <f>FE11*VLOOKUP('Données projet'!$B$16,Paramètres!$A$1:$I$89,3,0)*VLOOKUP('Données projet'!$B$16,Paramètres!$A$1:$I$89,5,0)</f>
        <v>1.8409086234312768</v>
      </c>
      <c r="FG11" s="13">
        <f t="shared" si="47"/>
        <v>0.79019548730956168</v>
      </c>
      <c r="FH11" s="20">
        <f t="shared" si="22"/>
        <v>4.5825063262069596</v>
      </c>
      <c r="FI11" s="59">
        <f t="shared" si="23"/>
        <v>297.91583965954027</v>
      </c>
      <c r="FJ11" s="59">
        <f ca="1">AVERAGE(OFFSET($FI$3,0,0,'Données projet'!$E$16+1,1))-AVERAGE(OFFSET($H$3,0,0,'Données projet'!$E$16+1,1))</f>
        <v>86.164294406232727</v>
      </c>
      <c r="FK11" s="59">
        <f t="shared" si="48"/>
        <v>138.91188401562334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150.21793637331223</v>
      </c>
      <c r="T12" s="59">
        <f t="shared" si="34"/>
        <v>364.59164590134486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1.2</v>
      </c>
      <c r="AI12" s="13">
        <f>IF('Données projet'!$A$62&gt;35,AI11+AH12-AQ11,IF(A12&lt;'Données projet'!$A$62,$AF$205^A12,IF(A12='Données projet'!$A$62,'Données projet'!$B$62,AI11+AH12-AQ11)))</f>
        <v>3.4022298585357786</v>
      </c>
      <c r="AJ12" s="13">
        <f>AI12*VLOOKUP('Données projet'!$B$10,Paramètres!$A$1:$I$89,3,0)*VLOOKUP('Données projet'!$B$10,Paramètres!$A$1:$I$89,5,0)</f>
        <v>3.7152350055210697</v>
      </c>
      <c r="AK12" s="13">
        <f t="shared" si="35"/>
        <v>1.4695756615692401</v>
      </c>
      <c r="AL12" s="20">
        <f t="shared" si="4"/>
        <v>9.0302119118489568</v>
      </c>
      <c r="AM12" s="59">
        <f t="shared" si="5"/>
        <v>302.36354524518225</v>
      </c>
      <c r="AN12" s="59">
        <f ca="1">AVERAGE(OFFSET($AM$3,0,0,'Données projet'!$E$10+1,1))-AVERAGE(OFFSET($H$3,0,0,'Données projet'!$E$10+1,1))</f>
        <v>223.92539057016376</v>
      </c>
      <c r="AO12" s="59">
        <f t="shared" si="36"/>
        <v>94.125825809616856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1.2</v>
      </c>
      <c r="BD12" s="12">
        <f>IF('Données projet'!$A$88&gt;35,BD11+BC12-BL11,IF(A12&lt;'Données projet'!$A$88,$BA$205^A12,IF(A12='Données projet'!$A$88,'Données projet'!$B$88,BD11+BC12-BL11)))</f>
        <v>3.4022298585357786</v>
      </c>
      <c r="BE12" s="13">
        <f>BD12*VLOOKUP('Données projet'!$B$11,Paramètres!$A$1:$I$89,3,0)*VLOOKUP('Données projet'!$B$11,Paramètres!$A$1:$I$89,5,0)</f>
        <v>3.8744593629005446</v>
      </c>
      <c r="BF12" s="13">
        <f t="shared" si="37"/>
        <v>1.5250897485615453</v>
      </c>
      <c r="BG12" s="20">
        <f t="shared" si="7"/>
        <v>9.4042147024631397</v>
      </c>
      <c r="BH12" s="59">
        <f t="shared" si="8"/>
        <v>302.73754803579646</v>
      </c>
      <c r="BI12" s="59">
        <f ca="1">AVERAGE(OFFSET($BH$3,0,0,'Données projet'!$E$11+1,1))-AVERAGE(OFFSET($H$3,0,0,'Données projet'!$E$11+1,1))</f>
        <v>236.39682613502913</v>
      </c>
      <c r="BJ12" s="59">
        <f t="shared" si="38"/>
        <v>99.639724892155641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1.2</v>
      </c>
      <c r="CT12" s="12">
        <f>IF('Données projet'!$A$140&gt;35,CT11+CS12-DB11,IF(A12&lt;'Données projet'!$A$140,$CQ$205^A12,IF(A12='Données projet'!$A$140,'Données projet'!$B$140,CT11+CS12-DB11)))</f>
        <v>3.4022298585357786</v>
      </c>
      <c r="CU12" s="17">
        <f>CT12*VLOOKUP('Données projet'!$B$13,Paramètres!$A$1:$I$89,3,0)*VLOOKUP('Données projet'!$B$13,Paramètres!$A$1:$I$89,5,0)</f>
        <v>2.8660384328305404</v>
      </c>
      <c r="CV12" s="13">
        <f t="shared" si="41"/>
        <v>1.1684400880915065</v>
      </c>
      <c r="CW12" s="20">
        <f t="shared" si="13"/>
        <v>7.0267167572725642</v>
      </c>
      <c r="CX12" s="59">
        <f t="shared" si="14"/>
        <v>300.36005009060585</v>
      </c>
      <c r="CY12" s="59">
        <f ca="1">AVERAGE(OFFSET($CX$3,0,0,'Données projet'!$E$13+1,1))-AVERAGE(OFFSET($H$3,0,0,'Données projet'!$E$13+1,1))</f>
        <v>157.20393815370375</v>
      </c>
      <c r="CZ12" s="59">
        <f t="shared" si="42"/>
        <v>64.616965816756363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1.1000000000000001</v>
      </c>
      <c r="DO12" s="12">
        <f>IF('Données projet'!$A$166&gt;35,DO11+DN12-DW11,IF(A12&lt;'Données projet'!$A$166,$DL$205^A12,IF(A12='Données projet'!$A$166,'Données projet'!$B$166,DO11+DN12-DW11)))</f>
        <v>8.6547278641645029</v>
      </c>
      <c r="DP12" s="17">
        <f>DO12*VLOOKUP('Données projet'!$B$14,Paramètres!$A$1:$I$89,3,0)*VLOOKUP('Données projet'!$B$14,Paramètres!$A$1:$I$89,5,0)</f>
        <v>7.0207152434102458</v>
      </c>
      <c r="DQ12" s="13">
        <f t="shared" si="43"/>
        <v>2.5787820189978565</v>
      </c>
      <c r="DR12" s="20">
        <f t="shared" si="16"/>
        <v>16.71912439869411</v>
      </c>
      <c r="DS12" s="59">
        <f t="shared" si="17"/>
        <v>310.05245773202745</v>
      </c>
      <c r="DT12" s="59">
        <f ca="1">AVERAGE(OFFSET($DS$3,0,0,'Données projet'!$E$14+1,1))-AVERAGE(OFFSET($H$3,0,0,'Données projet'!$E$14+1,1))</f>
        <v>221.78186926953776</v>
      </c>
      <c r="DU12" s="59">
        <f t="shared" si="44"/>
        <v>276.69392352410654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1.2</v>
      </c>
      <c r="EJ12" s="12">
        <f>IF('Données projet'!$A$192&gt;35,EJ11+EI12-ER11,IF(A12&lt;'Données projet'!$A$192,$EG$205^A12,IF(A12='Données projet'!$A$192,'Données projet'!$B$192,EJ11+EI12-ER11)))</f>
        <v>3.4022298585357786</v>
      </c>
      <c r="EK12" s="17">
        <f>EJ12*VLOOKUP('Données projet'!$B$15,Paramètres!$A$1:$I$89,3,0)*VLOOKUP('Données projet'!$B$15,Paramètres!$A$1:$I$89,5,0)</f>
        <v>3.6621602197279119</v>
      </c>
      <c r="EL12" s="13">
        <f t="shared" si="45"/>
        <v>1.4510099121120625</v>
      </c>
      <c r="EM12" s="20">
        <f t="shared" si="19"/>
        <v>8.9054379796212881</v>
      </c>
      <c r="EN12" s="59">
        <f t="shared" si="20"/>
        <v>302.23877131295461</v>
      </c>
      <c r="EO12" s="59">
        <f ca="1">AVERAGE(OFFSET($EN$3,0,0,'Données projet'!$E$15+1,1))-AVERAGE(OFFSET($H$3,0,0,'Données projet'!$E$15+1,1))</f>
        <v>219.76574638403434</v>
      </c>
      <c r="EP12" s="59">
        <f t="shared" si="46"/>
        <v>92.286636088269972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5.666666666666667</v>
      </c>
      <c r="FE12" s="12">
        <f>IF('Données projet'!$A$218&gt;35,FE11+FD12-FM11,IF(A12&lt;'Données projet'!$A$218,$FB$205^A12,IF(A12='Données projet'!$A$218,'Données projet'!$B$218,FE11+FD12-FM11)))</f>
        <v>4.6680411564939428</v>
      </c>
      <c r="FF12" s="17">
        <f>FE12*VLOOKUP('Données projet'!$B$16,Paramètres!$A$1:$I$89,3,0)*VLOOKUP('Données projet'!$B$16,Paramètres!$A$1:$I$89,5,0)</f>
        <v>2.1846432612391653</v>
      </c>
      <c r="FG12" s="13">
        <f t="shared" si="47"/>
        <v>0.91923954842431754</v>
      </c>
      <c r="FH12" s="20">
        <f t="shared" si="22"/>
        <v>5.4059292268305654</v>
      </c>
      <c r="FI12" s="59">
        <f t="shared" si="23"/>
        <v>298.73926256016387</v>
      </c>
      <c r="FJ12" s="59">
        <f ca="1">AVERAGE(OFFSET($FI$3,0,0,'Données projet'!$E$16+1,1))-AVERAGE(OFFSET($H$3,0,0,'Données projet'!$E$16+1,1))</f>
        <v>86.164294406232727</v>
      </c>
      <c r="FK12" s="59">
        <f t="shared" si="48"/>
        <v>138.91188401562334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150.21793637331223</v>
      </c>
      <c r="T13" s="59">
        <f t="shared" si="34"/>
        <v>364.59164590134486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1.2</v>
      </c>
      <c r="AI13" s="13">
        <f>IF('Données projet'!$A$62&gt;35,AI12+AH13-AQ12,IF(A13&lt;'Données projet'!$A$62,$AF$205^A13,IF(A13='Données projet'!$A$62,'Données projet'!$B$62,AI12+AH13-AQ12)))</f>
        <v>3.8980598409161908</v>
      </c>
      <c r="AJ13" s="13">
        <f>AI13*VLOOKUP('Données projet'!$B$10,Paramètres!$A$1:$I$89,3,0)*VLOOKUP('Données projet'!$B$10,Paramètres!$A$1:$I$89,5,0)</f>
        <v>4.2566813462804802</v>
      </c>
      <c r="AK13" s="13">
        <f t="shared" si="35"/>
        <v>1.6572931083471663</v>
      </c>
      <c r="AL13" s="20">
        <f t="shared" si="4"/>
        <v>10.30017217514315</v>
      </c>
      <c r="AM13" s="59">
        <f t="shared" si="5"/>
        <v>303.63350550847645</v>
      </c>
      <c r="AN13" s="59">
        <f ca="1">AVERAGE(OFFSET($AM$3,0,0,'Données projet'!$E$10+1,1))-AVERAGE(OFFSET($H$3,0,0,'Données projet'!$E$10+1,1))</f>
        <v>223.92539057016376</v>
      </c>
      <c r="AO13" s="59">
        <f t="shared" si="36"/>
        <v>94.125825809616856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1.2</v>
      </c>
      <c r="BD13" s="12">
        <f>IF('Données projet'!$A$88&gt;35,BD12+BC13-BL12,IF(A13&lt;'Données projet'!$A$88,$BA$205^A13,IF(A13='Données projet'!$A$88,'Données projet'!$B$88,BD12+BC13-BL12)))</f>
        <v>3.8980598409161908</v>
      </c>
      <c r="BE13" s="13">
        <f>BD13*VLOOKUP('Données projet'!$B$11,Paramètres!$A$1:$I$89,3,0)*VLOOKUP('Données projet'!$B$11,Paramètres!$A$1:$I$89,5,0)</f>
        <v>4.4391105468353587</v>
      </c>
      <c r="BF13" s="13">
        <f t="shared" si="37"/>
        <v>1.7198983325588202</v>
      </c>
      <c r="BG13" s="20">
        <f t="shared" si="7"/>
        <v>10.72694046494486</v>
      </c>
      <c r="BH13" s="59">
        <f t="shared" si="8"/>
        <v>304.06027379827816</v>
      </c>
      <c r="BI13" s="59">
        <f ca="1">AVERAGE(OFFSET($BH$3,0,0,'Données projet'!$E$11+1,1))-AVERAGE(OFFSET($H$3,0,0,'Données projet'!$E$11+1,1))</f>
        <v>236.39682613502913</v>
      </c>
      <c r="BJ13" s="59">
        <f t="shared" si="38"/>
        <v>99.639724892155641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1.2</v>
      </c>
      <c r="CT13" s="12">
        <f>IF('Données projet'!$A$140&gt;35,CT12+CS13-DB12,IF(A13&lt;'Données projet'!$A$140,$CQ$205^A13,IF(A13='Données projet'!$A$140,'Données projet'!$B$140,CT12+CS13-DB12)))</f>
        <v>3.8980598409161908</v>
      </c>
      <c r="CU13" s="17">
        <f>CT13*VLOOKUP('Données projet'!$B$13,Paramètres!$A$1:$I$89,3,0)*VLOOKUP('Données projet'!$B$13,Paramètres!$A$1:$I$89,5,0)</f>
        <v>3.2837256099877994</v>
      </c>
      <c r="CV13" s="13">
        <f t="shared" si="41"/>
        <v>1.3176917365675709</v>
      </c>
      <c r="CW13" s="20">
        <f t="shared" si="13"/>
        <v>8.0141352119172691</v>
      </c>
      <c r="CX13" s="59">
        <f t="shared" si="14"/>
        <v>301.34746854525059</v>
      </c>
      <c r="CY13" s="59">
        <f ca="1">AVERAGE(OFFSET($CX$3,0,0,'Données projet'!$E$13+1,1))-AVERAGE(OFFSET($H$3,0,0,'Données projet'!$E$13+1,1))</f>
        <v>157.20393815370375</v>
      </c>
      <c r="CZ13" s="59">
        <f t="shared" si="42"/>
        <v>64.616965816756363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>
        <f>VLOOKUP(A13,'Données projet'!$A$165:$I$185,2,0)</f>
        <v>11</v>
      </c>
      <c r="DM13" s="12">
        <f>VLOOKUP(A13,'Données projet'!$A$165:$I$185,9,0)</f>
        <v>1.1000000000000001</v>
      </c>
      <c r="DN13" s="12">
        <f t="array" ref="DN13">INDEX(DM:DM,MIN(IF(ISNUMBER(DM13:DM209),ROW(DM13:DM209),"")))</f>
        <v>1.1000000000000001</v>
      </c>
      <c r="DO13" s="12">
        <f>IF('Données projet'!$A$166&gt;35,DO12+DN13-DW12,IF(A13&lt;'Données projet'!$A$166,$DL$205^A13,IF(A13='Données projet'!$A$166,'Données projet'!$B$166,DO12+DN13-DW12)))</f>
        <v>11</v>
      </c>
      <c r="DP13" s="17">
        <f>DO13*VLOOKUP('Données projet'!$B$14,Paramètres!$A$1:$I$89,3,0)*VLOOKUP('Données projet'!$B$14,Paramètres!$A$1:$I$89,5,0)</f>
        <v>8.9232000000000014</v>
      </c>
      <c r="DQ13" s="13">
        <f t="shared" si="43"/>
        <v>3.187367140202428</v>
      </c>
      <c r="DR13" s="20">
        <f t="shared" si="16"/>
        <v>21.092571102519226</v>
      </c>
      <c r="DS13" s="59">
        <f t="shared" si="17"/>
        <v>314.42590443585254</v>
      </c>
      <c r="DT13" s="59">
        <f ca="1">AVERAGE(OFFSET($DS$3,0,0,'Données projet'!$E$14+1,1))-AVERAGE(OFFSET($H$3,0,0,'Données projet'!$E$14+1,1))</f>
        <v>221.78186926953776</v>
      </c>
      <c r="DU13" s="59">
        <f t="shared" si="44"/>
        <v>276.69392352410654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1.2</v>
      </c>
      <c r="EJ13" s="12">
        <f>IF('Données projet'!$A$192&gt;35,EJ12+EI13-ER12,IF(A13&lt;'Données projet'!$A$192,$EG$205^A13,IF(A13='Données projet'!$A$192,'Données projet'!$B$192,EJ12+EI13-ER12)))</f>
        <v>3.8980598409161908</v>
      </c>
      <c r="EK13" s="17">
        <f>EJ13*VLOOKUP('Données projet'!$B$15,Paramètres!$A$1:$I$89,3,0)*VLOOKUP('Données projet'!$B$15,Paramètres!$A$1:$I$89,5,0)</f>
        <v>4.1958716127621871</v>
      </c>
      <c r="EL13" s="13">
        <f t="shared" si="45"/>
        <v>1.63635584772744</v>
      </c>
      <c r="EM13" s="20">
        <f t="shared" si="19"/>
        <v>10.157796160352767</v>
      </c>
      <c r="EN13" s="59">
        <f t="shared" si="20"/>
        <v>303.49112949368606</v>
      </c>
      <c r="EO13" s="59">
        <f ca="1">AVERAGE(OFFSET($EN$3,0,0,'Données projet'!$E$15+1,1))-AVERAGE(OFFSET($H$3,0,0,'Données projet'!$E$15+1,1))</f>
        <v>219.76574638403434</v>
      </c>
      <c r="EP13" s="59">
        <f t="shared" si="46"/>
        <v>92.286636088269972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5.666666666666667</v>
      </c>
      <c r="FE13" s="12">
        <f>IF('Données projet'!$A$218&gt;35,FE12+FD13-FM12,IF(A13&lt;'Données projet'!$A$218,$FB$205^A13,IF(A13='Données projet'!$A$218,'Données projet'!$B$218,FE12+FD13-FM12)))</f>
        <v>5.5396582567544659</v>
      </c>
      <c r="FF13" s="17">
        <f>FE13*VLOOKUP('Données projet'!$B$16,Paramètres!$A$1:$I$89,3,0)*VLOOKUP('Données projet'!$B$16,Paramètres!$A$1:$I$89,5,0)</f>
        <v>2.59256006416109</v>
      </c>
      <c r="FG13" s="13">
        <f t="shared" si="47"/>
        <v>1.069357343793981</v>
      </c>
      <c r="FH13" s="20">
        <f t="shared" si="22"/>
        <v>6.377839485521748</v>
      </c>
      <c r="FI13" s="59">
        <f t="shared" si="23"/>
        <v>299.71117281885506</v>
      </c>
      <c r="FJ13" s="59">
        <f ca="1">AVERAGE(OFFSET($FI$3,0,0,'Données projet'!$E$16+1,1))-AVERAGE(OFFSET($H$3,0,0,'Données projet'!$E$16+1,1))</f>
        <v>86.164294406232727</v>
      </c>
      <c r="FK13" s="59">
        <f t="shared" si="48"/>
        <v>138.91188401562334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150.21793637331223</v>
      </c>
      <c r="T14" s="59">
        <f t="shared" si="34"/>
        <v>364.59164590134486</v>
      </c>
      <c r="U14" s="15">
        <f>IF(ISNA(VLOOKUP(A14,'Données projet'!$A$35:$I$55,3,0)),0,VLOOKUP(A14,'Données projet'!$A$35:$I$55,3,0))</f>
        <v>1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9.0000000000000011E-2</v>
      </c>
      <c r="X14" s="16">
        <f>IF(ISNA(VLOOKUP(A14,'Données projet'!$A$35:$I$55,6,0)),0%,VLOOKUP(A14,'Données projet'!$A$35:$I$55,6,0)*VLOOKUP('Données projet'!$B$9,Paramètres!$A$1:$I$89,7,0))</f>
        <v>0.20250000000000001</v>
      </c>
      <c r="Y14" s="16">
        <f>IF(ISNA(VLOOKUP(A14,'Données projet'!$A$35:$I$55,7,0)),0%,VLOOKUP(A14,'Données projet'!$A$35:$I$55,7,0))</f>
        <v>0.35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1.2</v>
      </c>
      <c r="AI14" s="13">
        <f>IF('Données projet'!$A$62&gt;35,AI13+AH14-AQ13,IF(A14&lt;'Données projet'!$A$62,$AF$205^A14,IF(A14='Données projet'!$A$62,'Données projet'!$B$62,AI13+AH14-AQ13)))</f>
        <v>4.4661504822319662</v>
      </c>
      <c r="AJ14" s="13">
        <f>AI14*VLOOKUP('Données projet'!$B$10,Paramètres!$A$1:$I$89,3,0)*VLOOKUP('Données projet'!$B$10,Paramètres!$A$1:$I$89,5,0)</f>
        <v>4.8770363265973069</v>
      </c>
      <c r="AK14" s="13">
        <f t="shared" si="35"/>
        <v>1.8689887964272076</v>
      </c>
      <c r="AL14" s="20">
        <f t="shared" si="4"/>
        <v>11.749327089267696</v>
      </c>
      <c r="AM14" s="59">
        <f t="shared" si="5"/>
        <v>305.08266042260101</v>
      </c>
      <c r="AN14" s="59">
        <f ca="1">AVERAGE(OFFSET($AM$3,0,0,'Données projet'!$E$10+1,1))-AVERAGE(OFFSET($H$3,0,0,'Données projet'!$E$10+1,1))</f>
        <v>223.92539057016376</v>
      </c>
      <c r="AO14" s="59">
        <f t="shared" si="36"/>
        <v>94.125825809616856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1.2</v>
      </c>
      <c r="BD14" s="12">
        <f>IF('Données projet'!$A$88&gt;35,BD13+BC14-BL13,IF(A14&lt;'Données projet'!$A$88,$BA$205^A14,IF(A14='Données projet'!$A$88,'Données projet'!$B$88,BD13+BC14-BL13)))</f>
        <v>4.4661504822319662</v>
      </c>
      <c r="BE14" s="13">
        <f>BD14*VLOOKUP('Données projet'!$B$11,Paramètres!$A$1:$I$89,3,0)*VLOOKUP('Données projet'!$B$11,Paramètres!$A$1:$I$89,5,0)</f>
        <v>5.0860521691657636</v>
      </c>
      <c r="BF14" s="13">
        <f t="shared" si="37"/>
        <v>1.9395909500595778</v>
      </c>
      <c r="BG14" s="20">
        <f t="shared" si="7"/>
        <v>12.236328432650803</v>
      </c>
      <c r="BH14" s="59">
        <f t="shared" si="8"/>
        <v>305.56966176598411</v>
      </c>
      <c r="BI14" s="59">
        <f ca="1">AVERAGE(OFFSET($BH$3,0,0,'Données projet'!$E$11+1,1))-AVERAGE(OFFSET($H$3,0,0,'Données projet'!$E$11+1,1))</f>
        <v>236.39682613502913</v>
      </c>
      <c r="BJ14" s="59">
        <f t="shared" si="38"/>
        <v>99.639724892155641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1.2</v>
      </c>
      <c r="CT14" s="12">
        <f>IF('Données projet'!$A$140&gt;35,CT13+CS14-DB13,IF(A14&lt;'Données projet'!$A$140,$CQ$205^A14,IF(A14='Données projet'!$A$140,'Données projet'!$B$140,CT13+CS14-DB13)))</f>
        <v>4.4661504822319662</v>
      </c>
      <c r="CU14" s="17">
        <f>CT14*VLOOKUP('Données projet'!$B$13,Paramètres!$A$1:$I$89,3,0)*VLOOKUP('Données projet'!$B$13,Paramètres!$A$1:$I$89,5,0)</f>
        <v>3.7622851662322083</v>
      </c>
      <c r="CV14" s="13">
        <f t="shared" si="41"/>
        <v>1.4860081661991742</v>
      </c>
      <c r="CW14" s="20">
        <f t="shared" si="13"/>
        <v>9.1407775539846572</v>
      </c>
      <c r="CX14" s="59">
        <f t="shared" si="14"/>
        <v>302.47411088731798</v>
      </c>
      <c r="CY14" s="59">
        <f ca="1">AVERAGE(OFFSET($CX$3,0,0,'Données projet'!$E$13+1,1))-AVERAGE(OFFSET($H$3,0,0,'Données projet'!$E$13+1,1))</f>
        <v>157.20393815370375</v>
      </c>
      <c r="CZ14" s="59">
        <f t="shared" si="42"/>
        <v>64.616965816756363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10.8</v>
      </c>
      <c r="DO14" s="12">
        <f>IF('Données projet'!$A$166&gt;35,DO13+DN14-DW13,IF(A14&lt;'Données projet'!$A$166,$DL$205^A14,IF(A14='Données projet'!$A$166,'Données projet'!$B$166,DO13+DN14-DW13)))</f>
        <v>21.8</v>
      </c>
      <c r="DP14" s="17">
        <f>DO14*VLOOKUP('Données projet'!$B$14,Paramètres!$A$1:$I$89,3,0)*VLOOKUP('Données projet'!$B$14,Paramètres!$A$1:$I$89,5,0)</f>
        <v>17.684160000000002</v>
      </c>
      <c r="DQ14" s="13">
        <f t="shared" si="43"/>
        <v>5.8333451290197509</v>
      </c>
      <c r="DR14" s="20">
        <f t="shared" si="16"/>
        <v>40.959654766376069</v>
      </c>
      <c r="DS14" s="59">
        <f t="shared" si="17"/>
        <v>334.29298809970936</v>
      </c>
      <c r="DT14" s="59">
        <f ca="1">AVERAGE(OFFSET($DS$3,0,0,'Données projet'!$E$14+1,1))-AVERAGE(OFFSET($H$3,0,0,'Données projet'!$E$14+1,1))</f>
        <v>221.78186926953776</v>
      </c>
      <c r="DU14" s="59">
        <f t="shared" si="44"/>
        <v>276.69392352410654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1.2</v>
      </c>
      <c r="EJ14" s="12">
        <f>IF('Données projet'!$A$192&gt;35,EJ13+EI14-ER13,IF(A14&lt;'Données projet'!$A$192,$EG$205^A14,IF(A14='Données projet'!$A$192,'Données projet'!$B$192,EJ13+EI14-ER13)))</f>
        <v>4.4661504822319662</v>
      </c>
      <c r="EK14" s="17">
        <f>EJ14*VLOOKUP('Données projet'!$B$15,Paramètres!$A$1:$I$89,3,0)*VLOOKUP('Données projet'!$B$15,Paramètres!$A$1:$I$89,5,0)</f>
        <v>4.8073643790744889</v>
      </c>
      <c r="EL14" s="13">
        <f t="shared" si="45"/>
        <v>1.8453770977306692</v>
      </c>
      <c r="EM14" s="20">
        <f t="shared" si="19"/>
        <v>11.586858072102316</v>
      </c>
      <c r="EN14" s="59">
        <f t="shared" si="20"/>
        <v>304.92019140543562</v>
      </c>
      <c r="EO14" s="59">
        <f ca="1">AVERAGE(OFFSET($EN$3,0,0,'Données projet'!$E$15+1,1))-AVERAGE(OFFSET($H$3,0,0,'Données projet'!$E$15+1,1))</f>
        <v>219.76574638403434</v>
      </c>
      <c r="EP14" s="59">
        <f t="shared" si="46"/>
        <v>92.286636088269972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5.666666666666667</v>
      </c>
      <c r="FE14" s="12">
        <f>IF('Données projet'!$A$218&gt;35,FE13+FD14-FM13,IF(A14&lt;'Données projet'!$A$218,$FB$205^A14,IF(A14='Données projet'!$A$218,'Données projet'!$B$218,FE13+FD14-FM13)))</f>
        <v>6.5740237870303684</v>
      </c>
      <c r="FF14" s="17">
        <f>FE14*VLOOKUP('Données projet'!$B$16,Paramètres!$A$1:$I$89,3,0)*VLOOKUP('Données projet'!$B$16,Paramètres!$A$1:$I$89,5,0)</f>
        <v>3.0766431323302124</v>
      </c>
      <c r="FG14" s="13">
        <f t="shared" si="47"/>
        <v>1.24399035124876</v>
      </c>
      <c r="FH14" s="20">
        <f t="shared" si="22"/>
        <v>7.5251033172333761</v>
      </c>
      <c r="FI14" s="59">
        <f t="shared" si="23"/>
        <v>300.85843665056672</v>
      </c>
      <c r="FJ14" s="59">
        <f ca="1">AVERAGE(OFFSET($FI$3,0,0,'Données projet'!$E$16+1,1))-AVERAGE(OFFSET($H$3,0,0,'Données projet'!$E$16+1,1))</f>
        <v>86.164294406232727</v>
      </c>
      <c r="FK14" s="59">
        <f t="shared" si="48"/>
        <v>138.91188401562334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150.21793637331223</v>
      </c>
      <c r="T15" s="59">
        <f t="shared" si="34"/>
        <v>364.59164590134486</v>
      </c>
      <c r="U15" s="15">
        <f>IF(ISNA(VLOOKUP(A15,'Données projet'!$A$35:$I$55,3,0)),0,VLOOKUP(A15,'Données projet'!$A$35:$I$55,3,0))</f>
        <v>2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9.0000000000000011E-2</v>
      </c>
      <c r="X15" s="16">
        <f>IF(ISNA(VLOOKUP(A15,'Données projet'!$A$35:$I$55,6,0)),0%,VLOOKUP(A15,'Données projet'!$A$35:$I$55,6,0)*VLOOKUP('Données projet'!$B$9,Paramètres!$A$1:$I$89,7,0))</f>
        <v>0.20250000000000001</v>
      </c>
      <c r="Y15" s="16">
        <f>IF(ISNA(VLOOKUP(A15,'Données projet'!$A$35:$I$55,7,0)),0%,VLOOKUP(A15,'Données projet'!$A$35:$I$55,7,0))</f>
        <v>0.35</v>
      </c>
      <c r="Z15" s="21">
        <f>EXP(-LN(2)/35)*Z14+(1-EXP(-LN(2)/35))/(LN(2)/35)*V15*W15*VLOOKUP('Données projet'!$B$9,Paramètres!$A$1:$I$89,3,0)*0.475*44/12</f>
        <v>2.4274537657197062</v>
      </c>
      <c r="AA15" s="21">
        <f>EXP(-LN(2)/25)*AA14+(1-EXP(-LN(2)/25))/(LN(2)/25)*Calculateur!V15*Calculateur!X15*VLOOKUP('Données projet'!$B$9,Paramètres!$A$1:$I$89,3,0)*0.475*44/12</f>
        <v>5.4402658994512558</v>
      </c>
      <c r="AB15" s="21">
        <f>EXP(-LN(2)/2)*AB14+(1-EXP(-LN(2)/2))/(LN(2)/2)*V15*Y15*VLOOKUP('Données projet'!$B$9,Paramètres!$A$1:$I$89,3,0)*0.475*44/12</f>
        <v>8.0571914756578362</v>
      </c>
      <c r="AC15" s="22">
        <f t="shared" si="3"/>
        <v>15.924911140828797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1.2</v>
      </c>
      <c r="AI15" s="13">
        <f>IF('Données projet'!$A$62&gt;35,AI14+AH15-AQ14,IF(A15&lt;'Données projet'!$A$62,$AF$205^A15,IF(A15='Données projet'!$A$62,'Données projet'!$B$62,AI14+AH15-AQ14)))</f>
        <v>5.1170328173444979</v>
      </c>
      <c r="AJ15" s="13">
        <f>AI15*VLOOKUP('Données projet'!$B$10,Paramètres!$A$1:$I$89,3,0)*VLOOKUP('Données projet'!$B$10,Paramètres!$A$1:$I$89,5,0)</f>
        <v>5.5877998365401913</v>
      </c>
      <c r="AK15" s="13">
        <f t="shared" si="35"/>
        <v>2.1077256060360634</v>
      </c>
      <c r="AL15" s="20">
        <f t="shared" si="4"/>
        <v>13.403040145820308</v>
      </c>
      <c r="AM15" s="59">
        <f t="shared" si="5"/>
        <v>306.7363734791536</v>
      </c>
      <c r="AN15" s="59">
        <f ca="1">AVERAGE(OFFSET($AM$3,0,0,'Données projet'!$E$10+1,1))-AVERAGE(OFFSET($H$3,0,0,'Données projet'!$E$10+1,1))</f>
        <v>223.92539057016376</v>
      </c>
      <c r="AO15" s="59">
        <f t="shared" si="36"/>
        <v>94.125825809616856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1.2</v>
      </c>
      <c r="BD15" s="12">
        <f>IF('Données projet'!$A$88&gt;35,BD14+BC15-BL14,IF(A15&lt;'Données projet'!$A$88,$BA$205^A15,IF(A15='Données projet'!$A$88,'Données projet'!$B$88,BD14+BC15-BL14)))</f>
        <v>5.1170328173444979</v>
      </c>
      <c r="BE15" s="13">
        <f>BD15*VLOOKUP('Données projet'!$B$11,Paramètres!$A$1:$I$89,3,0)*VLOOKUP('Données projet'!$B$11,Paramètres!$A$1:$I$89,5,0)</f>
        <v>5.827276972391914</v>
      </c>
      <c r="BF15" s="13">
        <f t="shared" si="37"/>
        <v>2.1873461833967758</v>
      </c>
      <c r="BG15" s="20">
        <f t="shared" si="7"/>
        <v>13.958801996331969</v>
      </c>
      <c r="BH15" s="59">
        <f t="shared" si="8"/>
        <v>307.29213532966526</v>
      </c>
      <c r="BI15" s="59">
        <f ca="1">AVERAGE(OFFSET($BH$3,0,0,'Données projet'!$E$11+1,1))-AVERAGE(OFFSET($H$3,0,0,'Données projet'!$E$11+1,1))</f>
        <v>236.39682613502913</v>
      </c>
      <c r="BJ15" s="59">
        <f t="shared" si="38"/>
        <v>99.639724892155641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1.2</v>
      </c>
      <c r="CT15" s="12">
        <f>IF('Données projet'!$A$140&gt;35,CT14+CS15-DB14,IF(A15&lt;'Données projet'!$A$140,$CQ$205^A15,IF(A15='Données projet'!$A$140,'Données projet'!$B$140,CT14+CS15-DB14)))</f>
        <v>5.1170328173444979</v>
      </c>
      <c r="CU15" s="17">
        <f>CT15*VLOOKUP('Données projet'!$B$13,Paramètres!$A$1:$I$89,3,0)*VLOOKUP('Données projet'!$B$13,Paramètres!$A$1:$I$89,5,0)</f>
        <v>4.310588445331005</v>
      </c>
      <c r="CV15" s="13">
        <f t="shared" si="41"/>
        <v>1.6758246323702244</v>
      </c>
      <c r="CW15" s="20">
        <f t="shared" si="13"/>
        <v>10.426336110329641</v>
      </c>
      <c r="CX15" s="59">
        <f t="shared" si="14"/>
        <v>303.75966944366297</v>
      </c>
      <c r="CY15" s="59">
        <f ca="1">AVERAGE(OFFSET($CX$3,0,0,'Données projet'!$E$13+1,1))-AVERAGE(OFFSET($H$3,0,0,'Données projet'!$E$13+1,1))</f>
        <v>157.20393815370375</v>
      </c>
      <c r="CZ15" s="59">
        <f t="shared" si="42"/>
        <v>64.616965816756363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10.8</v>
      </c>
      <c r="DO15" s="12">
        <f>IF('Données projet'!$A$166&gt;35,DO14+DN15-DW14,IF(A15&lt;'Données projet'!$A$166,$DL$205^A15,IF(A15='Données projet'!$A$166,'Données projet'!$B$166,DO14+DN15-DW14)))</f>
        <v>32.6</v>
      </c>
      <c r="DP15" s="17">
        <f>DO15*VLOOKUP('Données projet'!$B$14,Paramètres!$A$1:$I$89,3,0)*VLOOKUP('Données projet'!$B$14,Paramètres!$A$1:$I$89,5,0)</f>
        <v>26.445120000000003</v>
      </c>
      <c r="DQ15" s="13">
        <f t="shared" si="43"/>
        <v>8.3240865246071554</v>
      </c>
      <c r="DR15" s="20">
        <f t="shared" si="16"/>
        <v>60.556368030357454</v>
      </c>
      <c r="DS15" s="59">
        <f t="shared" si="17"/>
        <v>353.88970136369079</v>
      </c>
      <c r="DT15" s="59">
        <f ca="1">AVERAGE(OFFSET($DS$3,0,0,'Données projet'!$E$14+1,1))-AVERAGE(OFFSET($H$3,0,0,'Données projet'!$E$14+1,1))</f>
        <v>221.78186926953776</v>
      </c>
      <c r="DU15" s="59">
        <f t="shared" si="44"/>
        <v>276.69392352410654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1.2</v>
      </c>
      <c r="EJ15" s="12">
        <f>IF('Données projet'!$A$192&gt;35,EJ14+EI15-ER14,IF(A15&lt;'Données projet'!$A$192,$EG$205^A15,IF(A15='Données projet'!$A$192,'Données projet'!$B$192,EJ14+EI15-ER14)))</f>
        <v>5.1170328173444979</v>
      </c>
      <c r="EK15" s="17">
        <f>EJ15*VLOOKUP('Données projet'!$B$15,Paramètres!$A$1:$I$89,3,0)*VLOOKUP('Données projet'!$B$15,Paramètres!$A$1:$I$89,5,0)</f>
        <v>5.5079741245896177</v>
      </c>
      <c r="EL15" s="13">
        <f t="shared" si="45"/>
        <v>2.0810978477317659</v>
      </c>
      <c r="EM15" s="20">
        <f t="shared" si="19"/>
        <v>13.217633685126408</v>
      </c>
      <c r="EN15" s="59">
        <f t="shared" si="20"/>
        <v>306.55096701845974</v>
      </c>
      <c r="EO15" s="59">
        <f ca="1">AVERAGE(OFFSET($EN$3,0,0,'Données projet'!$E$15+1,1))-AVERAGE(OFFSET($H$3,0,0,'Données projet'!$E$15+1,1))</f>
        <v>219.76574638403434</v>
      </c>
      <c r="EP15" s="59">
        <f t="shared" si="46"/>
        <v>92.286636088269972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5.666666666666667</v>
      </c>
      <c r="FE15" s="12">
        <f>IF('Données projet'!$A$218&gt;35,FE14+FD15-FM14,IF(A15&lt;'Données projet'!$A$218,$FB$205^A15,IF(A15='Données projet'!$A$218,'Données projet'!$B$218,FE14+FD15-FM14)))</f>
        <v>7.8015261500555493</v>
      </c>
      <c r="FF15" s="17">
        <f>FE15*VLOOKUP('Données projet'!$B$16,Paramètres!$A$1:$I$89,3,0)*VLOOKUP('Données projet'!$B$16,Paramètres!$A$1:$I$89,5,0)</f>
        <v>3.6511142382259969</v>
      </c>
      <c r="FG15" s="13">
        <f t="shared" si="47"/>
        <v>1.4471420643258348</v>
      </c>
      <c r="FH15" s="20">
        <f t="shared" si="22"/>
        <v>8.8794630602777733</v>
      </c>
      <c r="FI15" s="59">
        <f t="shared" si="23"/>
        <v>302.21279639361109</v>
      </c>
      <c r="FJ15" s="59">
        <f ca="1">AVERAGE(OFFSET($FI$3,0,0,'Données projet'!$E$16+1,1))-AVERAGE(OFFSET($H$3,0,0,'Données projet'!$E$16+1,1))</f>
        <v>86.164294406232727</v>
      </c>
      <c r="FK15" s="59">
        <f t="shared" si="48"/>
        <v>138.91188401562334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150.21793637331223</v>
      </c>
      <c r="T16" s="59">
        <f t="shared" si="34"/>
        <v>364.59164590134486</v>
      </c>
      <c r="U16" s="15">
        <f>IF(ISNA(VLOOKUP(A16,'Données projet'!$A$35:$I$55,3,0)),0,VLOOKUP(A16,'Données projet'!$A$35:$I$55,3,0))</f>
        <v>3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9.0000000000000011E-2</v>
      </c>
      <c r="X16" s="16">
        <f>IF(ISNA(VLOOKUP(A16,'Données projet'!$A$35:$I$55,6,0)),0%,VLOOKUP(A16,'Données projet'!$A$35:$I$55,6,0)*VLOOKUP('Données projet'!$B$9,Paramètres!$A$1:$I$89,7,0))</f>
        <v>0.20250000000000001</v>
      </c>
      <c r="Y16" s="16">
        <f>IF(ISNA(VLOOKUP(A16,'Données projet'!$A$35:$I$55,7,0)),0%,VLOOKUP(A16,'Données projet'!$A$35:$I$55,7,0))</f>
        <v>0.35</v>
      </c>
      <c r="Z16" s="21">
        <f>EXP(-LN(2)/35)*Z15+(1-EXP(-LN(2)/35))/(LN(2)/35)*V16*W16*VLOOKUP('Données projet'!$B$9,Paramètres!$A$1:$I$89,3,0)*0.475*44/12</f>
        <v>2.3798528779745425</v>
      </c>
      <c r="AA16" s="21">
        <f>EXP(-LN(2)/25)*AA15+(1-EXP(-LN(2)/25))/(LN(2)/25)*Calculateur!V16*Calculateur!X16*VLOOKUP('Données projet'!$B$9,Paramètres!$A$1:$I$89,3,0)*0.475*44/12</f>
        <v>5.2915015423396117</v>
      </c>
      <c r="AB16" s="21">
        <f>EXP(-LN(2)/2)*AB15+(1-EXP(-LN(2)/2))/(LN(2)/2)*V16*Y16*VLOOKUP('Données projet'!$B$9,Paramètres!$A$1:$I$89,3,0)*0.475*44/12</f>
        <v>5.6972947297561021</v>
      </c>
      <c r="AC16" s="22">
        <f t="shared" si="3"/>
        <v>13.368649150070256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1.2</v>
      </c>
      <c r="AI16" s="13">
        <f>IF('Données projet'!$A$62&gt;35,AI15+AH16-AQ15,IF(A16&lt;'Données projet'!$A$62,$AF$205^A16,IF(A16='Données projet'!$A$62,'Données projet'!$B$62,AI15+AH16-AQ15)))</f>
        <v>5.8627726400958746</v>
      </c>
      <c r="AJ16" s="13">
        <f>AI16*VLOOKUP('Données projet'!$B$10,Paramètres!$A$1:$I$89,3,0)*VLOOKUP('Données projet'!$B$10,Paramètres!$A$1:$I$89,5,0)</f>
        <v>6.4021477229846955</v>
      </c>
      <c r="AK16" s="13">
        <f t="shared" si="35"/>
        <v>2.376957656906487</v>
      </c>
      <c r="AL16" s="20">
        <f t="shared" si="4"/>
        <v>15.290275203310477</v>
      </c>
      <c r="AM16" s="59">
        <f t="shared" si="5"/>
        <v>308.62360853664381</v>
      </c>
      <c r="AN16" s="59">
        <f ca="1">AVERAGE(OFFSET($AM$3,0,0,'Données projet'!$E$10+1,1))-AVERAGE(OFFSET($H$3,0,0,'Données projet'!$E$10+1,1))</f>
        <v>223.92539057016376</v>
      </c>
      <c r="AO16" s="59">
        <f t="shared" si="36"/>
        <v>94.125825809616856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1.2</v>
      </c>
      <c r="BD16" s="12">
        <f>IF('Données projet'!$A$88&gt;35,BD15+BC16-BL15,IF(A16&lt;'Données projet'!$A$88,$BA$205^A16,IF(A16='Données projet'!$A$88,'Données projet'!$B$88,BD15+BC16-BL15)))</f>
        <v>5.8627726400958746</v>
      </c>
      <c r="BE16" s="13">
        <f>BD16*VLOOKUP('Données projet'!$B$11,Paramètres!$A$1:$I$89,3,0)*VLOOKUP('Données projet'!$B$11,Paramètres!$A$1:$I$89,5,0)</f>
        <v>6.6765254825411819</v>
      </c>
      <c r="BF16" s="13">
        <f t="shared" si="37"/>
        <v>2.4667486337124225</v>
      </c>
      <c r="BG16" s="20">
        <f t="shared" si="7"/>
        <v>15.924535752475025</v>
      </c>
      <c r="BH16" s="59">
        <f t="shared" si="8"/>
        <v>309.25786908580835</v>
      </c>
      <c r="BI16" s="59">
        <f ca="1">AVERAGE(OFFSET($BH$3,0,0,'Données projet'!$E$11+1,1))-AVERAGE(OFFSET($H$3,0,0,'Données projet'!$E$11+1,1))</f>
        <v>236.39682613502913</v>
      </c>
      <c r="BJ16" s="59">
        <f t="shared" si="38"/>
        <v>99.639724892155641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1.2</v>
      </c>
      <c r="CT16" s="12">
        <f>IF('Données projet'!$A$140&gt;35,CT15+CS16-DB15,IF(A16&lt;'Données projet'!$A$140,$CQ$205^A16,IF(A16='Données projet'!$A$140,'Données projet'!$B$140,CT15+CS16-DB15)))</f>
        <v>5.8627726400958746</v>
      </c>
      <c r="CU16" s="17">
        <f>CT16*VLOOKUP('Données projet'!$B$13,Paramètres!$A$1:$I$89,3,0)*VLOOKUP('Données projet'!$B$13,Paramètres!$A$1:$I$89,5,0)</f>
        <v>4.9387996720167653</v>
      </c>
      <c r="CV16" s="13">
        <f t="shared" si="41"/>
        <v>1.8898874597990478</v>
      </c>
      <c r="CW16" s="20">
        <f t="shared" si="13"/>
        <v>11.893296754579206</v>
      </c>
      <c r="CX16" s="59">
        <f t="shared" si="14"/>
        <v>305.2266300879125</v>
      </c>
      <c r="CY16" s="59">
        <f ca="1">AVERAGE(OFFSET($CX$3,0,0,'Données projet'!$E$13+1,1))-AVERAGE(OFFSET($H$3,0,0,'Données projet'!$E$13+1,1))</f>
        <v>157.20393815370375</v>
      </c>
      <c r="CZ16" s="59">
        <f t="shared" si="42"/>
        <v>64.616965816756363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10.8</v>
      </c>
      <c r="DO16" s="12">
        <f>IF('Données projet'!$A$166&gt;35,DO15+DN16-DW15,IF(A16&lt;'Données projet'!$A$166,$DL$205^A16,IF(A16='Données projet'!$A$166,'Données projet'!$B$166,DO15+DN16-DW15)))</f>
        <v>43.400000000000006</v>
      </c>
      <c r="DP16" s="17">
        <f>DO16*VLOOKUP('Données projet'!$B$14,Paramètres!$A$1:$I$89,3,0)*VLOOKUP('Données projet'!$B$14,Paramètres!$A$1:$I$89,5,0)</f>
        <v>35.206080000000007</v>
      </c>
      <c r="DQ16" s="13">
        <f t="shared" si="43"/>
        <v>10.718732666310196</v>
      </c>
      <c r="DR16" s="20">
        <f t="shared" si="16"/>
        <v>79.985715393823597</v>
      </c>
      <c r="DS16" s="59">
        <f t="shared" si="17"/>
        <v>373.31904872715688</v>
      </c>
      <c r="DT16" s="59">
        <f ca="1">AVERAGE(OFFSET($DS$3,0,0,'Données projet'!$E$14+1,1))-AVERAGE(OFFSET($H$3,0,0,'Données projet'!$E$14+1,1))</f>
        <v>221.78186926953776</v>
      </c>
      <c r="DU16" s="59">
        <f t="shared" si="44"/>
        <v>276.69392352410654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1.2</v>
      </c>
      <c r="EJ16" s="12">
        <f>IF('Données projet'!$A$192&gt;35,EJ15+EI16-ER15,IF(A16&lt;'Données projet'!$A$192,$EG$205^A16,IF(A16='Données projet'!$A$192,'Données projet'!$B$192,EJ15+EI16-ER15)))</f>
        <v>5.8627726400958746</v>
      </c>
      <c r="EK16" s="17">
        <f>EJ16*VLOOKUP('Données projet'!$B$15,Paramètres!$A$1:$I$89,3,0)*VLOOKUP('Données projet'!$B$15,Paramètres!$A$1:$I$89,5,0)</f>
        <v>6.3106884697991985</v>
      </c>
      <c r="EL16" s="13">
        <f t="shared" si="45"/>
        <v>2.346928580158357</v>
      </c>
      <c r="EM16" s="20">
        <f t="shared" si="19"/>
        <v>15.078683028676075</v>
      </c>
      <c r="EN16" s="59">
        <f t="shared" si="20"/>
        <v>308.41201636200941</v>
      </c>
      <c r="EO16" s="59">
        <f ca="1">AVERAGE(OFFSET($EN$3,0,0,'Données projet'!$E$15+1,1))-AVERAGE(OFFSET($H$3,0,0,'Données projet'!$E$15+1,1))</f>
        <v>219.76574638403434</v>
      </c>
      <c r="EP16" s="59">
        <f t="shared" si="46"/>
        <v>92.286636088269972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5.666666666666667</v>
      </c>
      <c r="FE16" s="12">
        <f>IF('Données projet'!$A$218&gt;35,FE15+FD16-FM15,IF(A16&lt;'Données projet'!$A$218,$FB$205^A16,IF(A16='Données projet'!$A$218,'Données projet'!$B$218,FE15+FD16-FM15)))</f>
        <v>9.2582278740877637</v>
      </c>
      <c r="FF16" s="17">
        <f>FE16*VLOOKUP('Données projet'!$B$16,Paramètres!$A$1:$I$89,3,0)*VLOOKUP('Données projet'!$B$16,Paramètres!$A$1:$I$89,5,0)</f>
        <v>4.3328506450730728</v>
      </c>
      <c r="FG16" s="13">
        <f t="shared" si="47"/>
        <v>1.683469773088665</v>
      </c>
      <c r="FH16" s="20">
        <f t="shared" si="22"/>
        <v>10.478424728298359</v>
      </c>
      <c r="FI16" s="59">
        <f t="shared" si="23"/>
        <v>303.81175806163168</v>
      </c>
      <c r="FJ16" s="59">
        <f ca="1">AVERAGE(OFFSET($FI$3,0,0,'Données projet'!$E$16+1,1))-AVERAGE(OFFSET($H$3,0,0,'Données projet'!$E$16+1,1))</f>
        <v>86.164294406232727</v>
      </c>
      <c r="FK16" s="59">
        <f t="shared" si="48"/>
        <v>138.91188401562334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21.333333333333332</v>
      </c>
      <c r="N17" s="13">
        <f>IF('Données projet'!$A$36&gt;35,N16+M17-V16,IF(A17&lt;'Données projet'!$A$36,$K$205^A17,IF(A17='Données projet'!$A$36,'Données projet'!$B$36,N16+M17-V16)))</f>
        <v>110.33333333333333</v>
      </c>
      <c r="O17" s="13">
        <f>N17*VLOOKUP('Données projet'!$B$9,Paramètres!$A$1:$I$89,3,0)*VLOOKUP('Données projet'!$B$9,Paramètres!$A$1:$I$89,5,0)</f>
        <v>65.979333333333329</v>
      </c>
      <c r="P17" s="13">
        <f t="shared" si="33"/>
        <v>18.671572945509482</v>
      </c>
      <c r="Q17" s="20">
        <f t="shared" si="2"/>
        <v>147.43366176898456</v>
      </c>
      <c r="R17" s="59">
        <f t="shared" si="0"/>
        <v>440.76699510231788</v>
      </c>
      <c r="S17" s="59">
        <f ca="1">AVERAGE(OFFSET($R$3,0,0,'Données projet'!$E$9+1,1))-AVERAGE(OFFSET($H$3,0,0,'Données projet'!$E$9+1,1))</f>
        <v>150.21793637331223</v>
      </c>
      <c r="T17" s="59">
        <f t="shared" si="34"/>
        <v>364.59164590134486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2.3331854146043871</v>
      </c>
      <c r="AA17" s="21">
        <f>EXP(-LN(2)/25)*AA16+(1-EXP(-LN(2)/25))/(LN(2)/25)*Calculateur!V17*Calculateur!X17*VLOOKUP('Données projet'!$B$9,Paramètres!$A$1:$I$89,3,0)*0.475*44/12</f>
        <v>5.1468051543963629</v>
      </c>
      <c r="AB17" s="21">
        <f>EXP(-LN(2)/2)*AB16+(1-EXP(-LN(2)/2))/(LN(2)/2)*V17*Y17*VLOOKUP('Données projet'!$B$9,Paramètres!$A$1:$I$89,3,0)*0.475*44/12</f>
        <v>4.028595737828919</v>
      </c>
      <c r="AC17" s="22">
        <f t="shared" si="3"/>
        <v>11.508586306829669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1.2</v>
      </c>
      <c r="AI17" s="13">
        <f>IF('Données projet'!$A$62&gt;35,AI16+AH17-AQ16,IF(A17&lt;'Données projet'!$A$62,$AF$205^A17,IF(A17='Données projet'!$A$62,'Données projet'!$B$62,AI16+AH17-AQ16)))</f>
        <v>6.7171941741218459</v>
      </c>
      <c r="AJ17" s="13">
        <f>AI17*VLOOKUP('Données projet'!$B$10,Paramètres!$A$1:$I$89,3,0)*VLOOKUP('Données projet'!$B$10,Paramètres!$A$1:$I$89,5,0)</f>
        <v>7.3351760381410562</v>
      </c>
      <c r="AK17" s="13">
        <f t="shared" si="35"/>
        <v>2.6805802835749706</v>
      </c>
      <c r="AL17" s="20">
        <f t="shared" si="4"/>
        <v>17.444108926988743</v>
      </c>
      <c r="AM17" s="59">
        <f t="shared" si="5"/>
        <v>310.77744226032206</v>
      </c>
      <c r="AN17" s="59">
        <f ca="1">AVERAGE(OFFSET($AM$3,0,0,'Données projet'!$E$10+1,1))-AVERAGE(OFFSET($H$3,0,0,'Données projet'!$E$10+1,1))</f>
        <v>223.92539057016376</v>
      </c>
      <c r="AO17" s="59">
        <f t="shared" si="36"/>
        <v>94.125825809616856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1.2</v>
      </c>
      <c r="BD17" s="12">
        <f>IF('Données projet'!$A$88&gt;35,BD16+BC17-BL16,IF(A17&lt;'Données projet'!$A$88,$BA$205^A17,IF(A17='Données projet'!$A$88,'Données projet'!$B$88,BD16+BC17-BL16)))</f>
        <v>6.7171941741218459</v>
      </c>
      <c r="BE17" s="13">
        <f>BD17*VLOOKUP('Données projet'!$B$11,Paramètres!$A$1:$I$89,3,0)*VLOOKUP('Données projet'!$B$11,Paramètres!$A$1:$I$89,5,0)</f>
        <v>7.6495407254899579</v>
      </c>
      <c r="BF17" s="13">
        <f t="shared" si="37"/>
        <v>2.7818407841015893</v>
      </c>
      <c r="BG17" s="20">
        <f t="shared" si="7"/>
        <v>18.16798946253861</v>
      </c>
      <c r="BH17" s="59">
        <f t="shared" si="8"/>
        <v>311.50132279587194</v>
      </c>
      <c r="BI17" s="59">
        <f ca="1">AVERAGE(OFFSET($BH$3,0,0,'Données projet'!$E$11+1,1))-AVERAGE(OFFSET($H$3,0,0,'Données projet'!$E$11+1,1))</f>
        <v>236.39682613502913</v>
      </c>
      <c r="BJ17" s="59">
        <f t="shared" si="38"/>
        <v>99.639724892155641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1.2</v>
      </c>
      <c r="CT17" s="12">
        <f>IF('Données projet'!$A$140&gt;35,CT16+CS17-DB16,IF(A17&lt;'Données projet'!$A$140,$CQ$205^A17,IF(A17='Données projet'!$A$140,'Données projet'!$B$140,CT16+CS17-DB16)))</f>
        <v>6.7171941741218459</v>
      </c>
      <c r="CU17" s="17">
        <f>CT17*VLOOKUP('Données projet'!$B$13,Paramètres!$A$1:$I$89,3,0)*VLOOKUP('Données projet'!$B$13,Paramètres!$A$1:$I$89,5,0)</f>
        <v>5.6585643722802441</v>
      </c>
      <c r="CV17" s="13">
        <f t="shared" si="41"/>
        <v>2.1312937772337501</v>
      </c>
      <c r="CW17" s="20">
        <f t="shared" si="13"/>
        <v>13.567336277070206</v>
      </c>
      <c r="CX17" s="59">
        <f t="shared" si="14"/>
        <v>306.9006696104035</v>
      </c>
      <c r="CY17" s="59">
        <f ca="1">AVERAGE(OFFSET($CX$3,0,0,'Données projet'!$E$13+1,1))-AVERAGE(OFFSET($H$3,0,0,'Données projet'!$E$13+1,1))</f>
        <v>157.20393815370375</v>
      </c>
      <c r="CZ17" s="59">
        <f t="shared" si="42"/>
        <v>64.616965816756363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10.8</v>
      </c>
      <c r="DO17" s="12">
        <f>IF('Données projet'!$A$166&gt;35,DO16+DN17-DW16,IF(A17&lt;'Données projet'!$A$166,$DL$205^A17,IF(A17='Données projet'!$A$166,'Données projet'!$B$166,DO16+DN17-DW16)))</f>
        <v>54.2</v>
      </c>
      <c r="DP17" s="17">
        <f>DO17*VLOOKUP('Données projet'!$B$14,Paramètres!$A$1:$I$89,3,0)*VLOOKUP('Données projet'!$B$14,Paramètres!$A$1:$I$89,5,0)</f>
        <v>43.967040000000004</v>
      </c>
      <c r="DQ17" s="13">
        <f t="shared" si="43"/>
        <v>13.04425511497986</v>
      </c>
      <c r="DR17" s="20">
        <f t="shared" si="16"/>
        <v>99.294672325256599</v>
      </c>
      <c r="DS17" s="59">
        <f t="shared" si="17"/>
        <v>392.62800565858993</v>
      </c>
      <c r="DT17" s="59">
        <f ca="1">AVERAGE(OFFSET($DS$3,0,0,'Données projet'!$E$14+1,1))-AVERAGE(OFFSET($H$3,0,0,'Données projet'!$E$14+1,1))</f>
        <v>221.78186926953776</v>
      </c>
      <c r="DU17" s="59">
        <f t="shared" si="44"/>
        <v>276.69392352410654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1.2</v>
      </c>
      <c r="EJ17" s="12">
        <f>IF('Données projet'!$A$192&gt;35,EJ16+EI17-ER16,IF(A17&lt;'Données projet'!$A$192,$EG$205^A17,IF(A17='Données projet'!$A$192,'Données projet'!$B$192,EJ16+EI17-ER16)))</f>
        <v>6.7171941741218459</v>
      </c>
      <c r="EK17" s="17">
        <f>EJ17*VLOOKUP('Données projet'!$B$15,Paramètres!$A$1:$I$89,3,0)*VLOOKUP('Données projet'!$B$15,Paramètres!$A$1:$I$89,5,0)</f>
        <v>7.2303878090247551</v>
      </c>
      <c r="EL17" s="13">
        <f t="shared" si="45"/>
        <v>2.6467154181950132</v>
      </c>
      <c r="EM17" s="20">
        <f t="shared" si="19"/>
        <v>17.202621454074428</v>
      </c>
      <c r="EN17" s="59">
        <f t="shared" si="20"/>
        <v>310.53595478740772</v>
      </c>
      <c r="EO17" s="59">
        <f ca="1">AVERAGE(OFFSET($EN$3,0,0,'Données projet'!$E$15+1,1))-AVERAGE(OFFSET($H$3,0,0,'Données projet'!$E$15+1,1))</f>
        <v>219.76574638403434</v>
      </c>
      <c r="EP17" s="59">
        <f t="shared" si="46"/>
        <v>92.286636088269972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5.666666666666667</v>
      </c>
      <c r="FE17" s="12">
        <f>IF('Données projet'!$A$218&gt;35,FE16+FD17-FM16,IF(A17&lt;'Données projet'!$A$218,$FB$205^A17,IF(A17='Données projet'!$A$218,'Données projet'!$B$218,FE16+FD17-FM16)))</f>
        <v>10.986925086180136</v>
      </c>
      <c r="FF17" s="17">
        <f>FE17*VLOOKUP('Données projet'!$B$16,Paramètres!$A$1:$I$89,3,0)*VLOOKUP('Données projet'!$B$16,Paramètres!$A$1:$I$89,5,0)</f>
        <v>5.141880940332304</v>
      </c>
      <c r="FG17" s="13">
        <f t="shared" si="47"/>
        <v>1.95839133335087</v>
      </c>
      <c r="FH17" s="20">
        <f t="shared" si="22"/>
        <v>12.366307543331528</v>
      </c>
      <c r="FI17" s="59">
        <f t="shared" si="23"/>
        <v>305.69964087666483</v>
      </c>
      <c r="FJ17" s="59">
        <f ca="1">AVERAGE(OFFSET($FI$3,0,0,'Données projet'!$E$16+1,1))-AVERAGE(OFFSET($H$3,0,0,'Données projet'!$E$16+1,1))</f>
        <v>86.164294406232727</v>
      </c>
      <c r="FK17" s="59">
        <f t="shared" si="48"/>
        <v>138.91188401562334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21.333333333333332</v>
      </c>
      <c r="N18" s="13">
        <f>IF('Données projet'!$A$36&gt;35,N17+M18-V17,IF(A18&lt;'Données projet'!$A$36,$K$205^A18,IF(A18='Données projet'!$A$36,'Données projet'!$B$36,N17+M18-V17)))</f>
        <v>131.66666666666666</v>
      </c>
      <c r="O18" s="13">
        <f>N18*VLOOKUP('Données projet'!$B$9,Paramètres!$A$1:$I$89,3,0)*VLOOKUP('Données projet'!$B$9,Paramètres!$A$1:$I$89,5,0)</f>
        <v>78.736666666666665</v>
      </c>
      <c r="P18" s="13">
        <f t="shared" si="33"/>
        <v>21.828006984037042</v>
      </c>
      <c r="Q18" s="20">
        <f t="shared" si="2"/>
        <v>175.15013994164227</v>
      </c>
      <c r="R18" s="59">
        <f t="shared" si="0"/>
        <v>468.48347327497561</v>
      </c>
      <c r="S18" s="59">
        <f ca="1">AVERAGE(OFFSET($R$3,0,0,'Données projet'!$E$9+1,1))-AVERAGE(OFFSET($H$3,0,0,'Données projet'!$E$9+1,1))</f>
        <v>150.21793637331223</v>
      </c>
      <c r="T18" s="59">
        <f t="shared" si="34"/>
        <v>364.59164590134486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2.2874330717265781</v>
      </c>
      <c r="AA18" s="21">
        <f>EXP(-LN(2)/25)*AA17+(1-EXP(-LN(2)/25))/(LN(2)/25)*Calculateur!V18*Calculateur!X18*VLOOKUP('Données projet'!$B$9,Paramètres!$A$1:$I$89,3,0)*0.475*44/12</f>
        <v>5.0060654967906748</v>
      </c>
      <c r="AB18" s="21">
        <f>EXP(-LN(2)/2)*AB17+(1-EXP(-LN(2)/2))/(LN(2)/2)*V18*Y18*VLOOKUP('Données projet'!$B$9,Paramètres!$A$1:$I$89,3,0)*0.475*44/12</f>
        <v>2.8486473648780515</v>
      </c>
      <c r="AC18" s="22">
        <f t="shared" si="3"/>
        <v>10.142145933395303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1.2</v>
      </c>
      <c r="AI18" s="13">
        <f>IF('Données projet'!$A$62&gt;35,AI17+AH18-AQ17,IF(A18&lt;'Données projet'!$A$62,$AF$205^A18,IF(A18='Données projet'!$A$62,'Données projet'!$B$62,AI17+AH18-AQ17)))</f>
        <v>7.6961363407260848</v>
      </c>
      <c r="AJ18" s="13">
        <f>AI18*VLOOKUP('Données projet'!$B$10,Paramètres!$A$1:$I$89,3,0)*VLOOKUP('Données projet'!$B$10,Paramètres!$A$1:$I$89,5,0)</f>
        <v>8.4041808840728844</v>
      </c>
      <c r="AK18" s="13">
        <f t="shared" si="35"/>
        <v>3.0229863943148727</v>
      </c>
      <c r="AL18" s="20">
        <f t="shared" si="4"/>
        <v>19.902316343192009</v>
      </c>
      <c r="AM18" s="59">
        <f t="shared" si="5"/>
        <v>313.23564967652533</v>
      </c>
      <c r="AN18" s="59">
        <f ca="1">AVERAGE(OFFSET($AM$3,0,0,'Données projet'!$E$10+1,1))-AVERAGE(OFFSET($H$3,0,0,'Données projet'!$E$10+1,1))</f>
        <v>223.92539057016376</v>
      </c>
      <c r="AO18" s="59">
        <f t="shared" si="36"/>
        <v>94.125825809616856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1.2</v>
      </c>
      <c r="BD18" s="12">
        <f>IF('Données projet'!$A$88&gt;35,BD17+BC18-BL17,IF(A18&lt;'Données projet'!$A$88,$BA$205^A18,IF(A18='Données projet'!$A$88,'Données projet'!$B$88,BD17+BC18-BL17)))</f>
        <v>7.6961363407260848</v>
      </c>
      <c r="BE18" s="13">
        <f>BD18*VLOOKUP('Données projet'!$B$11,Paramètres!$A$1:$I$89,3,0)*VLOOKUP('Données projet'!$B$11,Paramètres!$A$1:$I$89,5,0)</f>
        <v>8.7643600648188649</v>
      </c>
      <c r="BF18" s="13">
        <f t="shared" si="37"/>
        <v>3.1371814875374633</v>
      </c>
      <c r="BG18" s="20">
        <f t="shared" si="7"/>
        <v>20.728518203687273</v>
      </c>
      <c r="BH18" s="59">
        <f t="shared" si="8"/>
        <v>314.06185153702057</v>
      </c>
      <c r="BI18" s="59">
        <f ca="1">AVERAGE(OFFSET($BH$3,0,0,'Données projet'!$E$11+1,1))-AVERAGE(OFFSET($H$3,0,0,'Données projet'!$E$11+1,1))</f>
        <v>236.39682613502913</v>
      </c>
      <c r="BJ18" s="59">
        <f t="shared" si="38"/>
        <v>99.639724892155641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1.2</v>
      </c>
      <c r="CT18" s="12">
        <f>IF('Données projet'!$A$140&gt;35,CT17+CS18-DB17,IF(A18&lt;'Données projet'!$A$140,$CQ$205^A18,IF(A18='Données projet'!$A$140,'Données projet'!$B$140,CT17+CS18-DB17)))</f>
        <v>7.6961363407260848</v>
      </c>
      <c r="CU18" s="17">
        <f>CT18*VLOOKUP('Données projet'!$B$13,Paramètres!$A$1:$I$89,3,0)*VLOOKUP('Données projet'!$B$13,Paramètres!$A$1:$I$89,5,0)</f>
        <v>6.4832252534276549</v>
      </c>
      <c r="CV18" s="13">
        <f t="shared" si="41"/>
        <v>2.4035363276913344</v>
      </c>
      <c r="CW18" s="20">
        <f t="shared" si="13"/>
        <v>15.477776420448906</v>
      </c>
      <c r="CX18" s="59">
        <f t="shared" si="14"/>
        <v>308.8111097537822</v>
      </c>
      <c r="CY18" s="59">
        <f ca="1">AVERAGE(OFFSET($CX$3,0,0,'Données projet'!$E$13+1,1))-AVERAGE(OFFSET($H$3,0,0,'Données projet'!$E$13+1,1))</f>
        <v>157.20393815370375</v>
      </c>
      <c r="CZ18" s="59">
        <f t="shared" si="42"/>
        <v>64.616965816756363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>
        <f>VLOOKUP(A18,'Données projet'!$A$165:$I$185,2,0)</f>
        <v>65</v>
      </c>
      <c r="DM18" s="12">
        <f>VLOOKUP(A18,'Données projet'!$A$165:$I$185,9,0)</f>
        <v>10.8</v>
      </c>
      <c r="DN18" s="12">
        <f t="array" ref="DN18">INDEX(DM:DM,MIN(IF(ISNUMBER(DM18:DM214),ROW(DM18:DM214),"")))</f>
        <v>10.8</v>
      </c>
      <c r="DO18" s="12">
        <f>IF('Données projet'!$A$166&gt;35,DO17+DN18-DW17,IF(A18&lt;'Données projet'!$A$166,$DL$205^A18,IF(A18='Données projet'!$A$166,'Données projet'!$B$166,DO17+DN18-DW17)))</f>
        <v>65</v>
      </c>
      <c r="DP18" s="17">
        <f>DO18*VLOOKUP('Données projet'!$B$14,Paramètres!$A$1:$I$89,3,0)*VLOOKUP('Données projet'!$B$14,Paramètres!$A$1:$I$89,5,0)</f>
        <v>52.728000000000009</v>
      </c>
      <c r="DQ18" s="13">
        <f t="shared" si="43"/>
        <v>15.316084592505286</v>
      </c>
      <c r="DR18" s="20">
        <f t="shared" si="16"/>
        <v>118.51011399861339</v>
      </c>
      <c r="DS18" s="59">
        <f t="shared" si="17"/>
        <v>411.84344733194672</v>
      </c>
      <c r="DT18" s="59">
        <f ca="1">AVERAGE(OFFSET($DS$3,0,0,'Données projet'!$E$14+1,1))-AVERAGE(OFFSET($H$3,0,0,'Données projet'!$E$14+1,1))</f>
        <v>221.78186926953776</v>
      </c>
      <c r="DU18" s="59">
        <f t="shared" si="44"/>
        <v>276.69392352410654</v>
      </c>
      <c r="DV18" s="15">
        <f>IF(ISNA(VLOOKUP(A18,'Données projet'!$A$165:$I$185,3,0)),0,VLOOKUP(A18,'Données projet'!$A$165:$I$185,3,0))</f>
        <v>2</v>
      </c>
      <c r="DW18" s="15">
        <f>IF(ISNA(VLOOKUP(A18,'Données projet'!$A$165:$I$185,4,0)),0,VLOOKUP(A18,'Données projet'!$A$165:$I$185,4,0))</f>
        <v>32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1.2</v>
      </c>
      <c r="EJ18" s="12">
        <f>IF('Données projet'!$A$192&gt;35,EJ17+EI18-ER17,IF(A18&lt;'Données projet'!$A$192,$EG$205^A18,IF(A18='Données projet'!$A$192,'Données projet'!$B$192,EJ17+EI18-ER17)))</f>
        <v>7.6961363407260848</v>
      </c>
      <c r="EK18" s="17">
        <f>EJ18*VLOOKUP('Données projet'!$B$15,Paramètres!$A$1:$I$89,3,0)*VLOOKUP('Données projet'!$B$15,Paramètres!$A$1:$I$89,5,0)</f>
        <v>8.284121157157557</v>
      </c>
      <c r="EL18" s="13">
        <f t="shared" si="45"/>
        <v>2.9847957727109624</v>
      </c>
      <c r="EM18" s="20">
        <f t="shared" si="19"/>
        <v>19.626696986187671</v>
      </c>
      <c r="EN18" s="59">
        <f t="shared" si="20"/>
        <v>312.96003031952097</v>
      </c>
      <c r="EO18" s="59">
        <f ca="1">AVERAGE(OFFSET($EN$3,0,0,'Données projet'!$E$15+1,1))-AVERAGE(OFFSET($H$3,0,0,'Données projet'!$E$15+1,1))</f>
        <v>219.76574638403434</v>
      </c>
      <c r="EP18" s="59">
        <f t="shared" si="46"/>
        <v>92.286636088269972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5.666666666666667</v>
      </c>
      <c r="FE18" s="12">
        <f>IF('Données projet'!$A$218&gt;35,FE17+FD18-FM17,IF(A18&lt;'Données projet'!$A$218,$FB$205^A18,IF(A18='Données projet'!$A$218,'Données projet'!$B$218,FE17+FD18-FM17)))</f>
        <v>13.038404810405304</v>
      </c>
      <c r="FF18" s="17">
        <f>FE18*VLOOKUP('Données projet'!$B$16,Paramètres!$A$1:$I$89,3,0)*VLOOKUP('Données projet'!$B$16,Paramètres!$A$1:$I$89,5,0)</f>
        <v>6.101973451269683</v>
      </c>
      <c r="FG18" s="13">
        <f t="shared" si="47"/>
        <v>2.2782093720086061</v>
      </c>
      <c r="FH18" s="20">
        <f t="shared" si="22"/>
        <v>14.595485083876353</v>
      </c>
      <c r="FI18" s="59">
        <f t="shared" si="23"/>
        <v>307.92881841720964</v>
      </c>
      <c r="FJ18" s="59">
        <f ca="1">AVERAGE(OFFSET($FI$3,0,0,'Données projet'!$E$16+1,1))-AVERAGE(OFFSET($H$3,0,0,'Données projet'!$E$16+1,1))</f>
        <v>86.164294406232727</v>
      </c>
      <c r="FK18" s="59">
        <f t="shared" si="48"/>
        <v>138.91188401562334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21.333333333333332</v>
      </c>
      <c r="M19" s="12">
        <f t="array" ref="M19">INDEX(L:L,MIN(IF(ISNUMBER(L19:L215),ROW(L19:L215),"")))</f>
        <v>21.333333333333332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150.21793637331223</v>
      </c>
      <c r="T19" s="59">
        <f t="shared" si="34"/>
        <v>364.59164590134486</v>
      </c>
      <c r="U19" s="15">
        <f>IF(ISNA(VLOOKUP(A19,'Données projet'!$A$35:$I$55,3,0)),0,VLOOKUP(A19,'Données projet'!$A$35:$I$55,3,0))</f>
        <v>4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0.18000000000000002</v>
      </c>
      <c r="X19" s="16">
        <f>IF(ISNA(VLOOKUP(A19,'Données projet'!$A$35:$I$55,6,0)),0%,VLOOKUP(A19,'Données projet'!$A$35:$I$55,6,0)*VLOOKUP('Données projet'!$B$9,Paramètres!$A$1:$I$89,7,0))</f>
        <v>0.15300000000000002</v>
      </c>
      <c r="Y19" s="16">
        <f>IF(ISNA(VLOOKUP(A19,'Données projet'!$A$35:$I$55,7,0)),0%,VLOOKUP(A19,'Données projet'!$A$35:$I$55,7,0))</f>
        <v>0.26</v>
      </c>
      <c r="Z19" s="21">
        <f>EXP(-LN(2)/35)*Z18+(1-EXP(-LN(2)/35))/(LN(2)/35)*V19*W19*VLOOKUP('Données projet'!$B$9,Paramètres!$A$1:$I$89,3,0)*0.475*44/12</f>
        <v>2.2425779043864296</v>
      </c>
      <c r="AA19" s="21">
        <f>EXP(-LN(2)/25)*AA18+(1-EXP(-LN(2)/25))/(LN(2)/25)*Calculateur!V19*Calculateur!X19*VLOOKUP('Données projet'!$B$9,Paramètres!$A$1:$I$89,3,0)*0.475*44/12</f>
        <v>4.8691743725233909</v>
      </c>
      <c r="AB19" s="21">
        <f>EXP(-LN(2)/2)*AB18+(1-EXP(-LN(2)/2))/(LN(2)/2)*V19*Y19*VLOOKUP('Données projet'!$B$9,Paramètres!$A$1:$I$89,3,0)*0.475*44/12</f>
        <v>2.0142978689144595</v>
      </c>
      <c r="AC19" s="22">
        <f t="shared" si="3"/>
        <v>9.12605014582428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1.2</v>
      </c>
      <c r="AI19" s="13">
        <f>IF('Données projet'!$A$62&gt;35,AI18+AH19-AQ18,IF(A19&lt;'Données projet'!$A$62,$AF$205^A19,IF(A19='Données projet'!$A$62,'Données projet'!$B$62,AI18+AH19-AQ18)))</f>
        <v>8.8177463744060987</v>
      </c>
      <c r="AJ19" s="13">
        <f>AI19*VLOOKUP('Données projet'!$B$10,Paramètres!$A$1:$I$89,3,0)*VLOOKUP('Données projet'!$B$10,Paramètres!$A$1:$I$89,5,0)</f>
        <v>9.6289790408514602</v>
      </c>
      <c r="AK19" s="13">
        <f t="shared" si="35"/>
        <v>3.4091300291238786</v>
      </c>
      <c r="AL19" s="20">
        <f t="shared" si="4"/>
        <v>22.708039963540383</v>
      </c>
      <c r="AM19" s="59">
        <f t="shared" si="5"/>
        <v>316.0413732968737</v>
      </c>
      <c r="AN19" s="59">
        <f ca="1">AVERAGE(OFFSET($AM$3,0,0,'Données projet'!$E$10+1,1))-AVERAGE(OFFSET($H$3,0,0,'Données projet'!$E$10+1,1))</f>
        <v>223.92539057016376</v>
      </c>
      <c r="AO19" s="59">
        <f t="shared" si="36"/>
        <v>94.125825809616856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1.2</v>
      </c>
      <c r="BD19" s="12">
        <f>IF('Données projet'!$A$88&gt;35,BD18+BC19-BL18,IF(A19&lt;'Données projet'!$A$88,$BA$205^A19,IF(A19='Données projet'!$A$88,'Données projet'!$B$88,BD18+BC19-BL18)))</f>
        <v>8.8177463744060987</v>
      </c>
      <c r="BE19" s="13">
        <f>BD19*VLOOKUP('Données projet'!$B$11,Paramètres!$A$1:$I$89,3,0)*VLOOKUP('Données projet'!$B$11,Paramètres!$A$1:$I$89,5,0)</f>
        <v>10.041649571173666</v>
      </c>
      <c r="BF19" s="13">
        <f t="shared" si="37"/>
        <v>3.537911925799258</v>
      </c>
      <c r="BG19" s="20">
        <f t="shared" si="7"/>
        <v>23.651069607227843</v>
      </c>
      <c r="BH19" s="59">
        <f t="shared" si="8"/>
        <v>316.98440294056115</v>
      </c>
      <c r="BI19" s="59">
        <f ca="1">AVERAGE(OFFSET($BH$3,0,0,'Données projet'!$E$11+1,1))-AVERAGE(OFFSET($H$3,0,0,'Données projet'!$E$11+1,1))</f>
        <v>236.39682613502913</v>
      </c>
      <c r="BJ19" s="59">
        <f t="shared" si="38"/>
        <v>99.639724892155641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1.2</v>
      </c>
      <c r="CT19" s="12">
        <f>IF('Données projet'!$A$140&gt;35,CT18+CS19-DB18,IF(A19&lt;'Données projet'!$A$140,$CQ$205^A19,IF(A19='Données projet'!$A$140,'Données projet'!$B$140,CT18+CS19-DB18)))</f>
        <v>8.8177463744060987</v>
      </c>
      <c r="CU19" s="17">
        <f>CT19*VLOOKUP('Données projet'!$B$13,Paramètres!$A$1:$I$89,3,0)*VLOOKUP('Données projet'!$B$13,Paramètres!$A$1:$I$89,5,0)</f>
        <v>7.4280695457996986</v>
      </c>
      <c r="CV19" s="13">
        <f t="shared" si="41"/>
        <v>2.7105540025692809</v>
      </c>
      <c r="CW19" s="20">
        <f t="shared" si="13"/>
        <v>17.658102680075974</v>
      </c>
      <c r="CX19" s="59">
        <f t="shared" si="14"/>
        <v>310.99143601340927</v>
      </c>
      <c r="CY19" s="59">
        <f ca="1">AVERAGE(OFFSET($CX$3,0,0,'Données projet'!$E$13+1,1))-AVERAGE(OFFSET($H$3,0,0,'Données projet'!$E$13+1,1))</f>
        <v>157.20393815370375</v>
      </c>
      <c r="CZ19" s="59">
        <f t="shared" si="42"/>
        <v>64.616965816756363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13.8</v>
      </c>
      <c r="DO19" s="12">
        <f>IF('Données projet'!$A$166&gt;35,DO18+DN19-DW18,IF(A19&lt;'Données projet'!$A$166,$DL$205^A19,IF(A19='Données projet'!$A$166,'Données projet'!$B$166,DO18+DN19-DW18)))</f>
        <v>46.8</v>
      </c>
      <c r="DP19" s="17">
        <f>DO19*VLOOKUP('Données projet'!$B$14,Paramètres!$A$1:$I$89,3,0)*VLOOKUP('Données projet'!$B$14,Paramètres!$A$1:$I$89,5,0)</f>
        <v>37.96416</v>
      </c>
      <c r="DQ19" s="13">
        <f t="shared" si="43"/>
        <v>11.457417801534429</v>
      </c>
      <c r="DR19" s="20">
        <f t="shared" si="16"/>
        <v>86.075914671005776</v>
      </c>
      <c r="DS19" s="59">
        <f t="shared" si="17"/>
        <v>379.40924800433908</v>
      </c>
      <c r="DT19" s="59">
        <f ca="1">AVERAGE(OFFSET($DS$3,0,0,'Données projet'!$E$14+1,1))-AVERAGE(OFFSET($H$3,0,0,'Données projet'!$E$14+1,1))</f>
        <v>221.78186926953776</v>
      </c>
      <c r="DU19" s="59">
        <f t="shared" si="44"/>
        <v>276.69392352410654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1.2</v>
      </c>
      <c r="EJ19" s="12">
        <f>IF('Données projet'!$A$192&gt;35,EJ18+EI19-ER18,IF(A19&lt;'Données projet'!$A$192,$EG$205^A19,IF(A19='Données projet'!$A$192,'Données projet'!$B$192,EJ18+EI19-ER18)))</f>
        <v>8.8177463744060987</v>
      </c>
      <c r="EK19" s="17">
        <f>EJ19*VLOOKUP('Données projet'!$B$15,Paramètres!$A$1:$I$89,3,0)*VLOOKUP('Données projet'!$B$15,Paramètres!$A$1:$I$89,5,0)</f>
        <v>9.4914221974107242</v>
      </c>
      <c r="EL19" s="13">
        <f t="shared" si="45"/>
        <v>3.3660610972935361</v>
      </c>
      <c r="EM19" s="20">
        <f t="shared" si="19"/>
        <v>22.393450071609919</v>
      </c>
      <c r="EN19" s="59">
        <f t="shared" si="20"/>
        <v>315.72678340494326</v>
      </c>
      <c r="EO19" s="59">
        <f ca="1">AVERAGE(OFFSET($EN$3,0,0,'Données projet'!$E$15+1,1))-AVERAGE(OFFSET($H$3,0,0,'Données projet'!$E$15+1,1))</f>
        <v>219.76574638403434</v>
      </c>
      <c r="EP19" s="59">
        <f t="shared" si="46"/>
        <v>92.286636088269972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5.666666666666667</v>
      </c>
      <c r="FE19" s="12">
        <f>IF('Données projet'!$A$218&gt;35,FE18+FD19-FM18,IF(A19&lt;'Données projet'!$A$218,$FB$205^A19,IF(A19='Données projet'!$A$218,'Données projet'!$B$218,FE18+FD19-FM18)))</f>
        <v>15.472937028926689</v>
      </c>
      <c r="FF19" s="17">
        <f>FE19*VLOOKUP('Données projet'!$B$16,Paramètres!$A$1:$I$89,3,0)*VLOOKUP('Données projet'!$B$16,Paramètres!$A$1:$I$89,5,0)</f>
        <v>7.2413345295376894</v>
      </c>
      <c r="FG19" s="13">
        <f t="shared" si="47"/>
        <v>2.6502557759113361</v>
      </c>
      <c r="FH19" s="20">
        <f t="shared" si="22"/>
        <v>17.227853115323715</v>
      </c>
      <c r="FI19" s="59">
        <f t="shared" si="23"/>
        <v>310.56118644865705</v>
      </c>
      <c r="FJ19" s="59">
        <f ca="1">AVERAGE(OFFSET($FI$3,0,0,'Données projet'!$E$16+1,1))-AVERAGE(OFFSET($H$3,0,0,'Données projet'!$E$16+1,1))</f>
        <v>86.164294406232727</v>
      </c>
      <c r="FK19" s="59">
        <f t="shared" si="48"/>
        <v>138.91188401562334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150.21793637331223</v>
      </c>
      <c r="T20" s="59">
        <f t="shared" si="34"/>
        <v>364.59164590134486</v>
      </c>
      <c r="U20" s="15">
        <f>IF(ISNA(VLOOKUP(A20,'Données projet'!$A$35:$I$55,3,0)),0,VLOOKUP(A20,'Données projet'!$A$35:$I$55,3,0))</f>
        <v>5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0.18000000000000002</v>
      </c>
      <c r="X20" s="16">
        <f>IF(ISNA(VLOOKUP(A20,'Données projet'!$A$35:$I$55,6,0)),0%,VLOOKUP(A20,'Données projet'!$A$35:$I$55,6,0)*VLOOKUP('Données projet'!$B$9,Paramètres!$A$1:$I$89,7,0))</f>
        <v>0.15300000000000002</v>
      </c>
      <c r="Y20" s="16">
        <f>IF(ISNA(VLOOKUP(A20,'Données projet'!$A$35:$I$55,7,0)),0%,VLOOKUP(A20,'Données projet'!$A$35:$I$55,7,0))</f>
        <v>0.26</v>
      </c>
      <c r="Z20" s="21">
        <f>EXP(-LN(2)/35)*Z19+(1-EXP(-LN(2)/35))/(LN(2)/35)*V20*W20*VLOOKUP('Données projet'!$B$9,Paramètres!$A$1:$I$89,3,0)*0.475*44/12</f>
        <v>8.3386324328098915</v>
      </c>
      <c r="AA20" s="21">
        <f>EXP(-LN(2)/25)*AA19+(1-EXP(-LN(2)/25))/(LN(2)/25)*Calculateur!V20*Calculateur!X20*VLOOKUP('Données projet'!$B$9,Paramètres!$A$1:$I$89,3,0)*0.475*44/12</f>
        <v>9.9345028471680763</v>
      </c>
      <c r="AB20" s="21">
        <f>EXP(-LN(2)/2)*AB19+(1-EXP(-LN(2)/2))/(LN(2)/2)*V20*Y20*VLOOKUP('Données projet'!$B$9,Paramètres!$A$1:$I$89,3,0)*0.475*44/12</f>
        <v>8.9940212200738667</v>
      </c>
      <c r="AC20" s="22">
        <f t="shared" si="3"/>
        <v>27.267156500051833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1.2</v>
      </c>
      <c r="AI20" s="13">
        <f>IF('Données projet'!$A$62&gt;35,AI19+AH20-AQ19,IF(A20&lt;'Données projet'!$A$62,$AF$205^A20,IF(A20='Données projet'!$A$62,'Données projet'!$B$62,AI19+AH20-AQ19)))</f>
        <v>10.102816228956828</v>
      </c>
      <c r="AJ20" s="13">
        <f>AI20*VLOOKUP('Données projet'!$B$10,Paramètres!$A$1:$I$89,3,0)*VLOOKUP('Données projet'!$B$10,Paramètres!$A$1:$I$89,5,0)</f>
        <v>11.032275322020855</v>
      </c>
      <c r="AK20" s="13">
        <f t="shared" si="35"/>
        <v>3.8445980363428705</v>
      </c>
      <c r="AL20" s="20">
        <f t="shared" si="4"/>
        <v>25.910554432483483</v>
      </c>
      <c r="AM20" s="59">
        <f t="shared" si="5"/>
        <v>319.24388776581679</v>
      </c>
      <c r="AN20" s="59">
        <f ca="1">AVERAGE(OFFSET($AM$3,0,0,'Données projet'!$E$10+1,1))-AVERAGE(OFFSET($H$3,0,0,'Données projet'!$E$10+1,1))</f>
        <v>223.92539057016376</v>
      </c>
      <c r="AO20" s="59">
        <f t="shared" si="36"/>
        <v>94.125825809616856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1.2</v>
      </c>
      <c r="BD20" s="12">
        <f>IF('Données projet'!$A$88&gt;35,BD19+BC20-BL19,IF(A20&lt;'Données projet'!$A$88,$BA$205^A20,IF(A20='Données projet'!$A$88,'Données projet'!$B$88,BD19+BC20-BL19)))</f>
        <v>10.102816228956828</v>
      </c>
      <c r="BE20" s="13">
        <f>BD20*VLOOKUP('Données projet'!$B$11,Paramètres!$A$1:$I$89,3,0)*VLOOKUP('Données projet'!$B$11,Paramètres!$A$1:$I$89,5,0)</f>
        <v>11.505087121536034</v>
      </c>
      <c r="BF20" s="13">
        <f t="shared" si="37"/>
        <v>3.9898299937176129</v>
      </c>
      <c r="BG20" s="20">
        <f t="shared" si="7"/>
        <v>26.986980642400102</v>
      </c>
      <c r="BH20" s="59">
        <f t="shared" si="8"/>
        <v>320.32031397573343</v>
      </c>
      <c r="BI20" s="59">
        <f ca="1">AVERAGE(OFFSET($BH$3,0,0,'Données projet'!$E$11+1,1))-AVERAGE(OFFSET($H$3,0,0,'Données projet'!$E$11+1,1))</f>
        <v>236.39682613502913</v>
      </c>
      <c r="BJ20" s="59">
        <f t="shared" si="38"/>
        <v>99.639724892155641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1.2</v>
      </c>
      <c r="CT20" s="12">
        <f>IF('Données projet'!$A$140&gt;35,CT19+CS20-DB19,IF(A20&lt;'Données projet'!$A$140,$CQ$205^A20,IF(A20='Données projet'!$A$140,'Données projet'!$B$140,CT19+CS20-DB19)))</f>
        <v>10.102816228956828</v>
      </c>
      <c r="CU20" s="17">
        <f>CT20*VLOOKUP('Données projet'!$B$13,Paramètres!$A$1:$I$89,3,0)*VLOOKUP('Données projet'!$B$13,Paramètres!$A$1:$I$89,5,0)</f>
        <v>8.5106123912732325</v>
      </c>
      <c r="CV20" s="13">
        <f t="shared" si="41"/>
        <v>3.0567888307731366</v>
      </c>
      <c r="CW20" s="20">
        <f t="shared" si="13"/>
        <v>20.146557128397426</v>
      </c>
      <c r="CX20" s="59">
        <f t="shared" si="14"/>
        <v>313.47989046173075</v>
      </c>
      <c r="CY20" s="59">
        <f ca="1">AVERAGE(OFFSET($CX$3,0,0,'Données projet'!$E$13+1,1))-AVERAGE(OFFSET($H$3,0,0,'Données projet'!$E$13+1,1))</f>
        <v>157.20393815370375</v>
      </c>
      <c r="CZ20" s="59">
        <f t="shared" si="42"/>
        <v>64.616965816756363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13.8</v>
      </c>
      <c r="DO20" s="12">
        <f>IF('Données projet'!$A$166&gt;35,DO19+DN20-DW19,IF(A20&lt;'Données projet'!$A$166,$DL$205^A20,IF(A20='Données projet'!$A$166,'Données projet'!$B$166,DO19+DN20-DW19)))</f>
        <v>60.599999999999994</v>
      </c>
      <c r="DP20" s="17">
        <f>DO20*VLOOKUP('Données projet'!$B$14,Paramètres!$A$1:$I$89,3,0)*VLOOKUP('Données projet'!$B$14,Paramètres!$A$1:$I$89,5,0)</f>
        <v>49.158719999999995</v>
      </c>
      <c r="DQ20" s="13">
        <f t="shared" si="43"/>
        <v>14.396281334716242</v>
      </c>
      <c r="DR20" s="20">
        <f t="shared" si="16"/>
        <v>110.69162732463077</v>
      </c>
      <c r="DS20" s="59">
        <f t="shared" si="17"/>
        <v>404.02496065796407</v>
      </c>
      <c r="DT20" s="59">
        <f ca="1">AVERAGE(OFFSET($DS$3,0,0,'Données projet'!$E$14+1,1))-AVERAGE(OFFSET($H$3,0,0,'Données projet'!$E$14+1,1))</f>
        <v>221.78186926953776</v>
      </c>
      <c r="DU20" s="59">
        <f t="shared" si="44"/>
        <v>276.69392352410654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1.2</v>
      </c>
      <c r="EJ20" s="12">
        <f>IF('Données projet'!$A$192&gt;35,EJ19+EI20-ER19,IF(A20&lt;'Données projet'!$A$192,$EG$205^A20,IF(A20='Données projet'!$A$192,'Données projet'!$B$192,EJ19+EI20-ER19)))</f>
        <v>10.102816228956828</v>
      </c>
      <c r="EK20" s="17">
        <f>EJ20*VLOOKUP('Données projet'!$B$15,Paramètres!$A$1:$I$89,3,0)*VLOOKUP('Données projet'!$B$15,Paramètres!$A$1:$I$89,5,0)</f>
        <v>10.874671388849128</v>
      </c>
      <c r="EL20" s="13">
        <f t="shared" si="45"/>
        <v>3.7960276593470508</v>
      </c>
      <c r="EM20" s="20">
        <f t="shared" si="19"/>
        <v>25.551467508941673</v>
      </c>
      <c r="EN20" s="59">
        <f t="shared" si="20"/>
        <v>318.88480084227501</v>
      </c>
      <c r="EO20" s="59">
        <f ca="1">AVERAGE(OFFSET($EN$3,0,0,'Données projet'!$E$15+1,1))-AVERAGE(OFFSET($H$3,0,0,'Données projet'!$E$15+1,1))</f>
        <v>219.76574638403434</v>
      </c>
      <c r="EP20" s="59">
        <f t="shared" si="46"/>
        <v>92.286636088269972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5.666666666666667</v>
      </c>
      <c r="FE20" s="12">
        <f>IF('Données projet'!$A$218&gt;35,FE19+FD20-FM19,IF(A20&lt;'Données projet'!$A$218,$FB$205^A20,IF(A20='Données projet'!$A$218,'Données projet'!$B$218,FE19+FD20-FM19)))</f>
        <v>18.362045340858568</v>
      </c>
      <c r="FF20" s="17">
        <f>FE20*VLOOKUP('Données projet'!$B$16,Paramètres!$A$1:$I$89,3,0)*VLOOKUP('Données projet'!$B$16,Paramètres!$A$1:$I$89,5,0)</f>
        <v>8.5934372195218103</v>
      </c>
      <c r="FG20" s="13">
        <f t="shared" si="47"/>
        <v>3.0830597767046952</v>
      </c>
      <c r="FH20" s="20">
        <f t="shared" si="22"/>
        <v>20.336565601761166</v>
      </c>
      <c r="FI20" s="59">
        <f t="shared" si="23"/>
        <v>313.66989893509447</v>
      </c>
      <c r="FJ20" s="59">
        <f ca="1">AVERAGE(OFFSET($FI$3,0,0,'Données projet'!$E$16+1,1))-AVERAGE(OFFSET($H$3,0,0,'Données projet'!$E$16+1,1))</f>
        <v>86.164294406232727</v>
      </c>
      <c r="FK20" s="59">
        <f t="shared" si="48"/>
        <v>138.91188401562334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150.21793637331223</v>
      </c>
      <c r="T21" s="59">
        <f t="shared" si="34"/>
        <v>364.59164590134486</v>
      </c>
      <c r="U21" s="15">
        <f>IF(ISNA(VLOOKUP(A21,'Données projet'!$A$35:$I$55,3,0)),0,VLOOKUP(A21,'Données projet'!$A$35:$I$55,3,0))</f>
        <v>6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0.18000000000000002</v>
      </c>
      <c r="X21" s="16">
        <f>IF(ISNA(VLOOKUP(A21,'Données projet'!$A$35:$I$55,6,0)),0%,VLOOKUP(A21,'Données projet'!$A$35:$I$55,6,0)*VLOOKUP('Données projet'!$B$9,Paramètres!$A$1:$I$89,7,0))</f>
        <v>0.15300000000000002</v>
      </c>
      <c r="Y21" s="16">
        <f>IF(ISNA(VLOOKUP(A21,'Données projet'!$A$35:$I$55,7,0)),0%,VLOOKUP(A21,'Données projet'!$A$35:$I$55,7,0))</f>
        <v>0.26</v>
      </c>
      <c r="Z21" s="21">
        <f>EXP(-LN(2)/35)*Z20+(1-EXP(-LN(2)/35))/(LN(2)/35)*V21*W21*VLOOKUP('Données projet'!$B$9,Paramètres!$A$1:$I$89,3,0)*0.475*44/12</f>
        <v>8.1751169368660666</v>
      </c>
      <c r="AA21" s="21">
        <f>EXP(-LN(2)/25)*AA20+(1-EXP(-LN(2)/25))/(LN(2)/25)*Calculateur!V21*Calculateur!X21*VLOOKUP('Données projet'!$B$9,Paramètres!$A$1:$I$89,3,0)*0.475*44/12</f>
        <v>9.6628433443794659</v>
      </c>
      <c r="AB21" s="21">
        <f>EXP(-LN(2)/2)*AB20+(1-EXP(-LN(2)/2))/(LN(2)/2)*V21*Y21*VLOOKUP('Données projet'!$B$9,Paramètres!$A$1:$I$89,3,0)*0.475*44/12</f>
        <v>6.359733394849937</v>
      </c>
      <c r="AC21" s="22">
        <f t="shared" si="3"/>
        <v>24.197693676095469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1.2</v>
      </c>
      <c r="AI21" s="13">
        <f>IF('Données projet'!$A$62&gt;35,AI20+AH21-AQ20,IF(A21&lt;'Données projet'!$A$62,$AF$205^A21,IF(A21='Données projet'!$A$62,'Données projet'!$B$62,AI20+AH21-AQ20)))</f>
        <v>11.575168010312384</v>
      </c>
      <c r="AJ21" s="13">
        <f>AI21*VLOOKUP('Données projet'!$B$10,Paramètres!$A$1:$I$89,3,0)*VLOOKUP('Données projet'!$B$10,Paramètres!$A$1:$I$89,5,0)</f>
        <v>12.640083467261123</v>
      </c>
      <c r="AK21" s="13">
        <f t="shared" si="35"/>
        <v>4.335690904946226</v>
      </c>
      <c r="AL21" s="20">
        <f t="shared" si="4"/>
        <v>29.566140364927794</v>
      </c>
      <c r="AM21" s="59">
        <f t="shared" si="5"/>
        <v>322.89947369826109</v>
      </c>
      <c r="AN21" s="59">
        <f ca="1">AVERAGE(OFFSET($AM$3,0,0,'Données projet'!$E$10+1,1))-AVERAGE(OFFSET($H$3,0,0,'Données projet'!$E$10+1,1))</f>
        <v>223.92539057016376</v>
      </c>
      <c r="AO21" s="59">
        <f t="shared" si="36"/>
        <v>94.125825809616856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1.2</v>
      </c>
      <c r="BD21" s="12">
        <f>IF('Données projet'!$A$88&gt;35,BD20+BC21-BL20,IF(A21&lt;'Données projet'!$A$88,$BA$205^A21,IF(A21='Données projet'!$A$88,'Données projet'!$B$88,BD20+BC21-BL20)))</f>
        <v>11.575168010312384</v>
      </c>
      <c r="BE21" s="13">
        <f>BD21*VLOOKUP('Données projet'!$B$11,Paramètres!$A$1:$I$89,3,0)*VLOOKUP('Données projet'!$B$11,Paramètres!$A$1:$I$89,5,0)</f>
        <v>13.181801330143742</v>
      </c>
      <c r="BF21" s="13">
        <f t="shared" si="37"/>
        <v>4.4994741849523159</v>
      </c>
      <c r="BG21" s="20">
        <f t="shared" si="7"/>
        <v>30.794888188792299</v>
      </c>
      <c r="BH21" s="59">
        <f t="shared" si="8"/>
        <v>324.12822152212561</v>
      </c>
      <c r="BI21" s="59">
        <f ca="1">AVERAGE(OFFSET($BH$3,0,0,'Données projet'!$E$11+1,1))-AVERAGE(OFFSET($H$3,0,0,'Données projet'!$E$11+1,1))</f>
        <v>236.39682613502913</v>
      </c>
      <c r="BJ21" s="59">
        <f t="shared" si="38"/>
        <v>99.639724892155641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1.2</v>
      </c>
      <c r="CT21" s="12">
        <f>IF('Données projet'!$A$140&gt;35,CT20+CS21-DB20,IF(A21&lt;'Données projet'!$A$140,$CQ$205^A21,IF(A21='Données projet'!$A$140,'Données projet'!$B$140,CT20+CS21-DB20)))</f>
        <v>11.575168010312384</v>
      </c>
      <c r="CU21" s="17">
        <f>CT21*VLOOKUP('Données projet'!$B$13,Paramètres!$A$1:$I$89,3,0)*VLOOKUP('Données projet'!$B$13,Paramètres!$A$1:$I$89,5,0)</f>
        <v>9.7509215318871529</v>
      </c>
      <c r="CV21" s="13">
        <f t="shared" si="41"/>
        <v>3.4472502473968221</v>
      </c>
      <c r="CW21" s="20">
        <f t="shared" si="13"/>
        <v>22.986815848919587</v>
      </c>
      <c r="CX21" s="59">
        <f t="shared" si="14"/>
        <v>316.32014918225292</v>
      </c>
      <c r="CY21" s="59">
        <f ca="1">AVERAGE(OFFSET($CX$3,0,0,'Données projet'!$E$13+1,1))-AVERAGE(OFFSET($H$3,0,0,'Données projet'!$E$13+1,1))</f>
        <v>157.20393815370375</v>
      </c>
      <c r="CZ21" s="59">
        <f t="shared" si="42"/>
        <v>64.616965816756363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13.8</v>
      </c>
      <c r="DO21" s="12">
        <f>IF('Données projet'!$A$166&gt;35,DO20+DN21-DW20,IF(A21&lt;'Données projet'!$A$166,$DL$205^A21,IF(A21='Données projet'!$A$166,'Données projet'!$B$166,DO20+DN21-DW20)))</f>
        <v>74.399999999999991</v>
      </c>
      <c r="DP21" s="17">
        <f>DO21*VLOOKUP('Données projet'!$B$14,Paramètres!$A$1:$I$89,3,0)*VLOOKUP('Données projet'!$B$14,Paramètres!$A$1:$I$89,5,0)</f>
        <v>60.353279999999998</v>
      </c>
      <c r="DQ21" s="13">
        <f t="shared" si="43"/>
        <v>17.257558739100197</v>
      </c>
      <c r="DR21" s="20">
        <f t="shared" si="16"/>
        <v>135.17221080393281</v>
      </c>
      <c r="DS21" s="59">
        <f t="shared" si="17"/>
        <v>428.50554413726616</v>
      </c>
      <c r="DT21" s="59">
        <f ca="1">AVERAGE(OFFSET($DS$3,0,0,'Données projet'!$E$14+1,1))-AVERAGE(OFFSET($H$3,0,0,'Données projet'!$E$14+1,1))</f>
        <v>221.78186926953776</v>
      </c>
      <c r="DU21" s="59">
        <f t="shared" si="44"/>
        <v>276.69392352410654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1.2</v>
      </c>
      <c r="EJ21" s="12">
        <f>IF('Données projet'!$A$192&gt;35,EJ20+EI21-ER20,IF(A21&lt;'Données projet'!$A$192,$EG$205^A21,IF(A21='Données projet'!$A$192,'Données projet'!$B$192,EJ20+EI21-ER20)))</f>
        <v>11.575168010312384</v>
      </c>
      <c r="EK21" s="17">
        <f>EJ21*VLOOKUP('Données projet'!$B$15,Paramètres!$A$1:$I$89,3,0)*VLOOKUP('Données projet'!$B$15,Paramètres!$A$1:$I$89,5,0)</f>
        <v>12.459510846300249</v>
      </c>
      <c r="EL21" s="13">
        <f t="shared" si="45"/>
        <v>4.2809163511957635</v>
      </c>
      <c r="EM21" s="20">
        <f t="shared" si="19"/>
        <v>29.156244035638881</v>
      </c>
      <c r="EN21" s="59">
        <f t="shared" si="20"/>
        <v>322.48957736897222</v>
      </c>
      <c r="EO21" s="59">
        <f ca="1">AVERAGE(OFFSET($EN$3,0,0,'Données projet'!$E$15+1,1))-AVERAGE(OFFSET($H$3,0,0,'Données projet'!$E$15+1,1))</f>
        <v>219.76574638403434</v>
      </c>
      <c r="EP21" s="59">
        <f t="shared" si="46"/>
        <v>92.286636088269972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5.666666666666667</v>
      </c>
      <c r="FE21" s="12">
        <f>IF('Données projet'!$A$218&gt;35,FE20+FD21-FM20,IF(A21&lt;'Données projet'!$A$218,$FB$205^A21,IF(A21='Données projet'!$A$218,'Données projet'!$B$218,FE20+FD21-FM20)))</f>
        <v>21.790608238721305</v>
      </c>
      <c r="FF21" s="17">
        <f>FE21*VLOOKUP('Données projet'!$B$16,Paramètres!$A$1:$I$89,3,0)*VLOOKUP('Données projet'!$B$16,Paramètres!$A$1:$I$89,5,0)</f>
        <v>10.19800465572157</v>
      </c>
      <c r="FG21" s="13">
        <f t="shared" si="47"/>
        <v>3.5865434850211249</v>
      </c>
      <c r="FH21" s="20">
        <f t="shared" si="22"/>
        <v>24.008088011793529</v>
      </c>
      <c r="FI21" s="59">
        <f t="shared" si="23"/>
        <v>317.34142134512683</v>
      </c>
      <c r="FJ21" s="59">
        <f ca="1">AVERAGE(OFFSET($FI$3,0,0,'Données projet'!$E$16+1,1))-AVERAGE(OFFSET($H$3,0,0,'Données projet'!$E$16+1,1))</f>
        <v>86.164294406232727</v>
      </c>
      <c r="FK21" s="59">
        <f t="shared" si="48"/>
        <v>138.91188401562334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20.333333333333332</v>
      </c>
      <c r="N22" s="13">
        <f>IF('Données projet'!$A$36&gt;35,N21+M22-V21,IF(A22&lt;'Données projet'!$A$36,$K$205^A22,IF(A22='Données projet'!$A$36,'Données projet'!$B$36,N21+M22-V21)))</f>
        <v>171.33333333333334</v>
      </c>
      <c r="O22" s="13">
        <f>N22*VLOOKUP('Données projet'!$B$9,Paramètres!$A$1:$I$89,3,0)*VLOOKUP('Données projet'!$B$9,Paramètres!$A$1:$I$89,5,0)</f>
        <v>102.45733333333335</v>
      </c>
      <c r="P22" s="13">
        <f t="shared" si="33"/>
        <v>27.546593630300897</v>
      </c>
      <c r="Q22" s="20">
        <f t="shared" si="2"/>
        <v>226.42350612832965</v>
      </c>
      <c r="R22" s="59">
        <f t="shared" si="0"/>
        <v>519.75683946166293</v>
      </c>
      <c r="S22" s="59">
        <f ca="1">AVERAGE(OFFSET($R$3,0,0,'Données projet'!$E$9+1,1))-AVERAGE(OFFSET($H$3,0,0,'Données projet'!$E$9+1,1))</f>
        <v>150.21793637331223</v>
      </c>
      <c r="T22" s="59">
        <f t="shared" si="34"/>
        <v>364.59164590134486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8.0148078800630955</v>
      </c>
      <c r="AA22" s="21">
        <f>EXP(-LN(2)/25)*AA21+(1-EXP(-LN(2)/25))/(LN(2)/25)*Calculateur!V22*Calculateur!X22*VLOOKUP('Données projet'!$B$9,Paramètres!$A$1:$I$89,3,0)*0.475*44/12</f>
        <v>9.398612384980563</v>
      </c>
      <c r="AB22" s="21">
        <f>EXP(-LN(2)/2)*AB21+(1-EXP(-LN(2)/2))/(LN(2)/2)*V22*Y22*VLOOKUP('Données projet'!$B$9,Paramètres!$A$1:$I$89,3,0)*0.475*44/12</f>
        <v>4.4970106100369334</v>
      </c>
      <c r="AC22" s="22">
        <f t="shared" si="3"/>
        <v>21.910430875080593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1.2</v>
      </c>
      <c r="AI22" s="13">
        <f>IF('Données projet'!$A$62&gt;35,AI21+AH22-AQ21,IF(A22&lt;'Données projet'!$A$62,$AF$205^A22,IF(A22='Données projet'!$A$62,'Données projet'!$B$62,AI21+AH22-AQ21)))</f>
        <v>13.262095581124292</v>
      </c>
      <c r="AJ22" s="13">
        <f>AI22*VLOOKUP('Données projet'!$B$10,Paramètres!$A$1:$I$89,3,0)*VLOOKUP('Données projet'!$B$10,Paramètres!$A$1:$I$89,5,0)</f>
        <v>14.482208374587726</v>
      </c>
      <c r="AK22" s="13">
        <f t="shared" si="35"/>
        <v>4.8895139220106891</v>
      </c>
      <c r="AL22" s="20">
        <f t="shared" si="4"/>
        <v>33.739082999908902</v>
      </c>
      <c r="AM22" s="59">
        <f t="shared" si="5"/>
        <v>327.07241633324224</v>
      </c>
      <c r="AN22" s="59">
        <f ca="1">AVERAGE(OFFSET($AM$3,0,0,'Données projet'!$E$10+1,1))-AVERAGE(OFFSET($H$3,0,0,'Données projet'!$E$10+1,1))</f>
        <v>223.92539057016376</v>
      </c>
      <c r="AO22" s="59">
        <f t="shared" si="36"/>
        <v>94.125825809616856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1.2</v>
      </c>
      <c r="BD22" s="12">
        <f>IF('Données projet'!$A$88&gt;35,BD21+BC22-BL21,IF(A22&lt;'Données projet'!$A$88,$BA$205^A22,IF(A22='Données projet'!$A$88,'Données projet'!$B$88,BD21+BC22-BL21)))</f>
        <v>13.262095581124292</v>
      </c>
      <c r="BE22" s="13">
        <f>BD22*VLOOKUP('Données projet'!$B$11,Paramètres!$A$1:$I$89,3,0)*VLOOKUP('Données projet'!$B$11,Paramètres!$A$1:$I$89,5,0)</f>
        <v>15.102874447784345</v>
      </c>
      <c r="BF22" s="13">
        <f t="shared" si="37"/>
        <v>5.074218192988301</v>
      </c>
      <c r="BG22" s="20">
        <f t="shared" si="7"/>
        <v>35.141769682679019</v>
      </c>
      <c r="BH22" s="59">
        <f t="shared" si="8"/>
        <v>328.47510301601233</v>
      </c>
      <c r="BI22" s="59">
        <f ca="1">AVERAGE(OFFSET($BH$3,0,0,'Données projet'!$E$11+1,1))-AVERAGE(OFFSET($H$3,0,0,'Données projet'!$E$11+1,1))</f>
        <v>236.39682613502913</v>
      </c>
      <c r="BJ22" s="59">
        <f t="shared" si="38"/>
        <v>99.639724892155641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1.2</v>
      </c>
      <c r="CT22" s="12">
        <f>IF('Données projet'!$A$140&gt;35,CT21+CS22-DB21,IF(A22&lt;'Données projet'!$A$140,$CQ$205^A22,IF(A22='Données projet'!$A$140,'Données projet'!$B$140,CT21+CS22-DB21)))</f>
        <v>13.262095581124292</v>
      </c>
      <c r="CU22" s="17">
        <f>CT22*VLOOKUP('Données projet'!$B$13,Paramètres!$A$1:$I$89,3,0)*VLOOKUP('Données projet'!$B$13,Paramètres!$A$1:$I$89,5,0)</f>
        <v>11.171989317539104</v>
      </c>
      <c r="CV22" s="13">
        <f t="shared" si="41"/>
        <v>3.8875875718152941</v>
      </c>
      <c r="CW22" s="20">
        <f t="shared" si="13"/>
        <v>26.228763082292243</v>
      </c>
      <c r="CX22" s="59">
        <f t="shared" si="14"/>
        <v>319.56209641562555</v>
      </c>
      <c r="CY22" s="59">
        <f ca="1">AVERAGE(OFFSET($CX$3,0,0,'Données projet'!$E$13+1,1))-AVERAGE(OFFSET($H$3,0,0,'Données projet'!$E$13+1,1))</f>
        <v>157.20393815370375</v>
      </c>
      <c r="CZ22" s="59">
        <f t="shared" si="42"/>
        <v>64.616965816756363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13.8</v>
      </c>
      <c r="DO22" s="12">
        <f>IF('Données projet'!$A$166&gt;35,DO21+DN22-DW21,IF(A22&lt;'Données projet'!$A$166,$DL$205^A22,IF(A22='Données projet'!$A$166,'Données projet'!$B$166,DO21+DN22-DW21)))</f>
        <v>88.199999999999989</v>
      </c>
      <c r="DP22" s="17">
        <f>DO22*VLOOKUP('Données projet'!$B$14,Paramètres!$A$1:$I$89,3,0)*VLOOKUP('Données projet'!$B$14,Paramètres!$A$1:$I$89,5,0)</f>
        <v>71.547839999999994</v>
      </c>
      <c r="DQ22" s="13">
        <f t="shared" si="43"/>
        <v>20.05735014974319</v>
      </c>
      <c r="DR22" s="20">
        <f t="shared" si="16"/>
        <v>159.54570617746938</v>
      </c>
      <c r="DS22" s="59">
        <f t="shared" si="17"/>
        <v>452.87903951080273</v>
      </c>
      <c r="DT22" s="59">
        <f ca="1">AVERAGE(OFFSET($DS$3,0,0,'Données projet'!$E$14+1,1))-AVERAGE(OFFSET($H$3,0,0,'Données projet'!$E$14+1,1))</f>
        <v>221.78186926953776</v>
      </c>
      <c r="DU22" s="59">
        <f t="shared" si="44"/>
        <v>276.69392352410654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1.2</v>
      </c>
      <c r="EJ22" s="12">
        <f>IF('Données projet'!$A$192&gt;35,EJ21+EI22-ER21,IF(A22&lt;'Données projet'!$A$192,$EG$205^A22,IF(A22='Données projet'!$A$192,'Données projet'!$B$192,EJ21+EI22-ER21)))</f>
        <v>13.262095581124292</v>
      </c>
      <c r="EK22" s="17">
        <f>EJ22*VLOOKUP('Données projet'!$B$15,Paramètres!$A$1:$I$89,3,0)*VLOOKUP('Données projet'!$B$15,Paramètres!$A$1:$I$89,5,0)</f>
        <v>14.275319683522188</v>
      </c>
      <c r="EL22" s="13">
        <f t="shared" si="45"/>
        <v>4.8277426959232219</v>
      </c>
      <c r="EM22" s="20">
        <f t="shared" si="19"/>
        <v>33.271166977534087</v>
      </c>
      <c r="EN22" s="59">
        <f t="shared" si="20"/>
        <v>326.60450031086742</v>
      </c>
      <c r="EO22" s="59">
        <f ca="1">AVERAGE(OFFSET($EN$3,0,0,'Données projet'!$E$15+1,1))-AVERAGE(OFFSET($H$3,0,0,'Données projet'!$E$15+1,1))</f>
        <v>219.76574638403434</v>
      </c>
      <c r="EP22" s="59">
        <f t="shared" si="46"/>
        <v>92.286636088269972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5.666666666666667</v>
      </c>
      <c r="FE22" s="12">
        <f>IF('Données projet'!$A$218&gt;35,FE21+FD22-FM21,IF(A22&lt;'Données projet'!$A$218,$FB$205^A22,IF(A22='Données projet'!$A$218,'Données projet'!$B$218,FE21+FD22-FM21)))</f>
        <v>25.859352735441334</v>
      </c>
      <c r="FF22" s="17">
        <f>FE22*VLOOKUP('Données projet'!$B$16,Paramètres!$A$1:$I$89,3,0)*VLOOKUP('Données projet'!$B$16,Paramètres!$A$1:$I$89,5,0)</f>
        <v>12.102177080186545</v>
      </c>
      <c r="FG22" s="13">
        <f t="shared" si="47"/>
        <v>4.1722493566752403</v>
      </c>
      <c r="FH22" s="20">
        <f t="shared" si="22"/>
        <v>28.34462604420094</v>
      </c>
      <c r="FI22" s="59">
        <f t="shared" si="23"/>
        <v>321.67795937753425</v>
      </c>
      <c r="FJ22" s="59">
        <f ca="1">AVERAGE(OFFSET($FI$3,0,0,'Données projet'!$E$16+1,1))-AVERAGE(OFFSET($H$3,0,0,'Données projet'!$E$16+1,1))</f>
        <v>86.164294406232727</v>
      </c>
      <c r="FK22" s="59">
        <f t="shared" si="48"/>
        <v>138.91188401562334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20.333333333333332</v>
      </c>
      <c r="N23" s="13">
        <f>IF('Données projet'!$A$36&gt;35,N22+M23-V22,IF(A23&lt;'Données projet'!$A$36,$K$205^A23,IF(A23='Données projet'!$A$36,'Données projet'!$B$36,N22+M23-V22)))</f>
        <v>191.66666666666669</v>
      </c>
      <c r="O23" s="13">
        <f>N23*VLOOKUP('Données projet'!$B$9,Paramètres!$A$1:$I$89,3,0)*VLOOKUP('Données projet'!$B$9,Paramètres!$A$1:$I$89,5,0)</f>
        <v>114.61666666666669</v>
      </c>
      <c r="P23" s="13">
        <f t="shared" si="33"/>
        <v>30.416090935382968</v>
      </c>
      <c r="Q23" s="20">
        <f t="shared" si="2"/>
        <v>252.59871949023648</v>
      </c>
      <c r="R23" s="59">
        <f t="shared" si="0"/>
        <v>545.93205282356985</v>
      </c>
      <c r="S23" s="59">
        <f ca="1">AVERAGE(OFFSET($R$3,0,0,'Données projet'!$E$9+1,1))-AVERAGE(OFFSET($H$3,0,0,'Données projet'!$E$9+1,1))</f>
        <v>150.21793637331223</v>
      </c>
      <c r="T23" s="59">
        <f t="shared" si="34"/>
        <v>364.59164590134486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7.8576423860851605</v>
      </c>
      <c r="AA23" s="21">
        <f>EXP(-LN(2)/25)*AA22+(1-EXP(-LN(2)/25))/(LN(2)/25)*Calculateur!V23*Calculateur!X23*VLOOKUP('Données projet'!$B$9,Paramètres!$A$1:$I$89,3,0)*0.475*44/12</f>
        <v>9.1416068350617241</v>
      </c>
      <c r="AB23" s="21">
        <f>EXP(-LN(2)/2)*AB22+(1-EXP(-LN(2)/2))/(LN(2)/2)*V23*Y23*VLOOKUP('Données projet'!$B$9,Paramètres!$A$1:$I$89,3,0)*0.475*44/12</f>
        <v>3.1798666974249685</v>
      </c>
      <c r="AC23" s="22">
        <f t="shared" si="3"/>
        <v>20.179115918571853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1.2</v>
      </c>
      <c r="AI23" s="13">
        <f>IF('Données projet'!$A$62&gt;35,AI22+AH23-AQ22,IF(A23&lt;'Données projet'!$A$62,$AF$205^A23,IF(A23='Données projet'!$A$62,'Données projet'!$B$62,AI22+AH23-AQ22)))</f>
        <v>15.194870523363559</v>
      </c>
      <c r="AJ23" s="13">
        <f>AI23*VLOOKUP('Données projet'!$B$10,Paramètres!$A$1:$I$89,3,0)*VLOOKUP('Données projet'!$B$10,Paramètres!$A$1:$I$89,5,0)</f>
        <v>16.592798611513004</v>
      </c>
      <c r="AK23" s="13">
        <f t="shared" si="35"/>
        <v>5.5140799742579558</v>
      </c>
      <c r="AL23" s="20">
        <f t="shared" si="4"/>
        <v>38.502813536884425</v>
      </c>
      <c r="AM23" s="59">
        <f t="shared" si="5"/>
        <v>331.83614687021776</v>
      </c>
      <c r="AN23" s="59">
        <f ca="1">AVERAGE(OFFSET($AM$3,0,0,'Données projet'!$E$10+1,1))-AVERAGE(OFFSET($H$3,0,0,'Données projet'!$E$10+1,1))</f>
        <v>223.92539057016376</v>
      </c>
      <c r="AO23" s="59">
        <f t="shared" si="36"/>
        <v>94.125825809616856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1.2</v>
      </c>
      <c r="BD23" s="12">
        <f>IF('Données projet'!$A$88&gt;35,BD22+BC23-BL22,IF(A23&lt;'Données projet'!$A$88,$BA$205^A23,IF(A23='Données projet'!$A$88,'Données projet'!$B$88,BD22+BC23-BL22)))</f>
        <v>15.194870523363559</v>
      </c>
      <c r="BE23" s="13">
        <f>BD23*VLOOKUP('Données projet'!$B$11,Paramètres!$A$1:$I$89,3,0)*VLOOKUP('Données projet'!$B$11,Paramètres!$A$1:$I$89,5,0)</f>
        <v>17.303918552006422</v>
      </c>
      <c r="BF23" s="13">
        <f t="shared" si="37"/>
        <v>5.7223775960671075</v>
      </c>
      <c r="BG23" s="20">
        <f t="shared" si="7"/>
        <v>40.104132457894728</v>
      </c>
      <c r="BH23" s="59">
        <f t="shared" si="8"/>
        <v>333.43746579122802</v>
      </c>
      <c r="BI23" s="59">
        <f ca="1">AVERAGE(OFFSET($BH$3,0,0,'Données projet'!$E$11+1,1))-AVERAGE(OFFSET($H$3,0,0,'Données projet'!$E$11+1,1))</f>
        <v>236.39682613502913</v>
      </c>
      <c r="BJ23" s="59">
        <f t="shared" si="38"/>
        <v>99.639724892155641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1.2</v>
      </c>
      <c r="CT23" s="12">
        <f>IF('Données projet'!$A$140&gt;35,CT22+CS23-DB22,IF(A23&lt;'Données projet'!$A$140,$CQ$205^A23,IF(A23='Données projet'!$A$140,'Données projet'!$B$140,CT22+CS23-DB22)))</f>
        <v>15.194870523363559</v>
      </c>
      <c r="CU23" s="17">
        <f>CT23*VLOOKUP('Données projet'!$B$13,Paramètres!$A$1:$I$89,3,0)*VLOOKUP('Données projet'!$B$13,Paramètres!$A$1:$I$89,5,0)</f>
        <v>12.800158928881464</v>
      </c>
      <c r="CV23" s="13">
        <f t="shared" si="41"/>
        <v>4.3841717438255339</v>
      </c>
      <c r="CW23" s="20">
        <f t="shared" si="13"/>
        <v>29.929375921631351</v>
      </c>
      <c r="CX23" s="59">
        <f t="shared" si="14"/>
        <v>323.26270925496465</v>
      </c>
      <c r="CY23" s="59">
        <f ca="1">AVERAGE(OFFSET($CX$3,0,0,'Données projet'!$E$13+1,1))-AVERAGE(OFFSET($H$3,0,0,'Données projet'!$E$13+1,1))</f>
        <v>157.20393815370375</v>
      </c>
      <c r="CZ23" s="59">
        <f t="shared" si="42"/>
        <v>64.616965816756363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102</v>
      </c>
      <c r="DM23" s="12">
        <f>VLOOKUP(A23,'Données projet'!$A$165:$I$185,9,0)</f>
        <v>13.8</v>
      </c>
      <c r="DN23" s="12">
        <f t="array" ref="DN23">INDEX(DM:DM,MIN(IF(ISNUMBER(DM23:DM219),ROW(DM23:DM219),"")))</f>
        <v>13.8</v>
      </c>
      <c r="DO23" s="12">
        <f>IF('Données projet'!$A$166&gt;35,DO22+DN23-DW22,IF(A23&lt;'Données projet'!$A$166,$DL$205^A23,IF(A23='Données projet'!$A$166,'Données projet'!$B$166,DO22+DN23-DW22)))</f>
        <v>101.99999999999999</v>
      </c>
      <c r="DP23" s="17">
        <f>DO23*VLOOKUP('Données projet'!$B$14,Paramètres!$A$1:$I$89,3,0)*VLOOKUP('Données projet'!$B$14,Paramètres!$A$1:$I$89,5,0)</f>
        <v>82.742399999999989</v>
      </c>
      <c r="DQ23" s="13">
        <f t="shared" si="43"/>
        <v>22.806394174303204</v>
      </c>
      <c r="DR23" s="20">
        <f t="shared" si="16"/>
        <v>183.83081652024472</v>
      </c>
      <c r="DS23" s="59">
        <f t="shared" si="17"/>
        <v>477.16414985357801</v>
      </c>
      <c r="DT23" s="59">
        <f ca="1">AVERAGE(OFFSET($DS$3,0,0,'Données projet'!$E$14+1,1))-AVERAGE(OFFSET($H$3,0,0,'Données projet'!$E$14+1,1))</f>
        <v>221.78186926953776</v>
      </c>
      <c r="DU23" s="59">
        <f t="shared" si="44"/>
        <v>276.69392352410654</v>
      </c>
      <c r="DV23" s="15">
        <f>IF(ISNA(VLOOKUP(A23,'Données projet'!$A$165:$I$185,3,0)),0,VLOOKUP(A23,'Données projet'!$A$165:$I$185,3,0))</f>
        <v>3</v>
      </c>
      <c r="DW23" s="15">
        <f>IF(ISNA(VLOOKUP(A23,'Données projet'!$A$165:$I$185,4,0)),0,VLOOKUP(A23,'Données projet'!$A$165:$I$185,4,0))</f>
        <v>35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1.2</v>
      </c>
      <c r="EJ23" s="12">
        <f>IF('Données projet'!$A$192&gt;35,EJ22+EI23-ER22,IF(A23&lt;'Données projet'!$A$192,$EG$205^A23,IF(A23='Données projet'!$A$192,'Données projet'!$B$192,EJ22+EI23-ER22)))</f>
        <v>15.194870523363559</v>
      </c>
      <c r="EK23" s="17">
        <f>EJ23*VLOOKUP('Données projet'!$B$15,Paramètres!$A$1:$I$89,3,0)*VLOOKUP('Données projet'!$B$15,Paramètres!$A$1:$I$89,5,0)</f>
        <v>16.355758631348532</v>
      </c>
      <c r="EL23" s="13">
        <f t="shared" si="45"/>
        <v>5.4444183501809773</v>
      </c>
      <c r="EM23" s="20">
        <f t="shared" si="19"/>
        <v>37.968641576163897</v>
      </c>
      <c r="EN23" s="59">
        <f t="shared" si="20"/>
        <v>331.30197490949723</v>
      </c>
      <c r="EO23" s="59">
        <f ca="1">AVERAGE(OFFSET($EN$3,0,0,'Données projet'!$E$15+1,1))-AVERAGE(OFFSET($H$3,0,0,'Données projet'!$E$15+1,1))</f>
        <v>219.76574638403434</v>
      </c>
      <c r="EP23" s="59">
        <f t="shared" si="46"/>
        <v>92.286636088269972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5.666666666666667</v>
      </c>
      <c r="FE23" s="12">
        <f>IF('Données projet'!$A$218&gt;35,FE22+FD23-FM22,IF(A23&lt;'Données projet'!$A$218,$FB$205^A23,IF(A23='Données projet'!$A$218,'Données projet'!$B$218,FE22+FD23-FM22)))</f>
        <v>30.68781360162793</v>
      </c>
      <c r="FF23" s="17">
        <f>FE23*VLOOKUP('Données projet'!$B$16,Paramètres!$A$1:$I$89,3,0)*VLOOKUP('Données projet'!$B$16,Paramètres!$A$1:$I$89,5,0)</f>
        <v>14.361896765561871</v>
      </c>
      <c r="FG23" s="13">
        <f t="shared" si="47"/>
        <v>4.8536048055679508</v>
      </c>
      <c r="FH23" s="20">
        <f t="shared" si="22"/>
        <v>33.466998569717767</v>
      </c>
      <c r="FI23" s="59">
        <f t="shared" si="23"/>
        <v>326.80033190305107</v>
      </c>
      <c r="FJ23" s="59">
        <f ca="1">AVERAGE(OFFSET($FI$3,0,0,'Données projet'!$E$16+1,1))-AVERAGE(OFFSET($H$3,0,0,'Données projet'!$E$16+1,1))</f>
        <v>86.164294406232727</v>
      </c>
      <c r="FK23" s="59">
        <f t="shared" si="48"/>
        <v>138.91188401562334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20.333333333333332</v>
      </c>
      <c r="M24" s="12">
        <f t="array" ref="M24">INDEX(L:L,MIN(IF(ISNUMBER(L24:L220),ROW(L24:L220),"")))</f>
        <v>20.333333333333332</v>
      </c>
      <c r="N24" s="13">
        <f>IF('Données projet'!$A$36&gt;35,N23+M24-V23,IF(A24&lt;'Données projet'!$A$36,$K$205^A24,IF(A24='Données projet'!$A$36,'Données projet'!$B$36,N23+M24-V23)))</f>
        <v>212.00000000000003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150.21793637331223</v>
      </c>
      <c r="T24" s="59">
        <f t="shared" si="34"/>
        <v>364.59164590134486</v>
      </c>
      <c r="U24" s="15">
        <f>IF(ISNA(VLOOKUP(A24,'Données projet'!$A$35:$I$55,3,0)),0,VLOOKUP(A24,'Données projet'!$A$35:$I$55,3,0))</f>
        <v>7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0.315</v>
      </c>
      <c r="X24" s="16">
        <f>IF(ISNA(VLOOKUP(A24,'Données projet'!$A$35:$I$55,6,0)),0%,VLOOKUP(A24,'Données projet'!$A$35:$I$55,6,0)*VLOOKUP('Données projet'!$B$9,Paramètres!$A$1:$I$89,7,0))</f>
        <v>9.9000000000000005E-2</v>
      </c>
      <c r="Y24" s="16">
        <f>IF(ISNA(VLOOKUP(A24,'Données projet'!$A$35:$I$55,7,0)),0%,VLOOKUP(A24,'Données projet'!$A$35:$I$55,7,0))</f>
        <v>0.18</v>
      </c>
      <c r="Z24" s="21">
        <f>EXP(-LN(2)/35)*Z23+(1-EXP(-LN(2)/35))/(LN(2)/35)*V24*W24*VLOOKUP('Données projet'!$B$9,Paramètres!$A$1:$I$89,3,0)*0.475*44/12</f>
        <v>7.7035588115826474</v>
      </c>
      <c r="AA24" s="21">
        <f>EXP(-LN(2)/25)*AA23+(1-EXP(-LN(2)/25))/(LN(2)/25)*Calculateur!V24*Calculateur!X24*VLOOKUP('Données projet'!$B$9,Paramètres!$A$1:$I$89,3,0)*0.475*44/12</f>
        <v>8.8916291154207521</v>
      </c>
      <c r="AB24" s="21">
        <f>EXP(-LN(2)/2)*AB23+(1-EXP(-LN(2)/2))/(LN(2)/2)*V24*Y24*VLOOKUP('Données projet'!$B$9,Paramètres!$A$1:$I$89,3,0)*0.475*44/12</f>
        <v>2.2485053050184667</v>
      </c>
      <c r="AC24" s="22">
        <f t="shared" si="3"/>
        <v>18.843693232021867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1.2</v>
      </c>
      <c r="AI24" s="13">
        <f>IF('Données projet'!$A$62&gt;35,AI23+AH24-AQ23,IF(A24&lt;'Données projet'!$A$62,$AF$205^A24,IF(A24='Données projet'!$A$62,'Données projet'!$B$62,AI23+AH24-AQ23)))</f>
        <v>17.409321838276906</v>
      </c>
      <c r="AJ24" s="13">
        <f>AI24*VLOOKUP('Données projet'!$B$10,Paramètres!$A$1:$I$89,3,0)*VLOOKUP('Données projet'!$B$10,Paramètres!$A$1:$I$89,5,0)</f>
        <v>19.01097944739838</v>
      </c>
      <c r="AK24" s="13">
        <f t="shared" si="35"/>
        <v>6.2184254810362249</v>
      </c>
      <c r="AL24" s="20">
        <f t="shared" si="4"/>
        <v>43.941213583690264</v>
      </c>
      <c r="AM24" s="59">
        <f t="shared" si="5"/>
        <v>337.2745469170236</v>
      </c>
      <c r="AN24" s="59">
        <f ca="1">AVERAGE(OFFSET($AM$3,0,0,'Données projet'!$E$10+1,1))-AVERAGE(OFFSET($H$3,0,0,'Données projet'!$E$10+1,1))</f>
        <v>223.92539057016376</v>
      </c>
      <c r="AO24" s="59">
        <f t="shared" si="36"/>
        <v>94.125825809616856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1.2</v>
      </c>
      <c r="BD24" s="12">
        <f>IF('Données projet'!$A$88&gt;35,BD23+BC24-BL23,IF(A24&lt;'Données projet'!$A$88,$BA$205^A24,IF(A24='Données projet'!$A$88,'Données projet'!$B$88,BD23+BC24-BL23)))</f>
        <v>17.409321838276906</v>
      </c>
      <c r="BE24" s="13">
        <f>BD24*VLOOKUP('Données projet'!$B$11,Paramètres!$A$1:$I$89,3,0)*VLOOKUP('Données projet'!$B$11,Paramètres!$A$1:$I$89,5,0)</f>
        <v>19.82573570942974</v>
      </c>
      <c r="BF24" s="13">
        <f t="shared" si="37"/>
        <v>6.4533301696051613</v>
      </c>
      <c r="BG24" s="20">
        <f t="shared" si="7"/>
        <v>45.769373072652449</v>
      </c>
      <c r="BH24" s="59">
        <f t="shared" si="8"/>
        <v>339.10270640598577</v>
      </c>
      <c r="BI24" s="59">
        <f ca="1">AVERAGE(OFFSET($BH$3,0,0,'Données projet'!$E$11+1,1))-AVERAGE(OFFSET($H$3,0,0,'Données projet'!$E$11+1,1))</f>
        <v>236.39682613502913</v>
      </c>
      <c r="BJ24" s="59">
        <f t="shared" si="38"/>
        <v>99.639724892155641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1.2</v>
      </c>
      <c r="CT24" s="12">
        <f>IF('Données projet'!$A$140&gt;35,CT23+CS24-DB23,IF(A24&lt;'Données projet'!$A$140,$CQ$205^A24,IF(A24='Données projet'!$A$140,'Données projet'!$B$140,CT23+CS24-DB23)))</f>
        <v>17.409321838276906</v>
      </c>
      <c r="CU24" s="17">
        <f>CT24*VLOOKUP('Données projet'!$B$13,Paramètres!$A$1:$I$89,3,0)*VLOOKUP('Données projet'!$B$13,Paramètres!$A$1:$I$89,5,0)</f>
        <v>14.665612716564468</v>
      </c>
      <c r="CV24" s="13">
        <f t="shared" si="41"/>
        <v>4.9441875004202354</v>
      </c>
      <c r="CW24" s="20">
        <f t="shared" si="13"/>
        <v>34.153735377915019</v>
      </c>
      <c r="CX24" s="59">
        <f t="shared" si="14"/>
        <v>327.48706871124836</v>
      </c>
      <c r="CY24" s="59">
        <f ca="1">AVERAGE(OFFSET($CX$3,0,0,'Données projet'!$E$13+1,1))-AVERAGE(OFFSET($H$3,0,0,'Données projet'!$E$13+1,1))</f>
        <v>157.20393815370375</v>
      </c>
      <c r="CZ24" s="59">
        <f t="shared" si="42"/>
        <v>64.616965816756363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14.8</v>
      </c>
      <c r="DO24" s="12">
        <f>IF('Données projet'!$A$166&gt;35,DO23+DN24-DW23,IF(A24&lt;'Données projet'!$A$166,$DL$205^A24,IF(A24='Données projet'!$A$166,'Données projet'!$B$166,DO23+DN24-DW23)))</f>
        <v>81.799999999999983</v>
      </c>
      <c r="DP24" s="17">
        <f>DO24*VLOOKUP('Données projet'!$B$14,Paramètres!$A$1:$I$89,3,0)*VLOOKUP('Données projet'!$B$14,Paramètres!$A$1:$I$89,5,0)</f>
        <v>66.356159999999988</v>
      </c>
      <c r="DQ24" s="13">
        <f t="shared" si="43"/>
        <v>18.765767596743419</v>
      </c>
      <c r="DR24" s="20">
        <f t="shared" si="16"/>
        <v>148.25402389766143</v>
      </c>
      <c r="DS24" s="59">
        <f t="shared" si="17"/>
        <v>441.58735723099471</v>
      </c>
      <c r="DT24" s="59">
        <f ca="1">AVERAGE(OFFSET($DS$3,0,0,'Données projet'!$E$14+1,1))-AVERAGE(OFFSET($H$3,0,0,'Données projet'!$E$14+1,1))</f>
        <v>221.78186926953776</v>
      </c>
      <c r="DU24" s="59">
        <f t="shared" si="44"/>
        <v>276.69392352410654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1.2</v>
      </c>
      <c r="EJ24" s="12">
        <f>IF('Données projet'!$A$192&gt;35,EJ23+EI24-ER23,IF(A24&lt;'Données projet'!$A$192,$EG$205^A24,IF(A24='Données projet'!$A$192,'Données projet'!$B$192,EJ23+EI24-ER23)))</f>
        <v>17.409321838276906</v>
      </c>
      <c r="EK24" s="17">
        <f>EJ24*VLOOKUP('Données projet'!$B$15,Paramètres!$A$1:$I$89,3,0)*VLOOKUP('Données projet'!$B$15,Paramètres!$A$1:$I$89,5,0)</f>
        <v>18.739394026721261</v>
      </c>
      <c r="EL24" s="13">
        <f t="shared" si="45"/>
        <v>6.1398655725414359</v>
      </c>
      <c r="EM24" s="20">
        <f t="shared" si="19"/>
        <v>43.331377135382525</v>
      </c>
      <c r="EN24" s="59">
        <f t="shared" si="20"/>
        <v>336.66471046871584</v>
      </c>
      <c r="EO24" s="59">
        <f ca="1">AVERAGE(OFFSET($EN$3,0,0,'Données projet'!$E$15+1,1))-AVERAGE(OFFSET($H$3,0,0,'Données projet'!$E$15+1,1))</f>
        <v>219.76574638403434</v>
      </c>
      <c r="EP24" s="59">
        <f t="shared" si="46"/>
        <v>92.286636088269972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5.666666666666667</v>
      </c>
      <c r="FE24" s="12">
        <f>IF('Données projet'!$A$218&gt;35,FE23+FD24-FM23,IF(A24&lt;'Données projet'!$A$218,$FB$205^A24,IF(A24='Données projet'!$A$218,'Données projet'!$B$218,FE23+FD24-FM23)))</f>
        <v>36.417845151923039</v>
      </c>
      <c r="FF24" s="17">
        <f>FE24*VLOOKUP('Données projet'!$B$16,Paramètres!$A$1:$I$89,3,0)*VLOOKUP('Données projet'!$B$16,Paramètres!$A$1:$I$89,5,0)</f>
        <v>17.043551531099983</v>
      </c>
      <c r="FG24" s="13">
        <f t="shared" si="47"/>
        <v>5.6462300295983905</v>
      </c>
      <c r="FH24" s="20">
        <f t="shared" si="22"/>
        <v>39.518036218216324</v>
      </c>
      <c r="FI24" s="59">
        <f t="shared" si="23"/>
        <v>332.85136955154962</v>
      </c>
      <c r="FJ24" s="59">
        <f ca="1">AVERAGE(OFFSET($FI$3,0,0,'Données projet'!$E$16+1,1))-AVERAGE(OFFSET($H$3,0,0,'Données projet'!$E$16+1,1))</f>
        <v>86.164294406232727</v>
      </c>
      <c r="FK24" s="59">
        <f t="shared" si="48"/>
        <v>138.91188401562334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232.00000000000003</v>
      </c>
      <c r="O25" s="13">
        <f>N25*VLOOKUP('Données projet'!$B$9,Paramètres!$A$1:$I$89,3,0)*VLOOKUP('Données projet'!$B$9,Paramètres!$A$1:$I$89,5,0)</f>
        <v>138.73600000000002</v>
      </c>
      <c r="P25" s="13">
        <f t="shared" si="33"/>
        <v>36.007288175538044</v>
      </c>
      <c r="Q25" s="20">
        <f t="shared" si="2"/>
        <v>304.3445602390621</v>
      </c>
      <c r="R25" s="59">
        <f t="shared" si="0"/>
        <v>597.67789357239542</v>
      </c>
      <c r="S25" s="59">
        <f ca="1">AVERAGE(OFFSET($R$3,0,0,'Données projet'!$E$9+1,1))-AVERAGE(OFFSET($H$3,0,0,'Données projet'!$E$9+1,1))</f>
        <v>150.21793637331223</v>
      </c>
      <c r="T25" s="59">
        <f t="shared" si="34"/>
        <v>364.59164590134486</v>
      </c>
      <c r="U25" s="15">
        <f>IF(ISNA(VLOOKUP(A25,'Données projet'!$A$35:$I$55,3,0)),0,VLOOKUP(A25,'Données projet'!$A$35:$I$55,3,0))</f>
        <v>8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0.315</v>
      </c>
      <c r="X25" s="16">
        <f>IF(ISNA(VLOOKUP(A25,'Données projet'!$A$35:$I$55,6,0)),0%,VLOOKUP(A25,'Données projet'!$A$35:$I$55,6,0)*VLOOKUP('Données projet'!$B$9,Paramètres!$A$1:$I$89,7,0))</f>
        <v>9.9000000000000005E-2</v>
      </c>
      <c r="Y25" s="16">
        <f>IF(ISNA(VLOOKUP(A25,'Données projet'!$A$35:$I$55,7,0)),0%,VLOOKUP(A25,'Données projet'!$A$35:$I$55,7,0))</f>
        <v>0.18</v>
      </c>
      <c r="Z25" s="21">
        <f>EXP(-LN(2)/35)*Z24+(1-EXP(-LN(2)/35))/(LN(2)/35)*V25*W25*VLOOKUP('Données projet'!$B$9,Paramètres!$A$1:$I$89,3,0)*0.475*44/12</f>
        <v>21.546053724378616</v>
      </c>
      <c r="AA25" s="21">
        <f>EXP(-LN(2)/25)*AA24+(1-EXP(-LN(2)/25))/(LN(2)/25)*Calculateur!V25*Calculateur!X25*VLOOKUP('Données projet'!$B$9,Paramètres!$A$1:$I$89,3,0)*0.475*44/12</f>
        <v>13.029145603998494</v>
      </c>
      <c r="AB25" s="21">
        <f>EXP(-LN(2)/2)*AB24+(1-EXP(-LN(2)/2))/(LN(2)/2)*V25*Y25*VLOOKUP('Données projet'!$B$9,Paramètres!$A$1:$I$89,3,0)*0.475*44/12</f>
        <v>8.4148484810344168</v>
      </c>
      <c r="AC25" s="22">
        <f t="shared" si="3"/>
        <v>42.990047809411529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1.2</v>
      </c>
      <c r="AI25" s="13">
        <f>IF('Données projet'!$A$62&gt;35,AI24+AH25-AQ24,IF(A25&lt;'Données projet'!$A$62,$AF$205^A25,IF(A25='Données projet'!$A$62,'Données projet'!$B$62,AI24+AH25-AQ24)))</f>
        <v>19.946500129940819</v>
      </c>
      <c r="AJ25" s="13">
        <f>AI25*VLOOKUP('Données projet'!$B$10,Paramètres!$A$1:$I$89,3,0)*VLOOKUP('Données projet'!$B$10,Paramètres!$A$1:$I$89,5,0)</f>
        <v>21.781578141895373</v>
      </c>
      <c r="AK25" s="13">
        <f t="shared" si="35"/>
        <v>7.0127411360957543</v>
      </c>
      <c r="AL25" s="20">
        <f t="shared" si="4"/>
        <v>50.150106075834543</v>
      </c>
      <c r="AM25" s="59">
        <f t="shared" si="5"/>
        <v>343.48343940916789</v>
      </c>
      <c r="AN25" s="59">
        <f ca="1">AVERAGE(OFFSET($AM$3,0,0,'Données projet'!$E$10+1,1))-AVERAGE(OFFSET($H$3,0,0,'Données projet'!$E$10+1,1))</f>
        <v>223.92539057016376</v>
      </c>
      <c r="AO25" s="59">
        <f t="shared" si="36"/>
        <v>94.125825809616856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1.2</v>
      </c>
      <c r="BD25" s="12">
        <f>IF('Données projet'!$A$88&gt;35,BD24+BC25-BL24,IF(A25&lt;'Données projet'!$A$88,$BA$205^A25,IF(A25='Données projet'!$A$88,'Données projet'!$B$88,BD24+BC25-BL24)))</f>
        <v>19.946500129940819</v>
      </c>
      <c r="BE25" s="13">
        <f>BD25*VLOOKUP('Données projet'!$B$11,Paramètres!$A$1:$I$89,3,0)*VLOOKUP('Données projet'!$B$11,Paramètres!$A$1:$I$89,5,0)</f>
        <v>22.715074347976607</v>
      </c>
      <c r="BF25" s="13">
        <f t="shared" si="37"/>
        <v>7.2776515668169814</v>
      </c>
      <c r="BG25" s="20">
        <f t="shared" si="7"/>
        <v>52.237330968265496</v>
      </c>
      <c r="BH25" s="59">
        <f t="shared" si="8"/>
        <v>345.57066430159881</v>
      </c>
      <c r="BI25" s="59">
        <f ca="1">AVERAGE(OFFSET($BH$3,0,0,'Données projet'!$E$11+1,1))-AVERAGE(OFFSET($H$3,0,0,'Données projet'!$E$11+1,1))</f>
        <v>236.39682613502913</v>
      </c>
      <c r="BJ25" s="59">
        <f t="shared" si="38"/>
        <v>99.639724892155641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1.2</v>
      </c>
      <c r="CT25" s="12">
        <f>IF('Données projet'!$A$140&gt;35,CT24+CS25-DB24,IF(A25&lt;'Données projet'!$A$140,$CQ$205^A25,IF(A25='Données projet'!$A$140,'Données projet'!$B$140,CT24+CS25-DB24)))</f>
        <v>19.946500129940819</v>
      </c>
      <c r="CU25" s="17">
        <f>CT25*VLOOKUP('Données projet'!$B$13,Paramètres!$A$1:$I$89,3,0)*VLOOKUP('Données projet'!$B$13,Paramètres!$A$1:$I$89,5,0)</f>
        <v>16.80293170946215</v>
      </c>
      <c r="CV25" s="13">
        <f t="shared" si="41"/>
        <v>5.5757373268369097</v>
      </c>
      <c r="CW25" s="20">
        <f t="shared" si="13"/>
        <v>38.976181904887525</v>
      </c>
      <c r="CX25" s="59">
        <f t="shared" si="14"/>
        <v>332.30951523822085</v>
      </c>
      <c r="CY25" s="59">
        <f ca="1">AVERAGE(OFFSET($CX$3,0,0,'Données projet'!$E$13+1,1))-AVERAGE(OFFSET($H$3,0,0,'Données projet'!$E$13+1,1))</f>
        <v>157.20393815370375</v>
      </c>
      <c r="CZ25" s="59">
        <f t="shared" si="42"/>
        <v>64.616965816756363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14.8</v>
      </c>
      <c r="DO25" s="12">
        <f>IF('Données projet'!$A$166&gt;35,DO24+DN25-DW24,IF(A25&lt;'Données projet'!$A$166,$DL$205^A25,IF(A25='Données projet'!$A$166,'Données projet'!$B$166,DO24+DN25-DW24)))</f>
        <v>96.59999999999998</v>
      </c>
      <c r="DP25" s="17">
        <f>DO25*VLOOKUP('Données projet'!$B$14,Paramètres!$A$1:$I$89,3,0)*VLOOKUP('Données projet'!$B$14,Paramètres!$A$1:$I$89,5,0)</f>
        <v>78.361919999999984</v>
      </c>
      <c r="DQ25" s="13">
        <f t="shared" si="43"/>
        <v>21.736184076066191</v>
      </c>
      <c r="DR25" s="20">
        <f t="shared" si="16"/>
        <v>174.33753126581527</v>
      </c>
      <c r="DS25" s="59">
        <f t="shared" si="17"/>
        <v>467.67086459914856</v>
      </c>
      <c r="DT25" s="59">
        <f ca="1">AVERAGE(OFFSET($DS$3,0,0,'Données projet'!$E$14+1,1))-AVERAGE(OFFSET($H$3,0,0,'Données projet'!$E$14+1,1))</f>
        <v>221.78186926953776</v>
      </c>
      <c r="DU25" s="59">
        <f t="shared" si="44"/>
        <v>276.69392352410654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1.2</v>
      </c>
      <c r="EJ25" s="12">
        <f>IF('Données projet'!$A$192&gt;35,EJ24+EI25-ER24,IF(A25&lt;'Données projet'!$A$192,$EG$205^A25,IF(A25='Données projet'!$A$192,'Données projet'!$B$192,EJ24+EI25-ER24)))</f>
        <v>19.946500129940819</v>
      </c>
      <c r="EK25" s="17">
        <f>EJ25*VLOOKUP('Données projet'!$B$15,Paramètres!$A$1:$I$89,3,0)*VLOOKUP('Données projet'!$B$15,Paramètres!$A$1:$I$89,5,0)</f>
        <v>21.470412739868298</v>
      </c>
      <c r="EL25" s="13">
        <f t="shared" si="45"/>
        <v>6.9241463135591816</v>
      </c>
      <c r="EM25" s="20">
        <f t="shared" si="19"/>
        <v>49.453857018052851</v>
      </c>
      <c r="EN25" s="59">
        <f t="shared" si="20"/>
        <v>342.78719035138619</v>
      </c>
      <c r="EO25" s="59">
        <f ca="1">AVERAGE(OFFSET($EN$3,0,0,'Données projet'!$E$15+1,1))-AVERAGE(OFFSET($H$3,0,0,'Données projet'!$E$15+1,1))</f>
        <v>219.76574638403434</v>
      </c>
      <c r="EP25" s="59">
        <f t="shared" si="46"/>
        <v>92.286636088269972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5.666666666666667</v>
      </c>
      <c r="FE25" s="12">
        <f>IF('Données projet'!$A$218&gt;35,FE24+FD25-FM24,IF(A25&lt;'Données projet'!$A$218,$FB$205^A25,IF(A25='Données projet'!$A$218,'Données projet'!$B$218,FE24+FD25-FM24)))</f>
        <v>43.217788752441109</v>
      </c>
      <c r="FF25" s="17">
        <f>FE25*VLOOKUP('Données projet'!$B$16,Paramètres!$A$1:$I$89,3,0)*VLOOKUP('Données projet'!$B$16,Paramètres!$A$1:$I$89,5,0)</f>
        <v>20.22592513614244</v>
      </c>
      <c r="FG25" s="13">
        <f t="shared" si="47"/>
        <v>6.5682961065488277</v>
      </c>
      <c r="FH25" s="20">
        <f t="shared" si="22"/>
        <v>46.666601997687287</v>
      </c>
      <c r="FI25" s="59">
        <f t="shared" si="23"/>
        <v>339.99993533102059</v>
      </c>
      <c r="FJ25" s="59">
        <f ca="1">AVERAGE(OFFSET($FI$3,0,0,'Données projet'!$E$16+1,1))-AVERAGE(OFFSET($H$3,0,0,'Données projet'!$E$16+1,1))</f>
        <v>86.164294406232727</v>
      </c>
      <c r="FK25" s="59">
        <f t="shared" si="48"/>
        <v>138.91188401562334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192.00000000000003</v>
      </c>
      <c r="O26" s="13">
        <f>N26*VLOOKUP('Données projet'!$B$9,Paramètres!$A$1:$I$89,3,0)*VLOOKUP('Données projet'!$B$9,Paramètres!$A$1:$I$89,5,0)</f>
        <v>114.81600000000003</v>
      </c>
      <c r="P26" s="13">
        <f t="shared" si="33"/>
        <v>30.462826482209856</v>
      </c>
      <c r="Q26" s="20">
        <f t="shared" si="2"/>
        <v>253.02728945651555</v>
      </c>
      <c r="R26" s="59">
        <f t="shared" si="0"/>
        <v>546.36062278984889</v>
      </c>
      <c r="S26" s="59">
        <f ca="1">AVERAGE(OFFSET($R$3,0,0,'Données projet'!$E$9+1,1))-AVERAGE(OFFSET($H$3,0,0,'Données projet'!$E$9+1,1))</f>
        <v>150.21793637331223</v>
      </c>
      <c r="T26" s="59">
        <f t="shared" si="34"/>
        <v>364.59164590134486</v>
      </c>
      <c r="U26" s="15">
        <f>IF(ISNA(VLOOKUP(A26,'Données projet'!$A$35:$I$55,3,0)),0,VLOOKUP(A26,'Données projet'!$A$35:$I$55,3,0))</f>
        <v>9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0.315</v>
      </c>
      <c r="X26" s="16">
        <f>IF(ISNA(VLOOKUP(A26,'Données projet'!$A$35:$I$55,6,0)),0%,VLOOKUP(A26,'Données projet'!$A$35:$I$55,6,0)*VLOOKUP('Données projet'!$B$9,Paramètres!$A$1:$I$89,7,0))</f>
        <v>9.9000000000000005E-2</v>
      </c>
      <c r="Y26" s="16">
        <f>IF(ISNA(VLOOKUP(A26,'Données projet'!$A$35:$I$55,7,0)),0%,VLOOKUP(A26,'Données projet'!$A$35:$I$55,7,0))</f>
        <v>0.18</v>
      </c>
      <c r="Z26" s="21">
        <f>EXP(-LN(2)/35)*Z25+(1-EXP(-LN(2)/35))/(LN(2)/35)*V26*W26*VLOOKUP('Données projet'!$B$9,Paramètres!$A$1:$I$89,3,0)*0.475*44/12</f>
        <v>21.12354875263868</v>
      </c>
      <c r="AA26" s="21">
        <f>EXP(-LN(2)/25)*AA25+(1-EXP(-LN(2)/25))/(LN(2)/25)*Calculateur!V26*Calculateur!X26*VLOOKUP('Données projet'!$B$9,Paramètres!$A$1:$I$89,3,0)*0.475*44/12</f>
        <v>12.672862932284167</v>
      </c>
      <c r="AB26" s="21">
        <f>EXP(-LN(2)/2)*AB25+(1-EXP(-LN(2)/2))/(LN(2)/2)*V26*Y26*VLOOKUP('Données projet'!$B$9,Paramètres!$A$1:$I$89,3,0)*0.475*44/12</f>
        <v>5.9501964235967559</v>
      </c>
      <c r="AC26" s="22">
        <f t="shared" si="3"/>
        <v>39.746608108519602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1.2</v>
      </c>
      <c r="AI26" s="13">
        <f>IF('Données projet'!$A$62&gt;35,AI25+AH26-AQ25,IF(A26&lt;'Données projet'!$A$62,$AF$205^A26,IF(A26='Données projet'!$A$62,'Données projet'!$B$62,AI25+AH26-AQ25)))</f>
        <v>22.853438584779923</v>
      </c>
      <c r="AJ26" s="13">
        <f>AI26*VLOOKUP('Données projet'!$B$10,Paramètres!$A$1:$I$89,3,0)*VLOOKUP('Données projet'!$B$10,Paramètres!$A$1:$I$89,5,0)</f>
        <v>24.955954934579676</v>
      </c>
      <c r="AK26" s="13">
        <f t="shared" si="35"/>
        <v>7.9085193497718969</v>
      </c>
      <c r="AL26" s="20">
        <f t="shared" si="4"/>
        <v>57.238959378578983</v>
      </c>
      <c r="AM26" s="59">
        <f t="shared" si="5"/>
        <v>350.57229271191227</v>
      </c>
      <c r="AN26" s="59">
        <f ca="1">AVERAGE(OFFSET($AM$3,0,0,'Données projet'!$E$10+1,1))-AVERAGE(OFFSET($H$3,0,0,'Données projet'!$E$10+1,1))</f>
        <v>223.92539057016376</v>
      </c>
      <c r="AO26" s="59">
        <f t="shared" si="36"/>
        <v>94.125825809616856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1.2</v>
      </c>
      <c r="BD26" s="12">
        <f>IF('Données projet'!$A$88&gt;35,BD25+BC26-BL25,IF(A26&lt;'Données projet'!$A$88,$BA$205^A26,IF(A26='Données projet'!$A$88,'Données projet'!$B$88,BD25+BC26-BL25)))</f>
        <v>22.853438584779923</v>
      </c>
      <c r="BE26" s="13">
        <f>BD26*VLOOKUP('Données projet'!$B$11,Paramètres!$A$1:$I$89,3,0)*VLOOKUP('Données projet'!$B$11,Paramètres!$A$1:$I$89,5,0)</f>
        <v>26.025495860347377</v>
      </c>
      <c r="BF26" s="13">
        <f t="shared" si="37"/>
        <v>8.2072683306135854</v>
      </c>
      <c r="BG26" s="20">
        <f t="shared" si="7"/>
        <v>59.622064299257012</v>
      </c>
      <c r="BH26" s="59">
        <f t="shared" si="8"/>
        <v>352.95539763259035</v>
      </c>
      <c r="BI26" s="59">
        <f ca="1">AVERAGE(OFFSET($BH$3,0,0,'Données projet'!$E$11+1,1))-AVERAGE(OFFSET($H$3,0,0,'Données projet'!$E$11+1,1))</f>
        <v>236.39682613502913</v>
      </c>
      <c r="BJ26" s="59">
        <f t="shared" si="38"/>
        <v>99.639724892155641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1.2</v>
      </c>
      <c r="CT26" s="12">
        <f>IF('Données projet'!$A$140&gt;35,CT25+CS26-DB25,IF(A26&lt;'Données projet'!$A$140,$CQ$205^A26,IF(A26='Données projet'!$A$140,'Données projet'!$B$140,CT25+CS26-DB25)))</f>
        <v>22.853438584779923</v>
      </c>
      <c r="CU26" s="17">
        <f>CT26*VLOOKUP('Données projet'!$B$13,Paramètres!$A$1:$I$89,3,0)*VLOOKUP('Données projet'!$B$13,Paramètres!$A$1:$I$89,5,0)</f>
        <v>19.251736663818608</v>
      </c>
      <c r="CV26" s="13">
        <f t="shared" si="41"/>
        <v>6.2879586858791194</v>
      </c>
      <c r="CW26" s="20">
        <f t="shared" si="13"/>
        <v>44.481636067390205</v>
      </c>
      <c r="CX26" s="59">
        <f t="shared" si="14"/>
        <v>337.8149694007235</v>
      </c>
      <c r="CY26" s="59">
        <f ca="1">AVERAGE(OFFSET($CX$3,0,0,'Données projet'!$E$13+1,1))-AVERAGE(OFFSET($H$3,0,0,'Données projet'!$E$13+1,1))</f>
        <v>157.20393815370375</v>
      </c>
      <c r="CZ26" s="59">
        <f t="shared" si="42"/>
        <v>64.616965816756363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14.8</v>
      </c>
      <c r="DO26" s="12">
        <f>IF('Données projet'!$A$166&gt;35,DO25+DN26-DW25,IF(A26&lt;'Données projet'!$A$166,$DL$205^A26,IF(A26='Données projet'!$A$166,'Données projet'!$B$166,DO25+DN26-DW25)))</f>
        <v>111.39999999999998</v>
      </c>
      <c r="DP26" s="17">
        <f>DO26*VLOOKUP('Données projet'!$B$14,Paramètres!$A$1:$I$89,3,0)*VLOOKUP('Données projet'!$B$14,Paramètres!$A$1:$I$89,5,0)</f>
        <v>90.367679999999993</v>
      </c>
      <c r="DQ26" s="13">
        <f t="shared" si="43"/>
        <v>24.653879504109455</v>
      </c>
      <c r="DR26" s="20">
        <f t="shared" si="16"/>
        <v>200.32921613632394</v>
      </c>
      <c r="DS26" s="59">
        <f t="shared" si="17"/>
        <v>493.66254946965728</v>
      </c>
      <c r="DT26" s="59">
        <f ca="1">AVERAGE(OFFSET($DS$3,0,0,'Données projet'!$E$14+1,1))-AVERAGE(OFFSET($H$3,0,0,'Données projet'!$E$14+1,1))</f>
        <v>221.78186926953776</v>
      </c>
      <c r="DU26" s="59">
        <f t="shared" si="44"/>
        <v>276.69392352410654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1.2</v>
      </c>
      <c r="EJ26" s="12">
        <f>IF('Données projet'!$A$192&gt;35,EJ25+EI26-ER25,IF(A26&lt;'Données projet'!$A$192,$EG$205^A26,IF(A26='Données projet'!$A$192,'Données projet'!$B$192,EJ25+EI26-ER25)))</f>
        <v>22.853438584779923</v>
      </c>
      <c r="EK26" s="17">
        <f>EJ26*VLOOKUP('Données projet'!$B$15,Paramètres!$A$1:$I$89,3,0)*VLOOKUP('Données projet'!$B$15,Paramètres!$A$1:$I$89,5,0)</f>
        <v>24.599441292657108</v>
      </c>
      <c r="EL26" s="13">
        <f t="shared" si="45"/>
        <v>7.808607795256683</v>
      </c>
      <c r="EM26" s="20">
        <f t="shared" si="19"/>
        <v>56.444018828116505</v>
      </c>
      <c r="EN26" s="59">
        <f t="shared" si="20"/>
        <v>349.77735216144981</v>
      </c>
      <c r="EO26" s="59">
        <f ca="1">AVERAGE(OFFSET($EN$3,0,0,'Données projet'!$E$15+1,1))-AVERAGE(OFFSET($H$3,0,0,'Données projet'!$E$15+1,1))</f>
        <v>219.76574638403434</v>
      </c>
      <c r="EP26" s="59">
        <f t="shared" si="46"/>
        <v>92.286636088269972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5.666666666666667</v>
      </c>
      <c r="FE26" s="12">
        <f>IF('Données projet'!$A$218&gt;35,FE25+FD26-FM25,IF(A26&lt;'Données projet'!$A$218,$FB$205^A26,IF(A26='Données projet'!$A$218,'Données projet'!$B$218,FE25+FD26-FM25)))</f>
        <v>51.287418485604626</v>
      </c>
      <c r="FF26" s="17">
        <f>FE26*VLOOKUP('Données projet'!$B$16,Paramètres!$A$1:$I$89,3,0)*VLOOKUP('Données projet'!$B$16,Paramètres!$A$1:$I$89,5,0)</f>
        <v>24.002511851262966</v>
      </c>
      <c r="FG26" s="13">
        <f t="shared" si="47"/>
        <v>7.6409415693559897</v>
      </c>
      <c r="FH26" s="20">
        <f t="shared" si="22"/>
        <v>55.112348040911343</v>
      </c>
      <c r="FI26" s="59">
        <f t="shared" si="23"/>
        <v>348.44568137424466</v>
      </c>
      <c r="FJ26" s="59">
        <f ca="1">AVERAGE(OFFSET($FI$3,0,0,'Données projet'!$E$16+1,1))-AVERAGE(OFFSET($H$3,0,0,'Données projet'!$E$16+1,1))</f>
        <v>86.164294406232727</v>
      </c>
      <c r="FK26" s="59">
        <f t="shared" si="48"/>
        <v>138.91188401562334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17.333333333333332</v>
      </c>
      <c r="N27" s="13">
        <f>IF('Données projet'!$A$36&gt;35,N26+M27-V26,IF(A27&lt;'Données projet'!$A$36,$K$205^A27,IF(A27='Données projet'!$A$36,'Données projet'!$B$36,N26+M27-V26)))</f>
        <v>209.33333333333337</v>
      </c>
      <c r="O27" s="13">
        <f>N27*VLOOKUP('Données projet'!$B$9,Paramètres!$A$1:$I$89,3,0)*VLOOKUP('Données projet'!$B$9,Paramètres!$A$1:$I$89,5,0)</f>
        <v>125.18133333333336</v>
      </c>
      <c r="P27" s="13">
        <f t="shared" si="33"/>
        <v>32.880471118482241</v>
      </c>
      <c r="Q27" s="20">
        <f t="shared" si="2"/>
        <v>275.29097608691217</v>
      </c>
      <c r="R27" s="59">
        <f t="shared" si="0"/>
        <v>568.62430942024548</v>
      </c>
      <c r="S27" s="59">
        <f ca="1">AVERAGE(OFFSET($R$3,0,0,'Données projet'!$E$9+1,1))-AVERAGE(OFFSET($H$3,0,0,'Données projet'!$E$9+1,1))</f>
        <v>150.21793637331223</v>
      </c>
      <c r="T27" s="59">
        <f t="shared" si="34"/>
        <v>364.59164590134486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20.709328845691974</v>
      </c>
      <c r="AA27" s="21">
        <f>EXP(-LN(2)/25)*AA26+(1-EXP(-LN(2)/25))/(LN(2)/25)*Calculateur!V27*Calculateur!X27*VLOOKUP('Données projet'!$B$9,Paramètres!$A$1:$I$89,3,0)*0.475*44/12</f>
        <v>12.326322828963958</v>
      </c>
      <c r="AB27" s="21">
        <f>EXP(-LN(2)/2)*AB26+(1-EXP(-LN(2)/2))/(LN(2)/2)*V27*Y27*VLOOKUP('Données projet'!$B$9,Paramètres!$A$1:$I$89,3,0)*0.475*44/12</f>
        <v>4.2074242405172093</v>
      </c>
      <c r="AC27" s="22">
        <f t="shared" si="3"/>
        <v>37.243075915173137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1.2</v>
      </c>
      <c r="AI27" s="13">
        <f>IF('Données projet'!$A$62&gt;35,AI26+AH27-AQ26,IF(A27&lt;'Données projet'!$A$62,$AF$205^A27,IF(A27='Données projet'!$A$62,'Données projet'!$B$62,AI26+AH27-AQ26)))</f>
        <v>26.184024853780567</v>
      </c>
      <c r="AJ27" s="13">
        <f>AI27*VLOOKUP('Données projet'!$B$10,Paramètres!$A$1:$I$89,3,0)*VLOOKUP('Données projet'!$B$10,Paramètres!$A$1:$I$89,5,0)</f>
        <v>28.592955140328378</v>
      </c>
      <c r="AK27" s="13">
        <f t="shared" si="35"/>
        <v>8.9187205248156847</v>
      </c>
      <c r="AL27" s="20">
        <f t="shared" si="4"/>
        <v>65.332835116792566</v>
      </c>
      <c r="AM27" s="59">
        <f t="shared" si="5"/>
        <v>358.66616845012589</v>
      </c>
      <c r="AN27" s="59">
        <f ca="1">AVERAGE(OFFSET($AM$3,0,0,'Données projet'!$E$10+1,1))-AVERAGE(OFFSET($H$3,0,0,'Données projet'!$E$10+1,1))</f>
        <v>223.92539057016376</v>
      </c>
      <c r="AO27" s="59">
        <f t="shared" si="36"/>
        <v>94.125825809616856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1.2</v>
      </c>
      <c r="BD27" s="12">
        <f>IF('Données projet'!$A$88&gt;35,BD26+BC27-BL26,IF(A27&lt;'Données projet'!$A$88,$BA$205^A27,IF(A27='Données projet'!$A$88,'Données projet'!$B$88,BD26+BC27-BL26)))</f>
        <v>26.184024853780567</v>
      </c>
      <c r="BE27" s="13">
        <f>BD27*VLOOKUP('Données projet'!$B$11,Paramètres!$A$1:$I$89,3,0)*VLOOKUP('Données projet'!$B$11,Paramètres!$A$1:$I$89,5,0)</f>
        <v>29.818367503485312</v>
      </c>
      <c r="BF27" s="13">
        <f t="shared" si="37"/>
        <v>9.255630450600643</v>
      </c>
      <c r="BG27" s="20">
        <f t="shared" si="7"/>
        <v>68.053879770033035</v>
      </c>
      <c r="BH27" s="59">
        <f t="shared" si="8"/>
        <v>361.38721310336632</v>
      </c>
      <c r="BI27" s="59">
        <f ca="1">AVERAGE(OFFSET($BH$3,0,0,'Données projet'!$E$11+1,1))-AVERAGE(OFFSET($H$3,0,0,'Données projet'!$E$11+1,1))</f>
        <v>236.39682613502913</v>
      </c>
      <c r="BJ27" s="59">
        <f t="shared" si="38"/>
        <v>99.639724892155641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1.2</v>
      </c>
      <c r="CT27" s="12">
        <f>IF('Données projet'!$A$140&gt;35,CT26+CS27-DB26,IF(A27&lt;'Données projet'!$A$140,$CQ$205^A27,IF(A27='Données projet'!$A$140,'Données projet'!$B$140,CT26+CS27-DB26)))</f>
        <v>26.184024853780567</v>
      </c>
      <c r="CU27" s="17">
        <f>CT27*VLOOKUP('Données projet'!$B$13,Paramètres!$A$1:$I$89,3,0)*VLOOKUP('Données projet'!$B$13,Paramètres!$A$1:$I$89,5,0)</f>
        <v>22.057422536824753</v>
      </c>
      <c r="CV27" s="13">
        <f t="shared" si="41"/>
        <v>7.0911562216207642</v>
      </c>
      <c r="CW27" s="20">
        <f t="shared" si="13"/>
        <v>50.767108004292602</v>
      </c>
      <c r="CX27" s="59">
        <f t="shared" si="14"/>
        <v>344.10044133762591</v>
      </c>
      <c r="CY27" s="59">
        <f ca="1">AVERAGE(OFFSET($CX$3,0,0,'Données projet'!$E$13+1,1))-AVERAGE(OFFSET($H$3,0,0,'Données projet'!$E$13+1,1))</f>
        <v>157.20393815370375</v>
      </c>
      <c r="CZ27" s="59">
        <f t="shared" si="42"/>
        <v>64.616965816756363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14.8</v>
      </c>
      <c r="DO27" s="12">
        <f>IF('Données projet'!$A$166&gt;35,DO26+DN27-DW26,IF(A27&lt;'Données projet'!$A$166,$DL$205^A27,IF(A27='Données projet'!$A$166,'Données projet'!$B$166,DO26+DN27-DW26)))</f>
        <v>126.19999999999997</v>
      </c>
      <c r="DP27" s="17">
        <f>DO27*VLOOKUP('Données projet'!$B$14,Paramètres!$A$1:$I$89,3,0)*VLOOKUP('Données projet'!$B$14,Paramètres!$A$1:$I$89,5,0)</f>
        <v>102.37344</v>
      </c>
      <c r="DQ27" s="13">
        <f t="shared" si="43"/>
        <v>27.526662647523008</v>
      </c>
      <c r="DR27" s="20">
        <f t="shared" si="16"/>
        <v>226.24267877776924</v>
      </c>
      <c r="DS27" s="59">
        <f t="shared" si="17"/>
        <v>519.5760121111025</v>
      </c>
      <c r="DT27" s="59">
        <f ca="1">AVERAGE(OFFSET($DS$3,0,0,'Données projet'!$E$14+1,1))-AVERAGE(OFFSET($H$3,0,0,'Données projet'!$E$14+1,1))</f>
        <v>221.78186926953776</v>
      </c>
      <c r="DU27" s="59">
        <f t="shared" si="44"/>
        <v>276.69392352410654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1.2</v>
      </c>
      <c r="EJ27" s="12">
        <f>IF('Données projet'!$A$192&gt;35,EJ26+EI27-ER26,IF(A27&lt;'Données projet'!$A$192,$EG$205^A27,IF(A27='Données projet'!$A$192,'Données projet'!$B$192,EJ26+EI27-ER26)))</f>
        <v>26.184024853780567</v>
      </c>
      <c r="EK27" s="17">
        <f>EJ27*VLOOKUP('Données projet'!$B$15,Paramètres!$A$1:$I$89,3,0)*VLOOKUP('Données projet'!$B$15,Paramètres!$A$1:$I$89,5,0)</f>
        <v>28.184484352609399</v>
      </c>
      <c r="EL27" s="13">
        <f t="shared" si="45"/>
        <v>8.8060466863244411</v>
      </c>
      <c r="EM27" s="20">
        <f t="shared" si="19"/>
        <v>64.425174892809764</v>
      </c>
      <c r="EN27" s="59">
        <f t="shared" si="20"/>
        <v>357.75850822614308</v>
      </c>
      <c r="EO27" s="59">
        <f ca="1">AVERAGE(OFFSET($EN$3,0,0,'Données projet'!$E$15+1,1))-AVERAGE(OFFSET($H$3,0,0,'Données projet'!$E$15+1,1))</f>
        <v>219.76574638403434</v>
      </c>
      <c r="EP27" s="59">
        <f t="shared" si="46"/>
        <v>92.286636088269972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5.666666666666667</v>
      </c>
      <c r="FE27" s="12">
        <f>IF('Données projet'!$A$218&gt;35,FE26+FD27-FM26,IF(A27&lt;'Données projet'!$A$218,$FB$205^A27,IF(A27='Données projet'!$A$218,'Données projet'!$B$218,FE26+FD27-FM26)))</f>
        <v>60.863810270000563</v>
      </c>
      <c r="FF27" s="17">
        <f>FE27*VLOOKUP('Données projet'!$B$16,Paramètres!$A$1:$I$89,3,0)*VLOOKUP('Données projet'!$B$16,Paramètres!$A$1:$I$89,5,0)</f>
        <v>28.484263206360264</v>
      </c>
      <c r="FG27" s="13">
        <f t="shared" si="47"/>
        <v>8.8887570108329133</v>
      </c>
      <c r="FH27" s="20">
        <f t="shared" si="22"/>
        <v>65.091343544944792</v>
      </c>
      <c r="FI27" s="59">
        <f t="shared" si="23"/>
        <v>358.42467687827809</v>
      </c>
      <c r="FJ27" s="59">
        <f ca="1">AVERAGE(OFFSET($FI$3,0,0,'Données projet'!$E$16+1,1))-AVERAGE(OFFSET($H$3,0,0,'Données projet'!$E$16+1,1))</f>
        <v>86.164294406232727</v>
      </c>
      <c r="FK27" s="59">
        <f t="shared" si="48"/>
        <v>138.91188401562334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17.333333333333332</v>
      </c>
      <c r="N28" s="13">
        <f>IF('Données projet'!$A$36&gt;35,N27+M28-V27,IF(A28&lt;'Données projet'!$A$36,$K$205^A28,IF(A28='Données projet'!$A$36,'Données projet'!$B$36,N27+M28-V27)))</f>
        <v>226.66666666666671</v>
      </c>
      <c r="O28" s="13">
        <f>N28*VLOOKUP('Données projet'!$B$9,Paramètres!$A$1:$I$89,3,0)*VLOOKUP('Données projet'!$B$9,Paramètres!$A$1:$I$89,5,0)</f>
        <v>135.54666666666671</v>
      </c>
      <c r="P28" s="13">
        <f t="shared" si="33"/>
        <v>35.274897919211121</v>
      </c>
      <c r="Q28" s="20">
        <f t="shared" si="2"/>
        <v>297.51422498707058</v>
      </c>
      <c r="R28" s="59">
        <f t="shared" si="0"/>
        <v>590.84755832040389</v>
      </c>
      <c r="S28" s="59">
        <f ca="1">AVERAGE(OFFSET($R$3,0,0,'Données projet'!$E$9+1,1))-AVERAGE(OFFSET($H$3,0,0,'Données projet'!$E$9+1,1))</f>
        <v>150.21793637331223</v>
      </c>
      <c r="T28" s="59">
        <f t="shared" si="34"/>
        <v>364.59164590134486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20.303231538471298</v>
      </c>
      <c r="AA28" s="21">
        <f>EXP(-LN(2)/25)*AA27+(1-EXP(-LN(2)/25))/(LN(2)/25)*Calculateur!V28*Calculateur!X28*VLOOKUP('Données projet'!$B$9,Paramètres!$A$1:$I$89,3,0)*0.475*44/12</f>
        <v>11.989258882992793</v>
      </c>
      <c r="AB28" s="21">
        <f>EXP(-LN(2)/2)*AB27+(1-EXP(-LN(2)/2))/(LN(2)/2)*V28*Y28*VLOOKUP('Données projet'!$B$9,Paramètres!$A$1:$I$89,3,0)*0.475*44/12</f>
        <v>2.9750982117983784</v>
      </c>
      <c r="AC28" s="22">
        <f t="shared" si="3"/>
        <v>35.26758863326247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30</v>
      </c>
      <c r="AG28" s="12">
        <f>VLOOKUP(A28,'Données projet'!$A$61:$I$81,9,0)</f>
        <v>1.2</v>
      </c>
      <c r="AH28" s="12">
        <f t="array" ref="AH28">INDEX(AG:AG,MIN(IF(ISNUMBER(AG28:AG224),ROW(AG28:AG224),"")))</f>
        <v>1.2</v>
      </c>
      <c r="AI28" s="13">
        <f>IF('Données projet'!$A$62&gt;35,AI27+AH28-AQ27,IF(A28&lt;'Données projet'!$A$62,$AF$205^A28,IF(A28='Données projet'!$A$62,'Données projet'!$B$62,AI27+AH28-AQ27)))</f>
        <v>30</v>
      </c>
      <c r="AJ28" s="13">
        <f>AI28*VLOOKUP('Données projet'!$B$10,Paramètres!$A$1:$I$89,3,0)*VLOOKUP('Données projet'!$B$10,Paramètres!$A$1:$I$89,5,0)</f>
        <v>32.76</v>
      </c>
      <c r="AK28" s="13">
        <f t="shared" si="35"/>
        <v>10.057960571603429</v>
      </c>
      <c r="AL28" s="20">
        <f t="shared" si="4"/>
        <v>74.574614662209299</v>
      </c>
      <c r="AM28" s="59">
        <f t="shared" si="5"/>
        <v>367.9079479955426</v>
      </c>
      <c r="AN28" s="59">
        <f ca="1">AVERAGE(OFFSET($AM$3,0,0,'Données projet'!$E$10+1,1))-AVERAGE(OFFSET($H$3,0,0,'Données projet'!$E$10+1,1))</f>
        <v>223.92539057016376</v>
      </c>
      <c r="AO28" s="59">
        <f t="shared" si="36"/>
        <v>94.125825809616856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30</v>
      </c>
      <c r="BB28" s="12">
        <f>VLOOKUP(A28,'Données projet'!$A$87:$I$107,9,0)</f>
        <v>1.2</v>
      </c>
      <c r="BC28" s="12">
        <f t="array" ref="BC28">INDEX(BB:BB,MIN(IF(ISNUMBER(BB28:BB224),ROW(BB28:BB224),"")))</f>
        <v>1.2</v>
      </c>
      <c r="BD28" s="12">
        <f>IF('Données projet'!$A$88&gt;35,BD27+BC28-BL27,IF(A28&lt;'Données projet'!$A$88,$BA$205^A28,IF(A28='Données projet'!$A$88,'Données projet'!$B$88,BD27+BC28-BL27)))</f>
        <v>30</v>
      </c>
      <c r="BE28" s="13">
        <f>BD28*VLOOKUP('Données projet'!$B$11,Paramètres!$A$1:$I$89,3,0)*VLOOKUP('Données projet'!$B$11,Paramètres!$A$1:$I$89,5,0)</f>
        <v>34.164000000000001</v>
      </c>
      <c r="BF28" s="13">
        <f t="shared" si="37"/>
        <v>10.43790596178561</v>
      </c>
      <c r="BG28" s="20">
        <f t="shared" si="7"/>
        <v>77.681652883443277</v>
      </c>
      <c r="BH28" s="59">
        <f t="shared" si="8"/>
        <v>371.01498621677661</v>
      </c>
      <c r="BI28" s="59">
        <f ca="1">AVERAGE(OFFSET($BH$3,0,0,'Données projet'!$E$11+1,1))-AVERAGE(OFFSET($H$3,0,0,'Données projet'!$E$11+1,1))</f>
        <v>236.39682613502913</v>
      </c>
      <c r="BJ28" s="59">
        <f t="shared" si="38"/>
        <v>99.639724892155641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30</v>
      </c>
      <c r="CR28" s="12">
        <f>VLOOKUP(A28,'Données projet'!$A$139:$I$159,9,0)</f>
        <v>1.2</v>
      </c>
      <c r="CS28" s="12">
        <f t="array" ref="CS28">INDEX(CR:CR,MIN(IF(ISNUMBER(CR28:CR224),ROW(CR28:CR224),"")))</f>
        <v>1.2</v>
      </c>
      <c r="CT28" s="12">
        <f>IF('Données projet'!$A$140&gt;35,CT27+CS28-DB27,IF(A28&lt;'Données projet'!$A$140,$CQ$205^A28,IF(A28='Données projet'!$A$140,'Données projet'!$B$140,CT27+CS28-DB27)))</f>
        <v>30</v>
      </c>
      <c r="CU28" s="17">
        <f>CT28*VLOOKUP('Données projet'!$B$13,Paramètres!$A$1:$I$89,3,0)*VLOOKUP('Données projet'!$B$13,Paramètres!$A$1:$I$89,5,0)</f>
        <v>25.272000000000006</v>
      </c>
      <c r="CV28" s="13">
        <f t="shared" si="41"/>
        <v>7.9969508502584166</v>
      </c>
      <c r="CW28" s="20">
        <f t="shared" si="13"/>
        <v>57.94342273086675</v>
      </c>
      <c r="CX28" s="59">
        <f t="shared" si="14"/>
        <v>351.27675606420007</v>
      </c>
      <c r="CY28" s="59">
        <f ca="1">AVERAGE(OFFSET($CX$3,0,0,'Données projet'!$E$13+1,1))-AVERAGE(OFFSET($H$3,0,0,'Données projet'!$E$13+1,1))</f>
        <v>157.20393815370375</v>
      </c>
      <c r="CZ28" s="59">
        <f t="shared" si="42"/>
        <v>64.616965816756363</v>
      </c>
      <c r="DA28" s="15">
        <f>IF(ISNA(VLOOKUP(A28,'Données projet'!$A$139:$I$159,3,0)),0,VLOOKUP(A28,'Données projet'!$A$139:$I$159,3,0))</f>
        <v>1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141</v>
      </c>
      <c r="DM28" s="12">
        <f>VLOOKUP(A28,'Données projet'!$A$165:$I$185,9,0)</f>
        <v>14.8</v>
      </c>
      <c r="DN28" s="12">
        <f t="array" ref="DN28">INDEX(DM:DM,MIN(IF(ISNUMBER(DM28:DM224),ROW(DM28:DM224),"")))</f>
        <v>14.8</v>
      </c>
      <c r="DO28" s="12">
        <f>IF('Données projet'!$A$166&gt;35,DO27+DN28-DW27,IF(A28&lt;'Données projet'!$A$166,$DL$205^A28,IF(A28='Données projet'!$A$166,'Données projet'!$B$166,DO27+DN28-DW27)))</f>
        <v>140.99999999999997</v>
      </c>
      <c r="DP28" s="17">
        <f>DO28*VLOOKUP('Données projet'!$B$14,Paramètres!$A$1:$I$89,3,0)*VLOOKUP('Données projet'!$B$14,Paramètres!$A$1:$I$89,5,0)</f>
        <v>114.3792</v>
      </c>
      <c r="DQ28" s="13">
        <f t="shared" si="43"/>
        <v>30.360402323573549</v>
      </c>
      <c r="DR28" s="20">
        <f t="shared" si="16"/>
        <v>252.08814071355724</v>
      </c>
      <c r="DS28" s="59">
        <f t="shared" si="17"/>
        <v>545.42147404689058</v>
      </c>
      <c r="DT28" s="59">
        <f ca="1">AVERAGE(OFFSET($DS$3,0,0,'Données projet'!$E$14+1,1))-AVERAGE(OFFSET($H$3,0,0,'Données projet'!$E$14+1,1))</f>
        <v>221.78186926953776</v>
      </c>
      <c r="DU28" s="59">
        <f t="shared" si="44"/>
        <v>276.69392352410654</v>
      </c>
      <c r="DV28" s="15">
        <f>IF(ISNA(VLOOKUP(A28,'Données projet'!$A$165:$I$185,3,0)),0,VLOOKUP(A28,'Données projet'!$A$165:$I$185,3,0))</f>
        <v>4</v>
      </c>
      <c r="DW28" s="15">
        <f>IF(ISNA(VLOOKUP(A28,'Données projet'!$A$165:$I$185,4,0)),0,VLOOKUP(A28,'Données projet'!$A$165:$I$185,4,0))</f>
        <v>35</v>
      </c>
      <c r="DX28" s="16">
        <f>IF(ISNA(VLOOKUP(A28,'Données projet'!$A$165:$I$185,5,0)),0%,VLOOKUP(A28,'Données projet'!$A$165:$I$185,5,0)*VLOOKUP('Données projet'!$B$14,Paramètres!$A$1:$I$89,7,0))</f>
        <v>8.6000000000000007E-2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2.6992402913501592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2.6992402913501592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>
        <f>VLOOKUP(A28,'Données projet'!$A$191:$I$211,2,0)</f>
        <v>30</v>
      </c>
      <c r="EH28" s="12">
        <f>VLOOKUP(A28,'Données projet'!$A$191:$I$211,9,0)</f>
        <v>1.2</v>
      </c>
      <c r="EI28" s="12">
        <f t="array" ref="EI28">INDEX(EH:EH,MIN(IF(ISNUMBER(EH28:EH224),ROW(EH28:EH224),"")))</f>
        <v>1.2</v>
      </c>
      <c r="EJ28" s="12">
        <f>IF('Données projet'!$A$192&gt;35,EJ27+EI28-ER27,IF(A28&lt;'Données projet'!$A$192,$EG$205^A28,IF(A28='Données projet'!$A$192,'Données projet'!$B$192,EJ27+EI28-ER27)))</f>
        <v>30</v>
      </c>
      <c r="EK28" s="17">
        <f>EJ28*VLOOKUP('Données projet'!$B$15,Paramètres!$A$1:$I$89,3,0)*VLOOKUP('Données projet'!$B$15,Paramètres!$A$1:$I$89,5,0)</f>
        <v>32.292000000000002</v>
      </c>
      <c r="EL28" s="13">
        <f t="shared" si="45"/>
        <v>9.9308942483743401</v>
      </c>
      <c r="EM28" s="20">
        <f t="shared" si="19"/>
        <v>73.538207482585321</v>
      </c>
      <c r="EN28" s="59">
        <f t="shared" si="20"/>
        <v>366.87154081591865</v>
      </c>
      <c r="EO28" s="59">
        <f ca="1">AVERAGE(OFFSET($EN$3,0,0,'Données projet'!$E$15+1,1))-AVERAGE(OFFSET($H$3,0,0,'Données projet'!$E$15+1,1))</f>
        <v>219.76574638403434</v>
      </c>
      <c r="EP28" s="59">
        <f t="shared" si="46"/>
        <v>92.286636088269972</v>
      </c>
      <c r="EQ28" s="15">
        <f>IF(ISNA(VLOOKUP(A28,'Données projet'!$A$191:$I$211,3,0)),0,VLOOKUP(A28,'Données projet'!$A$191:$I$211,3,0))</f>
        <v>1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5.666666666666667</v>
      </c>
      <c r="FE28" s="12">
        <f>IF('Données projet'!$A$218&gt;35,FE27+FD28-FM27,IF(A28&lt;'Données projet'!$A$218,$FB$205^A28,IF(A28='Données projet'!$A$218,'Données projet'!$B$218,FE27+FD28-FM27)))</f>
        <v>72.228306862868891</v>
      </c>
      <c r="FF28" s="17">
        <f>FE28*VLOOKUP('Données projet'!$B$16,Paramètres!$A$1:$I$89,3,0)*VLOOKUP('Données projet'!$B$16,Paramètres!$A$1:$I$89,5,0)</f>
        <v>33.802847611822642</v>
      </c>
      <c r="FG28" s="13">
        <f t="shared" si="47"/>
        <v>10.340348827492802</v>
      </c>
      <c r="FH28" s="20">
        <f t="shared" si="22"/>
        <v>76.882733798474405</v>
      </c>
      <c r="FI28" s="59">
        <f t="shared" si="23"/>
        <v>370.21606713180773</v>
      </c>
      <c r="FJ28" s="59">
        <f ca="1">AVERAGE(OFFSET($FI$3,0,0,'Données projet'!$E$16+1,1))-AVERAGE(OFFSET($H$3,0,0,'Données projet'!$E$16+1,1))</f>
        <v>86.164294406232727</v>
      </c>
      <c r="FK28" s="59">
        <f t="shared" si="48"/>
        <v>138.91188401562334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17.333333333333332</v>
      </c>
      <c r="M29" s="12">
        <f t="array" ref="M29">INDEX(L:L,MIN(IF(ISNUMBER(L29:L225),ROW(L29:L225),"")))</f>
        <v>17.333333333333332</v>
      </c>
      <c r="N29" s="13">
        <f>IF('Données projet'!$A$36&gt;35,N28+M29-V28,IF(A29&lt;'Données projet'!$A$36,$K$205^A29,IF(A29='Données projet'!$A$36,'Données projet'!$B$36,N28+M29-V28)))</f>
        <v>244.00000000000006</v>
      </c>
      <c r="O29" s="13">
        <f>N29*VLOOKUP('Données projet'!$B$9,Paramètres!$A$1:$I$89,3,0)*VLOOKUP('Données projet'!$B$9,Paramètres!$A$1:$I$89,5,0)</f>
        <v>145.91200000000006</v>
      </c>
      <c r="P29" s="13">
        <f t="shared" si="33"/>
        <v>37.648084239987625</v>
      </c>
      <c r="Q29" s="20">
        <f t="shared" si="2"/>
        <v>319.7004800513119</v>
      </c>
      <c r="R29" s="59">
        <f t="shared" si="0"/>
        <v>613.03381338464521</v>
      </c>
      <c r="S29" s="59">
        <f ca="1">AVERAGE(OFFSET($R$3,0,0,'Données projet'!$E$9+1,1))-AVERAGE(OFFSET($H$3,0,0,'Données projet'!$E$9+1,1))</f>
        <v>150.21793637331223</v>
      </c>
      <c r="T29" s="59">
        <f t="shared" si="34"/>
        <v>364.59164590134486</v>
      </c>
      <c r="U29" s="15">
        <f>IF(ISNA(VLOOKUP(A29,'Données projet'!$A$35:$I$55,3,0)),0,VLOOKUP(A29,'Données projet'!$A$35:$I$55,3,0))</f>
        <v>10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0.36000000000000004</v>
      </c>
      <c r="X29" s="16">
        <f>IF(ISNA(VLOOKUP(A29,'Données projet'!$A$35:$I$55,6,0)),0%,VLOOKUP(A29,'Données projet'!$A$35:$I$55,6,0)*VLOOKUP('Données projet'!$B$9,Paramètres!$A$1:$I$89,7,0))</f>
        <v>4.9500000000000002E-2</v>
      </c>
      <c r="Y29" s="16">
        <f>IF(ISNA(VLOOKUP(A29,'Données projet'!$A$35:$I$55,7,0)),0%,VLOOKUP(A29,'Données projet'!$A$35:$I$55,7,0))</f>
        <v>0.09</v>
      </c>
      <c r="Z29" s="21">
        <f>EXP(-LN(2)/35)*Z28+(1-EXP(-LN(2)/35))/(LN(2)/35)*V29*W29*VLOOKUP('Données projet'!$B$9,Paramètres!$A$1:$I$89,3,0)*0.475*44/12</f>
        <v>19.90509755175032</v>
      </c>
      <c r="AA29" s="21">
        <f>EXP(-LN(2)/25)*AA28+(1-EXP(-LN(2)/25))/(LN(2)/25)*Calculateur!V29*Calculateur!X29*VLOOKUP('Données projet'!$B$9,Paramètres!$A$1:$I$89,3,0)*0.475*44/12</f>
        <v>11.661411968349633</v>
      </c>
      <c r="AB29" s="21">
        <f>EXP(-LN(2)/2)*AB28+(1-EXP(-LN(2)/2))/(LN(2)/2)*V29*Y29*VLOOKUP('Données projet'!$B$9,Paramètres!$A$1:$I$89,3,0)*0.475*44/12</f>
        <v>2.1037121202586051</v>
      </c>
      <c r="AC29" s="22">
        <f t="shared" si="3"/>
        <v>33.670221640358555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4.8</v>
      </c>
      <c r="AI29" s="13">
        <f>IF('Données projet'!$A$62&gt;35,AI28+AH29-AQ28,IF(A29&lt;'Données projet'!$A$62,$AF$205^A29,IF(A29='Données projet'!$A$62,'Données projet'!$B$62,AI28+AH29-AQ28)))</f>
        <v>34.799999999999997</v>
      </c>
      <c r="AJ29" s="13">
        <f>AI29*VLOOKUP('Données projet'!$B$10,Paramètres!$A$1:$I$89,3,0)*VLOOKUP('Données projet'!$B$10,Paramètres!$A$1:$I$89,5,0)</f>
        <v>38.001599999999996</v>
      </c>
      <c r="AK29" s="13">
        <f t="shared" si="35"/>
        <v>11.467401227090512</v>
      </c>
      <c r="AL29" s="20">
        <f t="shared" si="4"/>
        <v>86.158510470515964</v>
      </c>
      <c r="AM29" s="59">
        <f t="shared" si="5"/>
        <v>379.49184380384929</v>
      </c>
      <c r="AN29" s="59">
        <f ca="1">AVERAGE(OFFSET($AM$3,0,0,'Données projet'!$E$10+1,1))-AVERAGE(OFFSET($H$3,0,0,'Données projet'!$E$10+1,1))</f>
        <v>223.92539057016376</v>
      </c>
      <c r="AO29" s="59">
        <f t="shared" si="36"/>
        <v>94.125825809616856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4.8</v>
      </c>
      <c r="BD29" s="12">
        <f>IF('Données projet'!$A$88&gt;35,BD28+BC29-BL28,IF(A29&lt;'Données projet'!$A$88,$BA$205^A29,IF(A29='Données projet'!$A$88,'Données projet'!$B$88,BD28+BC29-BL28)))</f>
        <v>34.799999999999997</v>
      </c>
      <c r="BE29" s="13">
        <f>BD29*VLOOKUP('Données projet'!$B$11,Paramètres!$A$1:$I$89,3,0)*VLOOKUP('Données projet'!$B$11,Paramètres!$A$1:$I$89,5,0)</f>
        <v>39.630239999999993</v>
      </c>
      <c r="BF29" s="13">
        <f t="shared" si="37"/>
        <v>11.900589068958134</v>
      </c>
      <c r="BG29" s="20">
        <f t="shared" si="7"/>
        <v>89.749527295102055</v>
      </c>
      <c r="BH29" s="59">
        <f t="shared" si="8"/>
        <v>383.08286062843536</v>
      </c>
      <c r="BI29" s="59">
        <f ca="1">AVERAGE(OFFSET($BH$3,0,0,'Données projet'!$E$11+1,1))-AVERAGE(OFFSET($H$3,0,0,'Données projet'!$E$11+1,1))</f>
        <v>236.39682613502913</v>
      </c>
      <c r="BJ29" s="59">
        <f t="shared" si="38"/>
        <v>99.639724892155641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4.8</v>
      </c>
      <c r="CT29" s="12">
        <f>IF('Données projet'!$A$140&gt;35,CT28+CS29-DB28,IF(A29&lt;'Données projet'!$A$140,$CQ$205^A29,IF(A29='Données projet'!$A$140,'Données projet'!$B$140,CT28+CS29-DB28)))</f>
        <v>34.799999999999997</v>
      </c>
      <c r="CU29" s="17">
        <f>CT29*VLOOKUP('Données projet'!$B$13,Paramètres!$A$1:$I$89,3,0)*VLOOKUP('Données projet'!$B$13,Paramètres!$A$1:$I$89,5,0)</f>
        <v>29.315519999999999</v>
      </c>
      <c r="CV29" s="13">
        <f t="shared" si="41"/>
        <v>9.1175783937892785</v>
      </c>
      <c r="CW29" s="20">
        <f t="shared" si="13"/>
        <v>66.937646369182985</v>
      </c>
      <c r="CX29" s="59">
        <f t="shared" si="14"/>
        <v>360.27097970251629</v>
      </c>
      <c r="CY29" s="59">
        <f ca="1">AVERAGE(OFFSET($CX$3,0,0,'Données projet'!$E$13+1,1))-AVERAGE(OFFSET($H$3,0,0,'Données projet'!$E$13+1,1))</f>
        <v>157.20393815370375</v>
      </c>
      <c r="CZ29" s="59">
        <f t="shared" si="42"/>
        <v>64.616965816756363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14.2</v>
      </c>
      <c r="DO29" s="12">
        <f>IF('Données projet'!$A$166&gt;35,DO28+DN29-DW28,IF(A29&lt;'Données projet'!$A$166,$DL$205^A29,IF(A29='Données projet'!$A$166,'Données projet'!$B$166,DO28+DN29-DW28)))</f>
        <v>120.19999999999996</v>
      </c>
      <c r="DP29" s="17">
        <f>DO29*VLOOKUP('Données projet'!$B$14,Paramètres!$A$1:$I$89,3,0)*VLOOKUP('Données projet'!$B$14,Paramètres!$A$1:$I$89,5,0)</f>
        <v>97.506239999999977</v>
      </c>
      <c r="DQ29" s="13">
        <f t="shared" si="43"/>
        <v>26.367023243681039</v>
      </c>
      <c r="DR29" s="20">
        <f t="shared" si="16"/>
        <v>215.74593348274445</v>
      </c>
      <c r="DS29" s="59">
        <f t="shared" si="17"/>
        <v>509.07926681607773</v>
      </c>
      <c r="DT29" s="59">
        <f ca="1">AVERAGE(OFFSET($DS$3,0,0,'Données projet'!$E$14+1,1))-AVERAGE(OFFSET($H$3,0,0,'Données projet'!$E$14+1,1))</f>
        <v>221.78186926953776</v>
      </c>
      <c r="DU29" s="59">
        <f t="shared" si="44"/>
        <v>276.69392352410654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2.6463098356107944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2.6463098356107944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4.8</v>
      </c>
      <c r="EJ29" s="12">
        <f>IF('Données projet'!$A$192&gt;35,EJ28+EI29-ER28,IF(A29&lt;'Données projet'!$A$192,$EG$205^A29,IF(A29='Données projet'!$A$192,'Données projet'!$B$192,EJ28+EI29-ER28)))</f>
        <v>34.799999999999997</v>
      </c>
      <c r="EK29" s="17">
        <f>EJ29*VLOOKUP('Données projet'!$B$15,Paramètres!$A$1:$I$89,3,0)*VLOOKUP('Données projet'!$B$15,Paramètres!$A$1:$I$89,5,0)</f>
        <v>37.45872</v>
      </c>
      <c r="EL29" s="13">
        <f t="shared" si="45"/>
        <v>11.322528864493165</v>
      </c>
      <c r="EM29" s="20">
        <f t="shared" si="19"/>
        <v>84.960675105658922</v>
      </c>
      <c r="EN29" s="59">
        <f t="shared" si="20"/>
        <v>378.29400843899225</v>
      </c>
      <c r="EO29" s="59">
        <f ca="1">AVERAGE(OFFSET($EN$3,0,0,'Données projet'!$E$15+1,1))-AVERAGE(OFFSET($H$3,0,0,'Données projet'!$E$15+1,1))</f>
        <v>219.76574638403434</v>
      </c>
      <c r="EP29" s="59">
        <f t="shared" si="46"/>
        <v>92.286636088269972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5.666666666666667</v>
      </c>
      <c r="FE29" s="12">
        <f>IF('Données projet'!$A$218&gt;35,FE28+FD29-FM28,IF(A29&lt;'Données projet'!$A$218,$FB$205^A29,IF(A29='Données projet'!$A$218,'Données projet'!$B$218,FE28+FD29-FM28)))</f>
        <v>85.714783368535649</v>
      </c>
      <c r="FF29" s="17">
        <f>FE29*VLOOKUP('Données projet'!$B$16,Paramètres!$A$1:$I$89,3,0)*VLOOKUP('Données projet'!$B$16,Paramètres!$A$1:$I$89,5,0)</f>
        <v>40.114518616474683</v>
      </c>
      <c r="FG29" s="13">
        <f t="shared" si="47"/>
        <v>12.028995026405015</v>
      </c>
      <c r="FH29" s="20">
        <f t="shared" si="22"/>
        <v>90.816619594682138</v>
      </c>
      <c r="FI29" s="59">
        <f t="shared" si="23"/>
        <v>384.14995292801547</v>
      </c>
      <c r="FJ29" s="59">
        <f ca="1">AVERAGE(OFFSET($FI$3,0,0,'Données projet'!$E$16+1,1))-AVERAGE(OFFSET($H$3,0,0,'Données projet'!$E$16+1,1))</f>
        <v>86.164294406232727</v>
      </c>
      <c r="FK29" s="59">
        <f t="shared" si="48"/>
        <v>138.91188401562334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16.333333333333332</v>
      </c>
      <c r="N30" s="13">
        <f>IF('Données projet'!$A$36&gt;35,N29+M30-V29,IF(A30&lt;'Données projet'!$A$36,$K$205^A30,IF(A30='Données projet'!$A$36,'Données projet'!$B$36,N29+M30-V29)))</f>
        <v>260.33333333333337</v>
      </c>
      <c r="O30" s="13">
        <f>N30*VLOOKUP('Données projet'!$B$9,Paramètres!$A$1:$I$89,3,0)*VLOOKUP('Données projet'!$B$9,Paramètres!$A$1:$I$89,5,0)</f>
        <v>155.67933333333337</v>
      </c>
      <c r="P30" s="13">
        <f t="shared" si="33"/>
        <v>39.866429738373206</v>
      </c>
      <c r="Q30" s="20">
        <f t="shared" si="2"/>
        <v>340.57553734988892</v>
      </c>
      <c r="R30" s="59">
        <f t="shared" si="0"/>
        <v>633.90887068322218</v>
      </c>
      <c r="S30" s="59">
        <f ca="1">AVERAGE(OFFSET($R$3,0,0,'Données projet'!$E$9+1,1))-AVERAGE(OFFSET($H$3,0,0,'Données projet'!$E$9+1,1))</f>
        <v>150.21793637331223</v>
      </c>
      <c r="T30" s="59">
        <f t="shared" si="34"/>
        <v>364.59164590134486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19.514770729671188</v>
      </c>
      <c r="AA30" s="21">
        <f>EXP(-LN(2)/25)*AA29+(1-EXP(-LN(2)/25))/(LN(2)/25)*Calculateur!V30*Calculateur!X30*VLOOKUP('Données projet'!$B$9,Paramètres!$A$1:$I$89,3,0)*0.475*44/12</f>
        <v>11.342530044828109</v>
      </c>
      <c r="AB30" s="21">
        <f>EXP(-LN(2)/2)*AB29+(1-EXP(-LN(2)/2))/(LN(2)/2)*V30*Y30*VLOOKUP('Données projet'!$B$9,Paramètres!$A$1:$I$89,3,0)*0.475*44/12</f>
        <v>1.4875491058991894</v>
      </c>
      <c r="AC30" s="22">
        <f t="shared" si="3"/>
        <v>32.344849880398485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4.8</v>
      </c>
      <c r="AI30" s="13">
        <f>IF('Données projet'!$A$62&gt;35,AI29+AH30-AQ29,IF(A30&lt;'Données projet'!$A$62,$AF$205^A30,IF(A30='Données projet'!$A$62,'Données projet'!$B$62,AI29+AH30-AQ29)))</f>
        <v>39.599999999999994</v>
      </c>
      <c r="AJ30" s="13">
        <f>AI30*VLOOKUP('Données projet'!$B$10,Paramètres!$A$1:$I$89,3,0)*VLOOKUP('Données projet'!$B$10,Paramètres!$A$1:$I$89,5,0)</f>
        <v>43.243199999999995</v>
      </c>
      <c r="AK30" s="13">
        <f t="shared" si="35"/>
        <v>12.854318437990981</v>
      </c>
      <c r="AL30" s="20">
        <f t="shared" si="4"/>
        <v>97.703177946167614</v>
      </c>
      <c r="AM30" s="59">
        <f t="shared" si="5"/>
        <v>391.03651127950093</v>
      </c>
      <c r="AN30" s="59">
        <f ca="1">AVERAGE(OFFSET($AM$3,0,0,'Données projet'!$E$10+1,1))-AVERAGE(OFFSET($H$3,0,0,'Données projet'!$E$10+1,1))</f>
        <v>223.92539057016376</v>
      </c>
      <c r="AO30" s="59">
        <f t="shared" si="36"/>
        <v>94.125825809616856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4.8</v>
      </c>
      <c r="BD30" s="12">
        <f>IF('Données projet'!$A$88&gt;35,BD29+BC30-BL29,IF(A30&lt;'Données projet'!$A$88,$BA$205^A30,IF(A30='Données projet'!$A$88,'Données projet'!$B$88,BD29+BC30-BL29)))</f>
        <v>39.599999999999994</v>
      </c>
      <c r="BE30" s="13">
        <f>BD30*VLOOKUP('Données projet'!$B$11,Paramètres!$A$1:$I$89,3,0)*VLOOKUP('Données projet'!$B$11,Paramètres!$A$1:$I$89,5,0)</f>
        <v>45.096479999999993</v>
      </c>
      <c r="BF30" s="13">
        <f t="shared" si="37"/>
        <v>13.339897895146274</v>
      </c>
      <c r="BG30" s="20">
        <f t="shared" si="7"/>
        <v>101.77669150071307</v>
      </c>
      <c r="BH30" s="59">
        <f t="shared" si="8"/>
        <v>395.11002483404638</v>
      </c>
      <c r="BI30" s="59">
        <f ca="1">AVERAGE(OFFSET($BH$3,0,0,'Données projet'!$E$11+1,1))-AVERAGE(OFFSET($H$3,0,0,'Données projet'!$E$11+1,1))</f>
        <v>236.39682613502913</v>
      </c>
      <c r="BJ30" s="59">
        <f t="shared" si="38"/>
        <v>99.639724892155641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4.8</v>
      </c>
      <c r="CT30" s="12">
        <f>IF('Données projet'!$A$140&gt;35,CT29+CS30-DB29,IF(A30&lt;'Données projet'!$A$140,$CQ$205^A30,IF(A30='Données projet'!$A$140,'Données projet'!$B$140,CT29+CS30-DB29)))</f>
        <v>39.599999999999994</v>
      </c>
      <c r="CU30" s="17">
        <f>CT30*VLOOKUP('Données projet'!$B$13,Paramètres!$A$1:$I$89,3,0)*VLOOKUP('Données projet'!$B$13,Paramètres!$A$1:$I$89,5,0)</f>
        <v>33.359039999999993</v>
      </c>
      <c r="CV30" s="13">
        <f t="shared" si="41"/>
        <v>10.220297845708979</v>
      </c>
      <c r="CW30" s="20">
        <f t="shared" si="13"/>
        <v>75.900680081276448</v>
      </c>
      <c r="CX30" s="59">
        <f t="shared" si="14"/>
        <v>369.23401341460976</v>
      </c>
      <c r="CY30" s="59">
        <f ca="1">AVERAGE(OFFSET($CX$3,0,0,'Données projet'!$E$13+1,1))-AVERAGE(OFFSET($H$3,0,0,'Données projet'!$E$13+1,1))</f>
        <v>157.20393815370375</v>
      </c>
      <c r="CZ30" s="59">
        <f t="shared" si="42"/>
        <v>64.616965816756363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14.2</v>
      </c>
      <c r="DO30" s="12">
        <f>IF('Données projet'!$A$166&gt;35,DO29+DN30-DW29,IF(A30&lt;'Données projet'!$A$166,$DL$205^A30,IF(A30='Données projet'!$A$166,'Données projet'!$B$166,DO29+DN30-DW29)))</f>
        <v>134.39999999999995</v>
      </c>
      <c r="DP30" s="17">
        <f>DO30*VLOOKUP('Données projet'!$B$14,Paramètres!$A$1:$I$89,3,0)*VLOOKUP('Données projet'!$B$14,Paramètres!$A$1:$I$89,5,0)</f>
        <v>109.02527999999997</v>
      </c>
      <c r="DQ30" s="13">
        <f t="shared" si="43"/>
        <v>29.101214110737224</v>
      </c>
      <c r="DR30" s="20">
        <f t="shared" si="16"/>
        <v>240.57031057620057</v>
      </c>
      <c r="DS30" s="59">
        <f t="shared" si="17"/>
        <v>533.90364390953391</v>
      </c>
      <c r="DT30" s="59">
        <f ca="1">AVERAGE(OFFSET($DS$3,0,0,'Données projet'!$E$14+1,1))-AVERAGE(OFFSET($H$3,0,0,'Données projet'!$E$14+1,1))</f>
        <v>221.78186926953776</v>
      </c>
      <c r="DU30" s="59">
        <f t="shared" si="44"/>
        <v>276.69392352410654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2.5944173138240885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2.5944173138240885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4.8</v>
      </c>
      <c r="EJ30" s="12">
        <f>IF('Données projet'!$A$192&gt;35,EJ29+EI30-ER29,IF(A30&lt;'Données projet'!$A$192,$EG$205^A30,IF(A30='Données projet'!$A$192,'Données projet'!$B$192,EJ29+EI30-ER29)))</f>
        <v>39.599999999999994</v>
      </c>
      <c r="EK30" s="17">
        <f>EJ30*VLOOKUP('Données projet'!$B$15,Paramètres!$A$1:$I$89,3,0)*VLOOKUP('Données projet'!$B$15,Paramètres!$A$1:$I$89,5,0)</f>
        <v>42.62543999999999</v>
      </c>
      <c r="EL30" s="13">
        <f t="shared" si="45"/>
        <v>12.691924583898647</v>
      </c>
      <c r="EM30" s="20">
        <f t="shared" si="19"/>
        <v>96.34440998362345</v>
      </c>
      <c r="EN30" s="59">
        <f t="shared" si="20"/>
        <v>389.67774331695676</v>
      </c>
      <c r="EO30" s="59">
        <f ca="1">AVERAGE(OFFSET($EN$3,0,0,'Données projet'!$E$15+1,1))-AVERAGE(OFFSET($H$3,0,0,'Données projet'!$E$15+1,1))</f>
        <v>219.76574638403434</v>
      </c>
      <c r="EP30" s="59">
        <f t="shared" si="46"/>
        <v>92.286636088269972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5.666666666666667</v>
      </c>
      <c r="FE30" s="12">
        <f>IF('Données projet'!$A$218&gt;35,FE29+FD30-FM29,IF(A30&lt;'Données projet'!$A$218,$FB$205^A30,IF(A30='Données projet'!$A$218,'Données projet'!$B$218,FE29+FD30-FM29)))</f>
        <v>101.71945608338704</v>
      </c>
      <c r="FF30" s="17">
        <f>FE30*VLOOKUP('Données projet'!$B$16,Paramètres!$A$1:$I$89,3,0)*VLOOKUP('Données projet'!$B$16,Paramètres!$A$1:$I$89,5,0)</f>
        <v>47.604705447025133</v>
      </c>
      <c r="FG30" s="13">
        <f t="shared" si="47"/>
        <v>13.993408129574757</v>
      </c>
      <c r="FH30" s="20">
        <f t="shared" si="22"/>
        <v>107.28338114591146</v>
      </c>
      <c r="FI30" s="59">
        <f t="shared" si="23"/>
        <v>400.61671447924476</v>
      </c>
      <c r="FJ30" s="59">
        <f ca="1">AVERAGE(OFFSET($FI$3,0,0,'Données projet'!$E$16+1,1))-AVERAGE(OFFSET($H$3,0,0,'Données projet'!$E$16+1,1))</f>
        <v>86.164294406232727</v>
      </c>
      <c r="FK30" s="59">
        <f t="shared" si="48"/>
        <v>138.91188401562334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16.333333333333332</v>
      </c>
      <c r="N31" s="13">
        <f>IF('Données projet'!$A$36&gt;35,N30+M31-V30,IF(A31&lt;'Données projet'!$A$36,$K$205^A31,IF(A31='Données projet'!$A$36,'Données projet'!$B$36,N30+M31-V30)))</f>
        <v>276.66666666666669</v>
      </c>
      <c r="O31" s="13">
        <f>N31*VLOOKUP('Données projet'!$B$9,Paramètres!$A$1:$I$89,3,0)*VLOOKUP('Données projet'!$B$9,Paramètres!$A$1:$I$89,5,0)</f>
        <v>165.44666666666669</v>
      </c>
      <c r="P31" s="13">
        <f t="shared" si="33"/>
        <v>42.06862260999138</v>
      </c>
      <c r="Q31" s="20">
        <f t="shared" si="2"/>
        <v>361.42246215684605</v>
      </c>
      <c r="R31" s="59">
        <f t="shared" si="0"/>
        <v>654.75579549017937</v>
      </c>
      <c r="S31" s="59">
        <f ca="1">AVERAGE(OFFSET($R$3,0,0,'Données projet'!$E$9+1,1))-AVERAGE(OFFSET($H$3,0,0,'Données projet'!$E$9+1,1))</f>
        <v>150.21793637331223</v>
      </c>
      <c r="T31" s="59">
        <f t="shared" si="34"/>
        <v>364.59164590134486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19.132097978497175</v>
      </c>
      <c r="AA31" s="21">
        <f>EXP(-LN(2)/25)*AA30+(1-EXP(-LN(2)/25))/(LN(2)/25)*Calculateur!V31*Calculateur!X31*VLOOKUP('Données projet'!$B$9,Paramètres!$A$1:$I$89,3,0)*0.475*44/12</f>
        <v>11.032367964274552</v>
      </c>
      <c r="AB31" s="21">
        <f>EXP(-LN(2)/2)*AB30+(1-EXP(-LN(2)/2))/(LN(2)/2)*V31*Y31*VLOOKUP('Données projet'!$B$9,Paramètres!$A$1:$I$89,3,0)*0.475*44/12</f>
        <v>1.0518560601293026</v>
      </c>
      <c r="AC31" s="22">
        <f t="shared" si="3"/>
        <v>31.21632200290103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4.8</v>
      </c>
      <c r="AI31" s="13">
        <f>IF('Données projet'!$A$62&gt;35,AI30+AH31-AQ30,IF(A31&lt;'Données projet'!$A$62,$AF$205^A31,IF(A31='Données projet'!$A$62,'Données projet'!$B$62,AI30+AH31-AQ30)))</f>
        <v>44.399999999999991</v>
      </c>
      <c r="AJ31" s="13">
        <f>AI31*VLOOKUP('Données projet'!$B$10,Paramètres!$A$1:$I$89,3,0)*VLOOKUP('Données projet'!$B$10,Paramètres!$A$1:$I$89,5,0)</f>
        <v>48.484799999999986</v>
      </c>
      <c r="AK31" s="13">
        <f t="shared" si="35"/>
        <v>14.221754600605497</v>
      </c>
      <c r="AL31" s="20">
        <f t="shared" si="4"/>
        <v>109.21391592938788</v>
      </c>
      <c r="AM31" s="59">
        <f t="shared" si="5"/>
        <v>402.54724926272121</v>
      </c>
      <c r="AN31" s="59">
        <f ca="1">AVERAGE(OFFSET($AM$3,0,0,'Données projet'!$E$10+1,1))-AVERAGE(OFFSET($H$3,0,0,'Données projet'!$E$10+1,1))</f>
        <v>223.92539057016376</v>
      </c>
      <c r="AO31" s="59">
        <f t="shared" si="36"/>
        <v>94.125825809616856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4.8</v>
      </c>
      <c r="BD31" s="12">
        <f>IF('Données projet'!$A$88&gt;35,BD30+BC31-BL30,IF(A31&lt;'Données projet'!$A$88,$BA$205^A31,IF(A31='Données projet'!$A$88,'Données projet'!$B$88,BD30+BC31-BL30)))</f>
        <v>44.399999999999991</v>
      </c>
      <c r="BE31" s="13">
        <f>BD31*VLOOKUP('Données projet'!$B$11,Paramètres!$A$1:$I$89,3,0)*VLOOKUP('Données projet'!$B$11,Paramètres!$A$1:$I$89,5,0)</f>
        <v>50.562719999999992</v>
      </c>
      <c r="BF31" s="13">
        <f t="shared" si="37"/>
        <v>14.758989764964552</v>
      </c>
      <c r="BG31" s="20">
        <f t="shared" si="7"/>
        <v>113.76864450731324</v>
      </c>
      <c r="BH31" s="59">
        <f t="shared" si="8"/>
        <v>407.10197784064655</v>
      </c>
      <c r="BI31" s="59">
        <f ca="1">AVERAGE(OFFSET($BH$3,0,0,'Données projet'!$E$11+1,1))-AVERAGE(OFFSET($H$3,0,0,'Données projet'!$E$11+1,1))</f>
        <v>236.39682613502913</v>
      </c>
      <c r="BJ31" s="59">
        <f t="shared" si="38"/>
        <v>99.639724892155641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4.8</v>
      </c>
      <c r="CT31" s="12">
        <f>IF('Données projet'!$A$140&gt;35,CT30+CS31-DB30,IF(A31&lt;'Données projet'!$A$140,$CQ$205^A31,IF(A31='Données projet'!$A$140,'Données projet'!$B$140,CT30+CS31-DB30)))</f>
        <v>44.399999999999991</v>
      </c>
      <c r="CU31" s="17">
        <f>CT31*VLOOKUP('Données projet'!$B$13,Paramètres!$A$1:$I$89,3,0)*VLOOKUP('Données projet'!$B$13,Paramètres!$A$1:$I$89,5,0)</f>
        <v>37.402559999999994</v>
      </c>
      <c r="CV31" s="13">
        <f t="shared" si="41"/>
        <v>11.307528174903936</v>
      </c>
      <c r="CW31" s="20">
        <f t="shared" si="13"/>
        <v>84.836736904624345</v>
      </c>
      <c r="CX31" s="59">
        <f t="shared" si="14"/>
        <v>378.17007023795765</v>
      </c>
      <c r="CY31" s="59">
        <f ca="1">AVERAGE(OFFSET($CX$3,0,0,'Données projet'!$E$13+1,1))-AVERAGE(OFFSET($H$3,0,0,'Données projet'!$E$13+1,1))</f>
        <v>157.20393815370375</v>
      </c>
      <c r="CZ31" s="59">
        <f t="shared" si="42"/>
        <v>64.616965816756363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14.2</v>
      </c>
      <c r="DO31" s="12">
        <f>IF('Données projet'!$A$166&gt;35,DO30+DN31-DW30,IF(A31&lt;'Données projet'!$A$166,$DL$205^A31,IF(A31='Données projet'!$A$166,'Données projet'!$B$166,DO30+DN31-DW30)))</f>
        <v>148.59999999999994</v>
      </c>
      <c r="DP31" s="17">
        <f>DO31*VLOOKUP('Données projet'!$B$14,Paramètres!$A$1:$I$89,3,0)*VLOOKUP('Données projet'!$B$14,Paramètres!$A$1:$I$89,5,0)</f>
        <v>120.54431999999997</v>
      </c>
      <c r="DQ31" s="13">
        <f t="shared" si="43"/>
        <v>31.801919536644224</v>
      </c>
      <c r="DR31" s="20">
        <f t="shared" si="16"/>
        <v>265.33636719298863</v>
      </c>
      <c r="DS31" s="59">
        <f t="shared" si="17"/>
        <v>558.669700526322</v>
      </c>
      <c r="DT31" s="59">
        <f ca="1">AVERAGE(OFFSET($DS$3,0,0,'Données projet'!$E$14+1,1))-AVERAGE(OFFSET($H$3,0,0,'Données projet'!$E$14+1,1))</f>
        <v>221.78186926953776</v>
      </c>
      <c r="DU31" s="59">
        <f t="shared" si="44"/>
        <v>276.69392352410654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2.5435423727383069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2.5435423727383069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4.8</v>
      </c>
      <c r="EJ31" s="12">
        <f>IF('Données projet'!$A$192&gt;35,EJ30+EI31-ER30,IF(A31&lt;'Données projet'!$A$192,$EG$205^A31,IF(A31='Données projet'!$A$192,'Données projet'!$B$192,EJ30+EI31-ER30)))</f>
        <v>44.399999999999991</v>
      </c>
      <c r="EK31" s="17">
        <f>EJ31*VLOOKUP('Données projet'!$B$15,Paramètres!$A$1:$I$89,3,0)*VLOOKUP('Données projet'!$B$15,Paramètres!$A$1:$I$89,5,0)</f>
        <v>47.792159999999988</v>
      </c>
      <c r="EL31" s="13">
        <f t="shared" si="45"/>
        <v>14.042085367056567</v>
      </c>
      <c r="EM31" s="20">
        <f t="shared" si="19"/>
        <v>107.69464401429015</v>
      </c>
      <c r="EN31" s="59">
        <f t="shared" si="20"/>
        <v>401.02797734762345</v>
      </c>
      <c r="EO31" s="59">
        <f ca="1">AVERAGE(OFFSET($EN$3,0,0,'Données projet'!$E$15+1,1))-AVERAGE(OFFSET($H$3,0,0,'Données projet'!$E$15+1,1))</f>
        <v>219.76574638403434</v>
      </c>
      <c r="EP31" s="59">
        <f t="shared" si="46"/>
        <v>92.286636088269972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5.666666666666667</v>
      </c>
      <c r="FE31" s="12">
        <f>IF('Données projet'!$A$218&gt;35,FE30+FD31-FM30,IF(A31&lt;'Données projet'!$A$218,$FB$205^A31,IF(A31='Données projet'!$A$218,'Données projet'!$B$218,FE30+FD31-FM30)))</f>
        <v>120.71252284933438</v>
      </c>
      <c r="FF31" s="17">
        <f>FE31*VLOOKUP('Données projet'!$B$16,Paramètres!$A$1:$I$89,3,0)*VLOOKUP('Données projet'!$B$16,Paramètres!$A$1:$I$89,5,0)</f>
        <v>56.493460693488487</v>
      </c>
      <c r="FG31" s="13">
        <f t="shared" si="47"/>
        <v>16.278622665568623</v>
      </c>
      <c r="FH31" s="20">
        <f t="shared" si="22"/>
        <v>126.74471185035777</v>
      </c>
      <c r="FI31" s="59">
        <f t="shared" si="23"/>
        <v>420.07804518369107</v>
      </c>
      <c r="FJ31" s="59">
        <f ca="1">AVERAGE(OFFSET($FI$3,0,0,'Données projet'!$E$16+1,1))-AVERAGE(OFFSET($H$3,0,0,'Données projet'!$E$16+1,1))</f>
        <v>86.164294406232727</v>
      </c>
      <c r="FK31" s="59">
        <f t="shared" si="48"/>
        <v>138.91188401562334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16.333333333333332</v>
      </c>
      <c r="M32" s="12">
        <f t="array" ref="M32">INDEX(L:L,MIN(IF(ISNUMBER(L32:L228),ROW(L32:L228),"")))</f>
        <v>16.333333333333332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150.21793637331223</v>
      </c>
      <c r="T32" s="59">
        <f t="shared" si="34"/>
        <v>364.59164590134486</v>
      </c>
      <c r="U32" s="15">
        <f>IF(ISNA(VLOOKUP(A32,'Données projet'!$A$35:$I$55,3,0)),0,VLOOKUP(A32,'Données projet'!$A$35:$I$55,3,0))</f>
        <v>11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0.36000000000000004</v>
      </c>
      <c r="X32" s="16">
        <f>IF(ISNA(VLOOKUP(A32,'Données projet'!$A$35:$I$55,6,0)),0%,VLOOKUP(A32,'Données projet'!$A$35:$I$55,6,0)*VLOOKUP('Données projet'!$B$9,Paramètres!$A$1:$I$89,7,0))</f>
        <v>4.9500000000000002E-2</v>
      </c>
      <c r="Y32" s="16">
        <f>IF(ISNA(VLOOKUP(A32,'Données projet'!$A$35:$I$55,7,0)),0%,VLOOKUP(A32,'Données projet'!$A$35:$I$55,7,0))</f>
        <v>0.09</v>
      </c>
      <c r="Z32" s="21">
        <f>EXP(-LN(2)/35)*Z31+(1-EXP(-LN(2)/35))/(LN(2)/35)*V32*W32*VLOOKUP('Données projet'!$B$9,Paramètres!$A$1:$I$89,3,0)*0.475*44/12</f>
        <v>18.756929206566351</v>
      </c>
      <c r="AA32" s="21">
        <f>EXP(-LN(2)/25)*AA31+(1-EXP(-LN(2)/25))/(LN(2)/25)*Calculateur!V32*Calculateur!X32*VLOOKUP('Données projet'!$B$9,Paramètres!$A$1:$I$89,3,0)*0.475*44/12</f>
        <v>10.730687282124448</v>
      </c>
      <c r="AB32" s="21">
        <f>EXP(-LN(2)/2)*AB31+(1-EXP(-LN(2)/2))/(LN(2)/2)*V32*Y32*VLOOKUP('Données projet'!$B$9,Paramètres!$A$1:$I$89,3,0)*0.475*44/12</f>
        <v>0.74377455294959471</v>
      </c>
      <c r="AC32" s="22">
        <f t="shared" si="3"/>
        <v>30.231391041640393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4.8</v>
      </c>
      <c r="AI32" s="13">
        <f>IF('Données projet'!$A$62&gt;35,AI31+AH32-AQ31,IF(A32&lt;'Données projet'!$A$62,$AF$205^A32,IF(A32='Données projet'!$A$62,'Données projet'!$B$62,AI31+AH32-AQ31)))</f>
        <v>49.199999999999989</v>
      </c>
      <c r="AJ32" s="13">
        <f>AI32*VLOOKUP('Données projet'!$B$10,Paramètres!$A$1:$I$89,3,0)*VLOOKUP('Données projet'!$B$10,Paramètres!$A$1:$I$89,5,0)</f>
        <v>53.726399999999984</v>
      </c>
      <c r="AK32" s="13">
        <f t="shared" si="35"/>
        <v>15.572055859623617</v>
      </c>
      <c r="AL32" s="20">
        <f t="shared" si="4"/>
        <v>120.69481062217777</v>
      </c>
      <c r="AM32" s="59">
        <f t="shared" si="5"/>
        <v>414.0281439555111</v>
      </c>
      <c r="AN32" s="59">
        <f ca="1">AVERAGE(OFFSET($AM$3,0,0,'Données projet'!$E$10+1,1))-AVERAGE(OFFSET($H$3,0,0,'Données projet'!$E$10+1,1))</f>
        <v>223.92539057016376</v>
      </c>
      <c r="AO32" s="59">
        <f t="shared" si="36"/>
        <v>94.125825809616856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4.8</v>
      </c>
      <c r="BD32" s="12">
        <f>IF('Données projet'!$A$88&gt;35,BD31+BC32-BL31,IF(A32&lt;'Données projet'!$A$88,$BA$205^A32,IF(A32='Données projet'!$A$88,'Données projet'!$B$88,BD31+BC32-BL31)))</f>
        <v>49.199999999999989</v>
      </c>
      <c r="BE32" s="13">
        <f>BD32*VLOOKUP('Données projet'!$B$11,Paramètres!$A$1:$I$89,3,0)*VLOOKUP('Données projet'!$B$11,Paramètres!$A$1:$I$89,5,0)</f>
        <v>56.028959999999984</v>
      </c>
      <c r="BF32" s="13">
        <f t="shared" si="37"/>
        <v>16.160299450101345</v>
      </c>
      <c r="BG32" s="20">
        <f t="shared" si="7"/>
        <v>125.72962687559315</v>
      </c>
      <c r="BH32" s="59">
        <f t="shared" si="8"/>
        <v>419.06296020892648</v>
      </c>
      <c r="BI32" s="59">
        <f ca="1">AVERAGE(OFFSET($BH$3,0,0,'Données projet'!$E$11+1,1))-AVERAGE(OFFSET($H$3,0,0,'Données projet'!$E$11+1,1))</f>
        <v>236.39682613502913</v>
      </c>
      <c r="BJ32" s="59">
        <f t="shared" si="38"/>
        <v>99.639724892155641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4.8</v>
      </c>
      <c r="CT32" s="12">
        <f>IF('Données projet'!$A$140&gt;35,CT31+CS32-DB31,IF(A32&lt;'Données projet'!$A$140,$CQ$205^A32,IF(A32='Données projet'!$A$140,'Données projet'!$B$140,CT31+CS32-DB31)))</f>
        <v>49.199999999999989</v>
      </c>
      <c r="CU32" s="17">
        <f>CT32*VLOOKUP('Données projet'!$B$13,Paramètres!$A$1:$I$89,3,0)*VLOOKUP('Données projet'!$B$13,Paramètres!$A$1:$I$89,5,0)</f>
        <v>41.446079999999995</v>
      </c>
      <c r="CV32" s="13">
        <f t="shared" si="41"/>
        <v>12.381134769852888</v>
      </c>
      <c r="CW32" s="20">
        <f t="shared" si="13"/>
        <v>93.749065724160445</v>
      </c>
      <c r="CX32" s="59">
        <f t="shared" si="14"/>
        <v>387.08239905749377</v>
      </c>
      <c r="CY32" s="59">
        <f ca="1">AVERAGE(OFFSET($CX$3,0,0,'Données projet'!$E$13+1,1))-AVERAGE(OFFSET($H$3,0,0,'Données projet'!$E$13+1,1))</f>
        <v>157.20393815370375</v>
      </c>
      <c r="CZ32" s="59">
        <f t="shared" si="42"/>
        <v>64.616965816756363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14.2</v>
      </c>
      <c r="DO32" s="12">
        <f>IF('Données projet'!$A$166&gt;35,DO31+DN32-DW31,IF(A32&lt;'Données projet'!$A$166,$DL$205^A32,IF(A32='Données projet'!$A$166,'Données projet'!$B$166,DO31+DN32-DW31)))</f>
        <v>162.79999999999993</v>
      </c>
      <c r="DP32" s="17">
        <f>DO32*VLOOKUP('Données projet'!$B$14,Paramètres!$A$1:$I$89,3,0)*VLOOKUP('Données projet'!$B$14,Paramètres!$A$1:$I$89,5,0)</f>
        <v>132.06335999999996</v>
      </c>
      <c r="DQ32" s="13">
        <f t="shared" si="43"/>
        <v>34.472703398877925</v>
      </c>
      <c r="DR32" s="20">
        <f t="shared" si="16"/>
        <v>290.05031041971233</v>
      </c>
      <c r="DS32" s="59">
        <f t="shared" si="17"/>
        <v>583.38364375304559</v>
      </c>
      <c r="DT32" s="59">
        <f ca="1">AVERAGE(OFFSET($DS$3,0,0,'Données projet'!$E$14+1,1))-AVERAGE(OFFSET($H$3,0,0,'Données projet'!$E$14+1,1))</f>
        <v>221.78186926953776</v>
      </c>
      <c r="DU32" s="59">
        <f t="shared" si="44"/>
        <v>276.69392352410654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2.4936650582165671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2.4936650582165671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4.8</v>
      </c>
      <c r="EJ32" s="12">
        <f>IF('Données projet'!$A$192&gt;35,EJ31+EI32-ER31,IF(A32&lt;'Données projet'!$A$192,$EG$205^A32,IF(A32='Données projet'!$A$192,'Données projet'!$B$192,EJ31+EI32-ER31)))</f>
        <v>49.199999999999989</v>
      </c>
      <c r="EK32" s="17">
        <f>EJ32*VLOOKUP('Données projet'!$B$15,Paramètres!$A$1:$I$89,3,0)*VLOOKUP('Données projet'!$B$15,Paramètres!$A$1:$I$89,5,0)</f>
        <v>52.958879999999979</v>
      </c>
      <c r="EL32" s="13">
        <f t="shared" si="45"/>
        <v>15.375327718852537</v>
      </c>
      <c r="EM32" s="20">
        <f t="shared" si="19"/>
        <v>119.01541177700146</v>
      </c>
      <c r="EN32" s="59">
        <f t="shared" si="20"/>
        <v>412.34874511033479</v>
      </c>
      <c r="EO32" s="59">
        <f ca="1">AVERAGE(OFFSET($EN$3,0,0,'Données projet'!$E$15+1,1))-AVERAGE(OFFSET($H$3,0,0,'Données projet'!$E$15+1,1))</f>
        <v>219.76574638403434</v>
      </c>
      <c r="EP32" s="59">
        <f t="shared" si="46"/>
        <v>92.286636088269972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5.666666666666667</v>
      </c>
      <c r="FE32" s="12">
        <f>IF('Données projet'!$A$218&gt;35,FE31+FD32-FM31,IF(A32&lt;'Données projet'!$A$218,$FB$205^A32,IF(A32='Données projet'!$A$218,'Données projet'!$B$218,FE31+FD32-FM31)))</f>
        <v>143.25197689521377</v>
      </c>
      <c r="FF32" s="17">
        <f>FE32*VLOOKUP('Données projet'!$B$16,Paramètres!$A$1:$I$89,3,0)*VLOOKUP('Données projet'!$B$16,Paramètres!$A$1:$I$89,5,0)</f>
        <v>67.041925186960043</v>
      </c>
      <c r="FG32" s="13">
        <f t="shared" si="47"/>
        <v>18.93702759429323</v>
      </c>
      <c r="FH32" s="20">
        <f t="shared" si="22"/>
        <v>149.74667609401612</v>
      </c>
      <c r="FI32" s="59">
        <f t="shared" si="23"/>
        <v>443.08000942734941</v>
      </c>
      <c r="FJ32" s="59">
        <f ca="1">AVERAGE(OFFSET($FI$3,0,0,'Données projet'!$E$16+1,1))-AVERAGE(OFFSET($H$3,0,0,'Données projet'!$E$16+1,1))</f>
        <v>86.164294406232727</v>
      </c>
      <c r="FK32" s="59">
        <f t="shared" si="48"/>
        <v>138.91188401562334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150.21793637331223</v>
      </c>
      <c r="T33" s="59">
        <f t="shared" si="34"/>
        <v>364.59164590134486</v>
      </c>
      <c r="U33" s="15">
        <f>IF(ISNA(VLOOKUP(A33,'Données projet'!$A$35:$I$55,3,0)),0,VLOOKUP(A33,'Données projet'!$A$35:$I$55,3,0))</f>
        <v>12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0.36000000000000004</v>
      </c>
      <c r="X33" s="16">
        <f>IF(ISNA(VLOOKUP(A33,'Données projet'!$A$35:$I$55,6,0)),0%,VLOOKUP(A33,'Données projet'!$A$35:$I$55,6,0)*VLOOKUP('Données projet'!$B$9,Paramètres!$A$1:$I$89,7,0))</f>
        <v>4.9500000000000002E-2</v>
      </c>
      <c r="Y33" s="16">
        <f>IF(ISNA(VLOOKUP(A33,'Données projet'!$A$35:$I$55,7,0)),0%,VLOOKUP(A33,'Données projet'!$A$35:$I$55,7,0))</f>
        <v>0.09</v>
      </c>
      <c r="Z33" s="21">
        <f>EXP(-LN(2)/35)*Z32+(1-EXP(-LN(2)/35))/(LN(2)/35)*V33*W33*VLOOKUP('Données projet'!$B$9,Paramètres!$A$1:$I$89,3,0)*0.475*44/12</f>
        <v>106.63420121923323</v>
      </c>
      <c r="AA33" s="21">
        <f>EXP(-LN(2)/25)*AA32+(1-EXP(-LN(2)/25))/(LN(2)/25)*Calculateur!V33*Calculateur!X33*VLOOKUP('Données projet'!$B$9,Paramètres!$A$1:$I$89,3,0)*0.475*44/12</f>
        <v>22.52318012130474</v>
      </c>
      <c r="AB33" s="21">
        <f>EXP(-LN(2)/2)*AB32+(1-EXP(-LN(2)/2))/(LN(2)/2)*V33*Y33*VLOOKUP('Données projet'!$B$9,Paramètres!$A$1:$I$89,3,0)*0.475*44/12</f>
        <v>19.355381386202843</v>
      </c>
      <c r="AC33" s="22">
        <f t="shared" si="3"/>
        <v>148.51276272674082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54</v>
      </c>
      <c r="AG33" s="12">
        <f>VLOOKUP(A33,'Données projet'!$A$61:$I$81,9,0)</f>
        <v>4.8</v>
      </c>
      <c r="AH33" s="12">
        <f t="array" ref="AH33">INDEX(AG:AG,MIN(IF(ISNUMBER(AG33:AG229),ROW(AG33:AG229),"")))</f>
        <v>4.8</v>
      </c>
      <c r="AI33" s="13">
        <f>IF('Données projet'!$A$62&gt;35,AI32+AH33-AQ32,IF(A33&lt;'Données projet'!$A$62,$AF$205^A33,IF(A33='Données projet'!$A$62,'Données projet'!$B$62,AI32+AH33-AQ32)))</f>
        <v>53.999999999999986</v>
      </c>
      <c r="AJ33" s="13">
        <f>AI33*VLOOKUP('Données projet'!$B$10,Paramètres!$A$1:$I$89,3,0)*VLOOKUP('Données projet'!$B$10,Paramètres!$A$1:$I$89,5,0)</f>
        <v>58.967999999999989</v>
      </c>
      <c r="AK33" s="13">
        <f t="shared" si="35"/>
        <v>16.90708415297112</v>
      </c>
      <c r="AL33" s="20">
        <f t="shared" si="4"/>
        <v>132.14910489975802</v>
      </c>
      <c r="AM33" s="59">
        <f t="shared" si="5"/>
        <v>425.48243823309133</v>
      </c>
      <c r="AN33" s="59">
        <f ca="1">AVERAGE(OFFSET($AM$3,0,0,'Données projet'!$E$10+1,1))-AVERAGE(OFFSET($H$3,0,0,'Données projet'!$E$10+1,1))</f>
        <v>223.92539057016376</v>
      </c>
      <c r="AO33" s="59">
        <f t="shared" si="36"/>
        <v>94.125825809616856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54</v>
      </c>
      <c r="BB33" s="12">
        <f>VLOOKUP(A33,'Données projet'!$A$87:$I$107,9,0)</f>
        <v>4.8</v>
      </c>
      <c r="BC33" s="12">
        <f t="array" ref="BC33">INDEX(BB:BB,MIN(IF(ISNUMBER(BB33:BB229),ROW(BB33:BB229),"")))</f>
        <v>4.8</v>
      </c>
      <c r="BD33" s="12">
        <f>IF('Données projet'!$A$88&gt;35,BD32+BC33-BL32,IF(A33&lt;'Données projet'!$A$88,$BA$205^A33,IF(A33='Données projet'!$A$88,'Données projet'!$B$88,BD32+BC33-BL32)))</f>
        <v>53.999999999999986</v>
      </c>
      <c r="BE33" s="13">
        <f>BD33*VLOOKUP('Données projet'!$B$11,Paramètres!$A$1:$I$89,3,0)*VLOOKUP('Données projet'!$B$11,Paramètres!$A$1:$I$89,5,0)</f>
        <v>61.495199999999983</v>
      </c>
      <c r="BF33" s="13">
        <f t="shared" si="37"/>
        <v>17.545759224285259</v>
      </c>
      <c r="BG33" s="20">
        <f t="shared" si="7"/>
        <v>137.6630039822968</v>
      </c>
      <c r="BH33" s="59">
        <f t="shared" si="8"/>
        <v>430.99633731563011</v>
      </c>
      <c r="BI33" s="59">
        <f ca="1">AVERAGE(OFFSET($BH$3,0,0,'Données projet'!$E$11+1,1))-AVERAGE(OFFSET($H$3,0,0,'Données projet'!$E$11+1,1))</f>
        <v>236.39682613502913</v>
      </c>
      <c r="BJ33" s="59">
        <f t="shared" si="38"/>
        <v>99.639724892155641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54</v>
      </c>
      <c r="CR33" s="12">
        <f>VLOOKUP(A33,'Données projet'!$A$139:$I$159,9,0)</f>
        <v>4.8</v>
      </c>
      <c r="CS33" s="12">
        <f t="array" ref="CS33">INDEX(CR:CR,MIN(IF(ISNUMBER(CR33:CR229),ROW(CR33:CR229),"")))</f>
        <v>4.8</v>
      </c>
      <c r="CT33" s="12">
        <f>IF('Données projet'!$A$140&gt;35,CT32+CS33-DB32,IF(A33&lt;'Données projet'!$A$140,$CQ$205^A33,IF(A33='Données projet'!$A$140,'Données projet'!$B$140,CT32+CS33-DB32)))</f>
        <v>53.999999999999986</v>
      </c>
      <c r="CU33" s="17">
        <f>CT33*VLOOKUP('Données projet'!$B$13,Paramètres!$A$1:$I$89,3,0)*VLOOKUP('Données projet'!$B$13,Paramètres!$A$1:$I$89,5,0)</f>
        <v>45.489599999999989</v>
      </c>
      <c r="CV33" s="13">
        <f t="shared" si="41"/>
        <v>13.442598032668439</v>
      </c>
      <c r="CW33" s="20">
        <f t="shared" si="13"/>
        <v>102.64024490689751</v>
      </c>
      <c r="CX33" s="59">
        <f t="shared" si="14"/>
        <v>395.97357824023084</v>
      </c>
      <c r="CY33" s="59">
        <f ca="1">AVERAGE(OFFSET($CX$3,0,0,'Données projet'!$E$13+1,1))-AVERAGE(OFFSET($H$3,0,0,'Données projet'!$E$13+1,1))</f>
        <v>157.20393815370375</v>
      </c>
      <c r="CZ33" s="59">
        <f t="shared" si="42"/>
        <v>64.616965816756363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177</v>
      </c>
      <c r="DM33" s="12">
        <f>VLOOKUP(A33,'Données projet'!$A$165:$I$185,9,0)</f>
        <v>14.2</v>
      </c>
      <c r="DN33" s="12">
        <f t="array" ref="DN33">INDEX(DM:DM,MIN(IF(ISNUMBER(DM33:DM229),ROW(DM33:DM229),"")))</f>
        <v>14.2</v>
      </c>
      <c r="DO33" s="12">
        <f>IF('Données projet'!$A$166&gt;35,DO32+DN33-DW32,IF(A33&lt;'Données projet'!$A$166,$DL$205^A33,IF(A33='Données projet'!$A$166,'Données projet'!$B$166,DO32+DN33-DW32)))</f>
        <v>176.99999999999991</v>
      </c>
      <c r="DP33" s="17">
        <f>DO33*VLOOKUP('Données projet'!$B$14,Paramètres!$A$1:$I$89,3,0)*VLOOKUP('Données projet'!$B$14,Paramètres!$A$1:$I$89,5,0)</f>
        <v>143.58239999999995</v>
      </c>
      <c r="DQ33" s="13">
        <f t="shared" si="43"/>
        <v>37.116472314400653</v>
      </c>
      <c r="DR33" s="20">
        <f t="shared" si="16"/>
        <v>314.7172026142477</v>
      </c>
      <c r="DS33" s="59">
        <f t="shared" si="17"/>
        <v>608.05053594758101</v>
      </c>
      <c r="DT33" s="59">
        <f ca="1">AVERAGE(OFFSET($DS$3,0,0,'Données projet'!$E$14+1,1))-AVERAGE(OFFSET($H$3,0,0,'Données projet'!$E$14+1,1))</f>
        <v>221.78186926953776</v>
      </c>
      <c r="DU33" s="59">
        <f t="shared" si="44"/>
        <v>276.69392352410654</v>
      </c>
      <c r="DV33" s="15">
        <f>IF(ISNA(VLOOKUP(A33,'Données projet'!$A$165:$I$185,3,0)),0,VLOOKUP(A33,'Données projet'!$A$165:$I$185,3,0))</f>
        <v>5</v>
      </c>
      <c r="DW33" s="15">
        <f>IF(ISNA(VLOOKUP(A33,'Données projet'!$A$165:$I$185,4,0)),0,VLOOKUP(A33,'Données projet'!$A$165:$I$185,4,0))</f>
        <v>35</v>
      </c>
      <c r="DX33" s="16">
        <f>IF(ISNA(VLOOKUP(A33,'Données projet'!$A$165:$I$185,5,0)),0%,VLOOKUP(A33,'Données projet'!$A$165:$I$185,5,0)*VLOOKUP('Données projet'!$B$14,Paramètres!$A$1:$I$89,7,0))</f>
        <v>0.129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6.4936262444356805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6.4936262444356805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54</v>
      </c>
      <c r="EH33" s="12">
        <f>VLOOKUP(A33,'Données projet'!$A$191:$I$211,9,0)</f>
        <v>4.8</v>
      </c>
      <c r="EI33" s="12">
        <f t="array" ref="EI33">INDEX(EH:EH,MIN(IF(ISNUMBER(EH33:EH229),ROW(EH33:EH229),"")))</f>
        <v>4.8</v>
      </c>
      <c r="EJ33" s="12">
        <f>IF('Données projet'!$A$192&gt;35,EJ32+EI33-ER32,IF(A33&lt;'Données projet'!$A$192,$EG$205^A33,IF(A33='Données projet'!$A$192,'Données projet'!$B$192,EJ32+EI33-ER32)))</f>
        <v>53.999999999999986</v>
      </c>
      <c r="EK33" s="17">
        <f>EJ33*VLOOKUP('Données projet'!$B$15,Paramètres!$A$1:$I$89,3,0)*VLOOKUP('Données projet'!$B$15,Paramètres!$A$1:$I$89,5,0)</f>
        <v>58.125599999999977</v>
      </c>
      <c r="EL33" s="13">
        <f t="shared" si="45"/>
        <v>16.693490054590161</v>
      </c>
      <c r="EM33" s="20">
        <f t="shared" si="19"/>
        <v>130.30991517841116</v>
      </c>
      <c r="EN33" s="59">
        <f t="shared" si="20"/>
        <v>423.64324851174445</v>
      </c>
      <c r="EO33" s="59">
        <f ca="1">AVERAGE(OFFSET($EN$3,0,0,'Données projet'!$E$15+1,1))-AVERAGE(OFFSET($H$3,0,0,'Données projet'!$E$15+1,1))</f>
        <v>219.76574638403434</v>
      </c>
      <c r="EP33" s="59">
        <f t="shared" si="46"/>
        <v>92.286636088269972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170</v>
      </c>
      <c r="FC33" s="12">
        <f>VLOOKUP(A33,'Données projet'!$A$217:$I$237,9,0)</f>
        <v>5.666666666666667</v>
      </c>
      <c r="FD33" s="12">
        <f t="array" ref="FD33">INDEX(FC:FC,MIN(IF(ISNUMBER(FC33:FC229),ROW(FC33:FC229),"")))</f>
        <v>5.666666666666667</v>
      </c>
      <c r="FE33" s="12">
        <f>IF('Données projet'!$A$218&gt;35,FE32+FD33-FM32,IF(A33&lt;'Données projet'!$A$218,$FB$205^A33,IF(A33='Données projet'!$A$218,'Données projet'!$B$218,FE32+FD33-FM32)))</f>
        <v>170</v>
      </c>
      <c r="FF33" s="17">
        <f>FE33*VLOOKUP('Données projet'!$B$16,Paramètres!$A$1:$I$89,3,0)*VLOOKUP('Données projet'!$B$16,Paramètres!$A$1:$I$89,5,0)</f>
        <v>79.56</v>
      </c>
      <c r="FG33" s="13">
        <f t="shared" si="47"/>
        <v>22.029567333453311</v>
      </c>
      <c r="FH33" s="20">
        <f t="shared" si="22"/>
        <v>176.93516310576453</v>
      </c>
      <c r="FI33" s="59">
        <f t="shared" si="23"/>
        <v>470.26849643909782</v>
      </c>
      <c r="FJ33" s="59">
        <f ca="1">AVERAGE(OFFSET($FI$3,0,0,'Données projet'!$E$16+1,1))-AVERAGE(OFFSET($H$3,0,0,'Données projet'!$E$16+1,1))</f>
        <v>86.164294406232727</v>
      </c>
      <c r="FK33" s="59">
        <f t="shared" si="48"/>
        <v>138.91188401562334</v>
      </c>
      <c r="FL33" s="15">
        <f>IF(ISNA(VLOOKUP(A33,'Données projet'!$A$217:$I$237,3,0)),0,VLOOKUP(A33,'Données projet'!$A$217:$I$237,3,0))</f>
        <v>1</v>
      </c>
      <c r="FM33" s="15">
        <f>IF(ISNA(VLOOKUP(A33,'Données projet'!$A$217:$I$237,4,0)),0,VLOOKUP(A33,'Données projet'!$A$217:$I$237,4,0))</f>
        <v>70</v>
      </c>
      <c r="FN33" s="16">
        <f>IF(ISNA(VLOOKUP(A33,'Données projet'!$A$217:$I$237,5,0)),0%,VLOOKUP(A33,'Données projet'!$A$217:$I$237,5,0)*VLOOKUP('Données projet'!$B$16,Paramètres!$A$1:$I$89,7,0))</f>
        <v>0.11000000000000001</v>
      </c>
      <c r="FO33" s="16">
        <f>IF(ISNA(VLOOKUP(A33,'Données projet'!$A$217:$I$237,6,0)),0%,VLOOKUP(A33,'Données projet'!$A$217:$I$237,6,0)*VLOOKUP('Données projet'!$B$16,Paramètres!$A$1:$I$89,7,0))</f>
        <v>0.24750000000000003</v>
      </c>
      <c r="FP33" s="16">
        <f>IF(ISNA(VLOOKUP(A33,'Données projet'!$A$217:$I$237,7,0)),0%,VLOOKUP(A33,'Données projet'!$A$217:$I$237,7,0))</f>
        <v>0.35</v>
      </c>
      <c r="FQ33" s="21">
        <f>EXP(-LN(2)/35)*FQ32+(1-EXP(-LN(2)/35))/(LN(2)/35)*FM33*FN33*VLOOKUP('Données projet'!$B$16,Paramètres!$A$1:$I$89,3,0)*0.475*44/12</f>
        <v>4.7804076716219273</v>
      </c>
      <c r="FR33" s="21">
        <f>EXP(-LN(2)/25)*FR32+(1-EXP(-LN(2)/25))/(LN(2)/25)*Calculateur!FM33*Calculateur!FO33*VLOOKUP('Données projet'!$B$16,Paramètres!$A$1:$I$89,3,0)*0.475*44/12</f>
        <v>10.713567116566411</v>
      </c>
      <c r="FS33" s="21">
        <f>EXP(-LN(2)/2)*FS32+(1-EXP(-LN(2)/2))/(LN(2)/2)*FM33*FP33*VLOOKUP('Données projet'!$B$16,Paramètres!$A$1:$I$89,3,0)*0.475*44/12</f>
        <v>12.982175523438457</v>
      </c>
      <c r="FT33" s="22">
        <f t="shared" si="24"/>
        <v>28.476150311626796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150.21793637331223</v>
      </c>
      <c r="T34" s="59">
        <f t="shared" si="34"/>
        <v>364.59164590134486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104.5431695737646</v>
      </c>
      <c r="AA34" s="21">
        <f>EXP(-LN(2)/25)*AA33+(1-EXP(-LN(2)/25))/(LN(2)/25)*Calculateur!V34*Calculateur!X34*VLOOKUP('Données projet'!$B$9,Paramètres!$A$1:$I$89,3,0)*0.475*44/12</f>
        <v>21.907282576445098</v>
      </c>
      <c r="AB34" s="21">
        <f>EXP(-LN(2)/2)*AB33+(1-EXP(-LN(2)/2))/(LN(2)/2)*V34*Y34*VLOOKUP('Données projet'!$B$9,Paramètres!$A$1:$I$89,3,0)*0.475*44/12</f>
        <v>13.68632143063591</v>
      </c>
      <c r="AC34" s="22">
        <f t="shared" si="3"/>
        <v>140.13677358084561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5</v>
      </c>
      <c r="AI34" s="13">
        <f>IF('Données projet'!$A$62&gt;35,AI33+AH34-AQ33,IF(A34&lt;'Données projet'!$A$62,$AF$205^A34,IF(A34='Données projet'!$A$62,'Données projet'!$B$62,AI33+AH34-AQ33)))</f>
        <v>58.999999999999986</v>
      </c>
      <c r="AJ34" s="13">
        <f>AI34*VLOOKUP('Données projet'!$B$10,Paramètres!$A$1:$I$89,3,0)*VLOOKUP('Données projet'!$B$10,Paramètres!$A$1:$I$89,5,0)</f>
        <v>64.427999999999983</v>
      </c>
      <c r="AK34" s="13">
        <f t="shared" si="35"/>
        <v>18.283124878638205</v>
      </c>
      <c r="AL34" s="20">
        <f t="shared" si="4"/>
        <v>144.05520916362818</v>
      </c>
      <c r="AM34" s="59">
        <f t="shared" si="5"/>
        <v>437.38854249696146</v>
      </c>
      <c r="AN34" s="59">
        <f ca="1">AVERAGE(OFFSET($AM$3,0,0,'Données projet'!$E$10+1,1))-AVERAGE(OFFSET($H$3,0,0,'Données projet'!$E$10+1,1))</f>
        <v>223.92539057016376</v>
      </c>
      <c r="AO34" s="59">
        <f t="shared" si="36"/>
        <v>94.125825809616856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</v>
      </c>
      <c r="BD34" s="12">
        <f>IF('Données projet'!$A$88&gt;35,BD33+BC34-BL33,IF(A34&lt;'Données projet'!$A$88,$BA$205^A34,IF(A34='Données projet'!$A$88,'Données projet'!$B$88,BD33+BC34-BL33)))</f>
        <v>58.999999999999986</v>
      </c>
      <c r="BE34" s="13">
        <f>BD34*VLOOKUP('Données projet'!$B$11,Paramètres!$A$1:$I$89,3,0)*VLOOKUP('Données projet'!$B$11,Paramètres!$A$1:$I$89,5,0)</f>
        <v>67.189199999999985</v>
      </c>
      <c r="BF34" s="13">
        <f t="shared" si="37"/>
        <v>18.973780699598183</v>
      </c>
      <c r="BG34" s="20">
        <f t="shared" si="7"/>
        <v>150.06719138513347</v>
      </c>
      <c r="BH34" s="59">
        <f t="shared" si="8"/>
        <v>443.40052471846678</v>
      </c>
      <c r="BI34" s="59">
        <f ca="1">AVERAGE(OFFSET($BH$3,0,0,'Données projet'!$E$11+1,1))-AVERAGE(OFFSET($H$3,0,0,'Données projet'!$E$11+1,1))</f>
        <v>236.39682613502913</v>
      </c>
      <c r="BJ34" s="59">
        <f t="shared" si="38"/>
        <v>99.639724892155641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</v>
      </c>
      <c r="CT34" s="12">
        <f>IF('Données projet'!$A$140&gt;35,CT33+CS34-DB33,IF(A34&lt;'Données projet'!$A$140,$CQ$205^A34,IF(A34='Données projet'!$A$140,'Données projet'!$B$140,CT33+CS34-DB33)))</f>
        <v>58.999999999999986</v>
      </c>
      <c r="CU34" s="17">
        <f>CT34*VLOOKUP('Données projet'!$B$13,Paramètres!$A$1:$I$89,3,0)*VLOOKUP('Données projet'!$B$13,Paramètres!$A$1:$I$89,5,0)</f>
        <v>49.701599999999992</v>
      </c>
      <c r="CV34" s="13">
        <f t="shared" si="41"/>
        <v>14.536669735651794</v>
      </c>
      <c r="CW34" s="20">
        <f t="shared" si="13"/>
        <v>111.88165312292686</v>
      </c>
      <c r="CX34" s="59">
        <f t="shared" si="14"/>
        <v>405.21498645626019</v>
      </c>
      <c r="CY34" s="59">
        <f ca="1">AVERAGE(OFFSET($CX$3,0,0,'Données projet'!$E$13+1,1))-AVERAGE(OFFSET($H$3,0,0,'Données projet'!$E$13+1,1))</f>
        <v>157.20393815370375</v>
      </c>
      <c r="CZ34" s="59">
        <f t="shared" si="42"/>
        <v>64.616965816756363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12.8</v>
      </c>
      <c r="DO34" s="12">
        <f>IF('Données projet'!$A$166&gt;35,DO33+DN34-DW33,IF(A34&lt;'Données projet'!$A$166,$DL$205^A34,IF(A34='Données projet'!$A$166,'Données projet'!$B$166,DO33+DN34-DW33)))</f>
        <v>154.79999999999993</v>
      </c>
      <c r="DP34" s="17">
        <f>DO34*VLOOKUP('Données projet'!$B$14,Paramètres!$A$1:$I$89,3,0)*VLOOKUP('Données projet'!$B$14,Paramètres!$A$1:$I$89,5,0)</f>
        <v>125.57375999999995</v>
      </c>
      <c r="DQ34" s="13">
        <f t="shared" si="43"/>
        <v>32.97153235129214</v>
      </c>
      <c r="DR34" s="20">
        <f t="shared" si="16"/>
        <v>276.13305084516702</v>
      </c>
      <c r="DS34" s="59">
        <f t="shared" si="17"/>
        <v>569.46638417850033</v>
      </c>
      <c r="DT34" s="59">
        <f ca="1">AVERAGE(OFFSET($DS$3,0,0,'Données projet'!$E$14+1,1))-AVERAGE(OFFSET($H$3,0,0,'Données projet'!$E$14+1,1))</f>
        <v>221.78186926953776</v>
      </c>
      <c r="DU34" s="59">
        <f t="shared" si="44"/>
        <v>276.69392352410654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6.3662901945032173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6.3662901945032173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5</v>
      </c>
      <c r="EJ34" s="12">
        <f>IF('Données projet'!$A$192&gt;35,EJ33+EI34-ER33,IF(A34&lt;'Données projet'!$A$192,$EG$205^A34,IF(A34='Données projet'!$A$192,'Données projet'!$B$192,EJ33+EI34-ER33)))</f>
        <v>58.999999999999986</v>
      </c>
      <c r="EK34" s="17">
        <f>EJ34*VLOOKUP('Données projet'!$B$15,Paramètres!$A$1:$I$89,3,0)*VLOOKUP('Données projet'!$B$15,Paramètres!$A$1:$I$89,5,0)</f>
        <v>63.507599999999982</v>
      </c>
      <c r="EL34" s="13">
        <f t="shared" si="45"/>
        <v>18.052146695841799</v>
      </c>
      <c r="EM34" s="20">
        <f t="shared" si="19"/>
        <v>142.04989216192442</v>
      </c>
      <c r="EN34" s="59">
        <f t="shared" si="20"/>
        <v>435.38322549525776</v>
      </c>
      <c r="EO34" s="59">
        <f ca="1">AVERAGE(OFFSET($EN$3,0,0,'Données projet'!$E$15+1,1))-AVERAGE(OFFSET($H$3,0,0,'Données projet'!$E$15+1,1))</f>
        <v>219.76574638403434</v>
      </c>
      <c r="EP34" s="59">
        <f t="shared" si="46"/>
        <v>92.286636088269972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10</v>
      </c>
      <c r="FE34" s="12">
        <f>IF('Données projet'!$A$218&gt;35,FE33+FD34-FM33,IF(A34&lt;'Données projet'!$A$218,$FB$205^A34,IF(A34='Données projet'!$A$218,'Données projet'!$B$218,FE33+FD34-FM33)))</f>
        <v>110</v>
      </c>
      <c r="FF34" s="17">
        <f>FE34*VLOOKUP('Données projet'!$B$16,Paramètres!$A$1:$I$89,3,0)*VLOOKUP('Données projet'!$B$16,Paramètres!$A$1:$I$89,5,0)</f>
        <v>51.480000000000004</v>
      </c>
      <c r="FG34" s="13">
        <f t="shared" si="47"/>
        <v>14.995324806875232</v>
      </c>
      <c r="FH34" s="20">
        <f t="shared" si="22"/>
        <v>115.77785737197435</v>
      </c>
      <c r="FI34" s="59">
        <f t="shared" si="23"/>
        <v>409.11119070530765</v>
      </c>
      <c r="FJ34" s="59">
        <f ca="1">AVERAGE(OFFSET($FI$3,0,0,'Données projet'!$E$16+1,1))-AVERAGE(OFFSET($H$3,0,0,'Données projet'!$E$16+1,1))</f>
        <v>86.164294406232727</v>
      </c>
      <c r="FK34" s="59">
        <f t="shared" si="48"/>
        <v>138.91188401562334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4.6866667929421935</v>
      </c>
      <c r="FR34" s="21">
        <f>EXP(-LN(2)/25)*FR33+(1-EXP(-LN(2)/25))/(LN(2)/25)*Calculateur!FM34*Calculateur!FO34*VLOOKUP('Données projet'!$B$16,Paramètres!$A$1:$I$89,3,0)*0.475*44/12</f>
        <v>10.420604060361894</v>
      </c>
      <c r="FS34" s="21">
        <f>EXP(-LN(2)/2)*FS33+(1-EXP(-LN(2)/2))/(LN(2)/2)*FM34*FP34*VLOOKUP('Données projet'!$B$16,Paramètres!$A$1:$I$89,3,0)*0.475*44/12</f>
        <v>9.1797843471773497</v>
      </c>
      <c r="FT34" s="22">
        <f t="shared" si="24"/>
        <v>24.287055200481436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150.21793637331223</v>
      </c>
      <c r="T35" s="59">
        <f t="shared" si="34"/>
        <v>364.59164590134486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102.49314178346025</v>
      </c>
      <c r="AA35" s="21">
        <f>EXP(-LN(2)/25)*AA34+(1-EXP(-LN(2)/25))/(LN(2)/25)*Calculateur!V35*Calculateur!X35*VLOOKUP('Données projet'!$B$9,Paramètres!$A$1:$I$89,3,0)*0.475*44/12</f>
        <v>21.308226782338288</v>
      </c>
      <c r="AB35" s="21">
        <f>EXP(-LN(2)/2)*AB34+(1-EXP(-LN(2)/2))/(LN(2)/2)*V35*Y35*VLOOKUP('Données projet'!$B$9,Paramètres!$A$1:$I$89,3,0)*0.475*44/12</f>
        <v>9.6776906931014235</v>
      </c>
      <c r="AC35" s="22">
        <f t="shared" si="3"/>
        <v>133.47905925889995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5</v>
      </c>
      <c r="AI35" s="13">
        <f>IF('Données projet'!$A$62&gt;35,AI34+AH35-AQ34,IF(A35&lt;'Données projet'!$A$62,$AF$205^A35,IF(A35='Données projet'!$A$62,'Données projet'!$B$62,AI34+AH35-AQ34)))</f>
        <v>63.999999999999986</v>
      </c>
      <c r="AJ35" s="13">
        <f>AI35*VLOOKUP('Données projet'!$B$10,Paramètres!$A$1:$I$89,3,0)*VLOOKUP('Données projet'!$B$10,Paramètres!$A$1:$I$89,5,0)</f>
        <v>69.887999999999991</v>
      </c>
      <c r="AK35" s="13">
        <f t="shared" si="35"/>
        <v>19.645641432461961</v>
      </c>
      <c r="AL35" s="20">
        <f t="shared" si="4"/>
        <v>155.93775882820455</v>
      </c>
      <c r="AM35" s="59">
        <f t="shared" si="5"/>
        <v>449.27109216153787</v>
      </c>
      <c r="AN35" s="59">
        <f ca="1">AVERAGE(OFFSET($AM$3,0,0,'Données projet'!$E$10+1,1))-AVERAGE(OFFSET($H$3,0,0,'Données projet'!$E$10+1,1))</f>
        <v>223.92539057016376</v>
      </c>
      <c r="AO35" s="59">
        <f t="shared" si="36"/>
        <v>94.125825809616856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</v>
      </c>
      <c r="BD35" s="12">
        <f>IF('Données projet'!$A$88&gt;35,BD34+BC35-BL34,IF(A35&lt;'Données projet'!$A$88,$BA$205^A35,IF(A35='Données projet'!$A$88,'Données projet'!$B$88,BD34+BC35-BL34)))</f>
        <v>63.999999999999986</v>
      </c>
      <c r="BE35" s="13">
        <f>BD35*VLOOKUP('Données projet'!$B$11,Paramètres!$A$1:$I$89,3,0)*VLOOKUP('Données projet'!$B$11,Paramètres!$A$1:$I$89,5,0)</f>
        <v>72.883199999999988</v>
      </c>
      <c r="BF35" s="13">
        <f t="shared" si="37"/>
        <v>20.387767119503298</v>
      </c>
      <c r="BG35" s="20">
        <f t="shared" si="7"/>
        <v>162.44693439980156</v>
      </c>
      <c r="BH35" s="59">
        <f t="shared" si="8"/>
        <v>455.78026773313491</v>
      </c>
      <c r="BI35" s="59">
        <f ca="1">AVERAGE(OFFSET($BH$3,0,0,'Données projet'!$E$11+1,1))-AVERAGE(OFFSET($H$3,0,0,'Données projet'!$E$11+1,1))</f>
        <v>236.39682613502913</v>
      </c>
      <c r="BJ35" s="59">
        <f t="shared" si="38"/>
        <v>99.639724892155641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</v>
      </c>
      <c r="CT35" s="12">
        <f>IF('Données projet'!$A$140&gt;35,CT34+CS35-DB34,IF(A35&lt;'Données projet'!$A$140,$CQ$205^A35,IF(A35='Données projet'!$A$140,'Données projet'!$B$140,CT34+CS35-DB34)))</f>
        <v>63.999999999999986</v>
      </c>
      <c r="CU35" s="17">
        <f>CT35*VLOOKUP('Données projet'!$B$13,Paramètres!$A$1:$I$89,3,0)*VLOOKUP('Données projet'!$B$13,Paramètres!$A$1:$I$89,5,0)</f>
        <v>53.913599999999995</v>
      </c>
      <c r="CV35" s="13">
        <f t="shared" si="41"/>
        <v>15.619988549244528</v>
      </c>
      <c r="CW35" s="20">
        <f t="shared" si="13"/>
        <v>121.10433338993421</v>
      </c>
      <c r="CX35" s="59">
        <f t="shared" si="14"/>
        <v>414.43766672326751</v>
      </c>
      <c r="CY35" s="59">
        <f ca="1">AVERAGE(OFFSET($CX$3,0,0,'Données projet'!$E$13+1,1))-AVERAGE(OFFSET($H$3,0,0,'Données projet'!$E$13+1,1))</f>
        <v>157.20393815370375</v>
      </c>
      <c r="CZ35" s="59">
        <f t="shared" si="42"/>
        <v>64.616965816756363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12.8</v>
      </c>
      <c r="DO35" s="12">
        <f>IF('Données projet'!$A$166&gt;35,DO34+DN35-DW34,IF(A35&lt;'Données projet'!$A$166,$DL$205^A35,IF(A35='Données projet'!$A$166,'Données projet'!$B$166,DO34+DN35-DW34)))</f>
        <v>167.59999999999994</v>
      </c>
      <c r="DP35" s="17">
        <f>DO35*VLOOKUP('Données projet'!$B$14,Paramètres!$A$1:$I$89,3,0)*VLOOKUP('Données projet'!$B$14,Paramètres!$A$1:$I$89,5,0)</f>
        <v>135.95711999999997</v>
      </c>
      <c r="DQ35" s="13">
        <f t="shared" si="43"/>
        <v>35.369264877838596</v>
      </c>
      <c r="DR35" s="20">
        <f t="shared" si="16"/>
        <v>298.39345366223546</v>
      </c>
      <c r="DS35" s="59">
        <f t="shared" si="17"/>
        <v>591.72678699556877</v>
      </c>
      <c r="DT35" s="59">
        <f ca="1">AVERAGE(OFFSET($DS$3,0,0,'Données projet'!$E$14+1,1))-AVERAGE(OFFSET($H$3,0,0,'Données projet'!$E$14+1,1))</f>
        <v>221.78186926953776</v>
      </c>
      <c r="DU35" s="59">
        <f t="shared" si="44"/>
        <v>276.69392352410654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6.2414511268426081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6.2414511268426081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5</v>
      </c>
      <c r="EJ35" s="12">
        <f>IF('Données projet'!$A$192&gt;35,EJ34+EI35-ER34,IF(A35&lt;'Données projet'!$A$192,$EG$205^A35,IF(A35='Données projet'!$A$192,'Données projet'!$B$192,EJ34+EI35-ER34)))</f>
        <v>63.999999999999986</v>
      </c>
      <c r="EK35" s="17">
        <f>EJ35*VLOOKUP('Données projet'!$B$15,Paramètres!$A$1:$I$89,3,0)*VLOOKUP('Données projet'!$B$15,Paramètres!$A$1:$I$89,5,0)</f>
        <v>68.889599999999987</v>
      </c>
      <c r="EL35" s="13">
        <f t="shared" si="45"/>
        <v>19.397450021635805</v>
      </c>
      <c r="EM35" s="20">
        <f t="shared" si="19"/>
        <v>153.76661212101567</v>
      </c>
      <c r="EN35" s="59">
        <f t="shared" si="20"/>
        <v>447.09994545434898</v>
      </c>
      <c r="EO35" s="59">
        <f ca="1">AVERAGE(OFFSET($EN$3,0,0,'Données projet'!$E$15+1,1))-AVERAGE(OFFSET($H$3,0,0,'Données projet'!$E$15+1,1))</f>
        <v>219.76574638403434</v>
      </c>
      <c r="EP35" s="59">
        <f t="shared" si="46"/>
        <v>92.286636088269972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10</v>
      </c>
      <c r="FE35" s="12">
        <f>IF('Données projet'!$A$218&gt;35,FE34+FD35-FM34,IF(A35&lt;'Données projet'!$A$218,$FB$205^A35,IF(A35='Données projet'!$A$218,'Données projet'!$B$218,FE34+FD35-FM34)))</f>
        <v>120</v>
      </c>
      <c r="FF35" s="17">
        <f>FE35*VLOOKUP('Données projet'!$B$16,Paramètres!$A$1:$I$89,3,0)*VLOOKUP('Données projet'!$B$16,Paramètres!$A$1:$I$89,5,0)</f>
        <v>56.16</v>
      </c>
      <c r="FG35" s="13">
        <f t="shared" si="47"/>
        <v>16.193691060657031</v>
      </c>
      <c r="FH35" s="20">
        <f t="shared" si="22"/>
        <v>126.01601193064431</v>
      </c>
      <c r="FI35" s="59">
        <f t="shared" si="23"/>
        <v>419.34934526397763</v>
      </c>
      <c r="FJ35" s="59">
        <f ca="1">AVERAGE(OFFSET($FI$3,0,0,'Données projet'!$E$16+1,1))-AVERAGE(OFFSET($H$3,0,0,'Données projet'!$E$16+1,1))</f>
        <v>86.164294406232727</v>
      </c>
      <c r="FK35" s="59">
        <f t="shared" si="48"/>
        <v>138.91188401562334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4.5947641157170791</v>
      </c>
      <c r="FR35" s="21">
        <f>EXP(-LN(2)/25)*FR34+(1-EXP(-LN(2)/25))/(LN(2)/25)*Calculateur!FM35*Calculateur!FO35*VLOOKUP('Données projet'!$B$16,Paramètres!$A$1:$I$89,3,0)*0.475*44/12</f>
        <v>10.135652094335548</v>
      </c>
      <c r="FS35" s="21">
        <f>EXP(-LN(2)/2)*FS34+(1-EXP(-LN(2)/2))/(LN(2)/2)*FM35*FP35*VLOOKUP('Données projet'!$B$16,Paramètres!$A$1:$I$89,3,0)*0.475*44/12</f>
        <v>6.4910877617192284</v>
      </c>
      <c r="FT35" s="22">
        <f t="shared" si="24"/>
        <v>21.221503971771856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150.21793637331223</v>
      </c>
      <c r="T36" s="59">
        <f t="shared" si="34"/>
        <v>364.59164590134486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100.48331378773027</v>
      </c>
      <c r="AA36" s="21">
        <f>EXP(-LN(2)/25)*AA35+(1-EXP(-LN(2)/25))/(LN(2)/25)*Calculateur!V36*Calculateur!X36*VLOOKUP('Données projet'!$B$9,Paramètres!$A$1:$I$89,3,0)*0.475*44/12</f>
        <v>20.7255522004243</v>
      </c>
      <c r="AB36" s="21">
        <f>EXP(-LN(2)/2)*AB35+(1-EXP(-LN(2)/2))/(LN(2)/2)*V36*Y36*VLOOKUP('Données projet'!$B$9,Paramètres!$A$1:$I$89,3,0)*0.475*44/12</f>
        <v>6.8431607153179561</v>
      </c>
      <c r="AC36" s="22">
        <f t="shared" si="3"/>
        <v>128.05202670347254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5</v>
      </c>
      <c r="AI36" s="13">
        <f>IF('Données projet'!$A$62&gt;35,AI35+AH36-AQ35,IF(A36&lt;'Données projet'!$A$62,$AF$205^A36,IF(A36='Données projet'!$A$62,'Données projet'!$B$62,AI35+AH36-AQ35)))</f>
        <v>68.999999999999986</v>
      </c>
      <c r="AJ36" s="13">
        <f>AI36*VLOOKUP('Données projet'!$B$10,Paramètres!$A$1:$I$89,3,0)*VLOOKUP('Données projet'!$B$10,Paramètres!$A$1:$I$89,5,0)</f>
        <v>75.347999999999985</v>
      </c>
      <c r="AK36" s="13">
        <f t="shared" si="35"/>
        <v>20.99581051771704</v>
      </c>
      <c r="AL36" s="20">
        <f t="shared" si="4"/>
        <v>167.79880331835713</v>
      </c>
      <c r="AM36" s="59">
        <f t="shared" si="5"/>
        <v>461.13213665169042</v>
      </c>
      <c r="AN36" s="59">
        <f ca="1">AVERAGE(OFFSET($AM$3,0,0,'Données projet'!$E$10+1,1))-AVERAGE(OFFSET($H$3,0,0,'Données projet'!$E$10+1,1))</f>
        <v>223.92539057016376</v>
      </c>
      <c r="AO36" s="59">
        <f t="shared" si="36"/>
        <v>94.125825809616856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</v>
      </c>
      <c r="BD36" s="12">
        <f>IF('Données projet'!$A$88&gt;35,BD35+BC36-BL35,IF(A36&lt;'Données projet'!$A$88,$BA$205^A36,IF(A36='Données projet'!$A$88,'Données projet'!$B$88,BD35+BC36-BL35)))</f>
        <v>68.999999999999986</v>
      </c>
      <c r="BE36" s="13">
        <f>BD36*VLOOKUP('Données projet'!$B$11,Paramètres!$A$1:$I$89,3,0)*VLOOKUP('Données projet'!$B$11,Paramètres!$A$1:$I$89,5,0)</f>
        <v>78.577199999999991</v>
      </c>
      <c r="BF36" s="13">
        <f t="shared" si="37"/>
        <v>21.788939637935243</v>
      </c>
      <c r="BG36" s="20">
        <f t="shared" si="7"/>
        <v>174.80435986940384</v>
      </c>
      <c r="BH36" s="59">
        <f t="shared" si="8"/>
        <v>468.13769320273718</v>
      </c>
      <c r="BI36" s="59">
        <f ca="1">AVERAGE(OFFSET($BH$3,0,0,'Données projet'!$E$11+1,1))-AVERAGE(OFFSET($H$3,0,0,'Données projet'!$E$11+1,1))</f>
        <v>236.39682613502913</v>
      </c>
      <c r="BJ36" s="59">
        <f t="shared" si="38"/>
        <v>99.639724892155641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</v>
      </c>
      <c r="CT36" s="12">
        <f>IF('Données projet'!$A$140&gt;35,CT35+CS36-DB35,IF(A36&lt;'Données projet'!$A$140,$CQ$205^A36,IF(A36='Données projet'!$A$140,'Données projet'!$B$140,CT35+CS36-DB35)))</f>
        <v>68.999999999999986</v>
      </c>
      <c r="CU36" s="17">
        <f>CT36*VLOOKUP('Données projet'!$B$13,Paramètres!$A$1:$I$89,3,0)*VLOOKUP('Données projet'!$B$13,Paramètres!$A$1:$I$89,5,0)</f>
        <v>58.125599999999999</v>
      </c>
      <c r="CV36" s="13">
        <f t="shared" si="41"/>
        <v>16.693490054590161</v>
      </c>
      <c r="CW36" s="20">
        <f t="shared" si="13"/>
        <v>130.30991517841122</v>
      </c>
      <c r="CX36" s="59">
        <f t="shared" si="14"/>
        <v>423.64324851174456</v>
      </c>
      <c r="CY36" s="59">
        <f ca="1">AVERAGE(OFFSET($CX$3,0,0,'Données projet'!$E$13+1,1))-AVERAGE(OFFSET($H$3,0,0,'Données projet'!$E$13+1,1))</f>
        <v>157.20393815370375</v>
      </c>
      <c r="CZ36" s="59">
        <f t="shared" si="42"/>
        <v>64.616965816756363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12.8</v>
      </c>
      <c r="DO36" s="12">
        <f>IF('Données projet'!$A$166&gt;35,DO35+DN36-DW35,IF(A36&lt;'Données projet'!$A$166,$DL$205^A36,IF(A36='Données projet'!$A$166,'Données projet'!$B$166,DO35+DN36-DW35)))</f>
        <v>180.39999999999995</v>
      </c>
      <c r="DP36" s="17">
        <f>DO36*VLOOKUP('Données projet'!$B$14,Paramètres!$A$1:$I$89,3,0)*VLOOKUP('Données projet'!$B$14,Paramètres!$A$1:$I$89,5,0)</f>
        <v>146.34047999999999</v>
      </c>
      <c r="DQ36" s="13">
        <f t="shared" si="43"/>
        <v>37.745754868861937</v>
      </c>
      <c r="DR36" s="20">
        <f t="shared" si="16"/>
        <v>320.6168590632679</v>
      </c>
      <c r="DS36" s="59">
        <f t="shared" si="17"/>
        <v>613.95019239660121</v>
      </c>
      <c r="DT36" s="59">
        <f ca="1">AVERAGE(OFFSET($DS$3,0,0,'Données projet'!$E$14+1,1))-AVERAGE(OFFSET($H$3,0,0,'Données projet'!$E$14+1,1))</f>
        <v>221.78186926953776</v>
      </c>
      <c r="DU36" s="59">
        <f t="shared" si="44"/>
        <v>276.69392352410654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6.1190600771545105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6.1190600771545105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5</v>
      </c>
      <c r="EJ36" s="12">
        <f>IF('Données projet'!$A$192&gt;35,EJ35+EI36-ER35,IF(A36&lt;'Données projet'!$A$192,$EG$205^A36,IF(A36='Données projet'!$A$192,'Données projet'!$B$192,EJ35+EI36-ER35)))</f>
        <v>68.999999999999986</v>
      </c>
      <c r="EK36" s="17">
        <f>EJ36*VLOOKUP('Données projet'!$B$15,Paramètres!$A$1:$I$89,3,0)*VLOOKUP('Données projet'!$B$15,Paramètres!$A$1:$I$89,5,0)</f>
        <v>74.271599999999978</v>
      </c>
      <c r="EL36" s="13">
        <f t="shared" si="45"/>
        <v>20.730561869473863</v>
      </c>
      <c r="EM36" s="20">
        <f t="shared" si="19"/>
        <v>165.46209858933358</v>
      </c>
      <c r="EN36" s="59">
        <f t="shared" si="20"/>
        <v>458.79543192266692</v>
      </c>
      <c r="EO36" s="59">
        <f ca="1">AVERAGE(OFFSET($EN$3,0,0,'Données projet'!$E$15+1,1))-AVERAGE(OFFSET($H$3,0,0,'Données projet'!$E$15+1,1))</f>
        <v>219.76574638403434</v>
      </c>
      <c r="EP36" s="59">
        <f t="shared" si="46"/>
        <v>92.286636088269972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10</v>
      </c>
      <c r="FE36" s="12">
        <f>IF('Données projet'!$A$218&gt;35,FE35+FD36-FM35,IF(A36&lt;'Données projet'!$A$218,$FB$205^A36,IF(A36='Données projet'!$A$218,'Données projet'!$B$218,FE35+FD36-FM35)))</f>
        <v>130</v>
      </c>
      <c r="FF36" s="17">
        <f>FE36*VLOOKUP('Données projet'!$B$16,Paramètres!$A$1:$I$89,3,0)*VLOOKUP('Données projet'!$B$16,Paramètres!$A$1:$I$89,5,0)</f>
        <v>60.839999999999996</v>
      </c>
      <c r="FG36" s="13">
        <f t="shared" si="47"/>
        <v>17.380475216531455</v>
      </c>
      <c r="FH36" s="20">
        <f t="shared" si="22"/>
        <v>136.23399433545893</v>
      </c>
      <c r="FI36" s="59">
        <f t="shared" si="23"/>
        <v>429.56732766879225</v>
      </c>
      <c r="FJ36" s="59">
        <f ca="1">AVERAGE(OFFSET($FI$3,0,0,'Données projet'!$E$16+1,1))-AVERAGE(OFFSET($H$3,0,0,'Données projet'!$E$16+1,1))</f>
        <v>86.164294406232727</v>
      </c>
      <c r="FK36" s="59">
        <f t="shared" si="48"/>
        <v>138.91188401562334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4.5046635939372512</v>
      </c>
      <c r="FR36" s="21">
        <f>EXP(-LN(2)/25)*FR35+(1-EXP(-LN(2)/25))/(LN(2)/25)*Calculateur!FM36*Calculateur!FO36*VLOOKUP('Données projet'!$B$16,Paramètres!$A$1:$I$89,3,0)*0.475*44/12</f>
        <v>9.8584921548051643</v>
      </c>
      <c r="FS36" s="21">
        <f>EXP(-LN(2)/2)*FS35+(1-EXP(-LN(2)/2))/(LN(2)/2)*FM36*FP36*VLOOKUP('Données projet'!$B$16,Paramètres!$A$1:$I$89,3,0)*0.475*44/12</f>
        <v>4.5898921735886749</v>
      </c>
      <c r="FT36" s="22">
        <f t="shared" si="24"/>
        <v>18.953047922331088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150.21793637331223</v>
      </c>
      <c r="T37" s="59">
        <f t="shared" si="34"/>
        <v>364.59164590134486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98.512897293122521</v>
      </c>
      <c r="AA37" s="21">
        <f>EXP(-LN(2)/25)*AA36+(1-EXP(-LN(2)/25))/(LN(2)/25)*Calculateur!V37*Calculateur!X37*VLOOKUP('Données projet'!$B$9,Paramètres!$A$1:$I$89,3,0)*0.475*44/12</f>
        <v>20.158810885594274</v>
      </c>
      <c r="AB37" s="21">
        <f>EXP(-LN(2)/2)*AB36+(1-EXP(-LN(2)/2))/(LN(2)/2)*V37*Y37*VLOOKUP('Données projet'!$B$9,Paramètres!$A$1:$I$89,3,0)*0.475*44/12</f>
        <v>4.8388453465507126</v>
      </c>
      <c r="AC37" s="22">
        <f t="shared" si="3"/>
        <v>123.51055352526751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5</v>
      </c>
      <c r="AI37" s="13">
        <f>IF('Données projet'!$A$62&gt;35,AI36+AH37-AQ36,IF(A37&lt;'Données projet'!$A$62,$AF$205^A37,IF(A37='Données projet'!$A$62,'Données projet'!$B$62,AI36+AH37-AQ36)))</f>
        <v>73.999999999999986</v>
      </c>
      <c r="AJ37" s="13">
        <f>AI37*VLOOKUP('Données projet'!$B$10,Paramètres!$A$1:$I$89,3,0)*VLOOKUP('Données projet'!$B$10,Paramètres!$A$1:$I$89,5,0)</f>
        <v>80.807999999999993</v>
      </c>
      <c r="AK37" s="13">
        <f t="shared" si="35"/>
        <v>22.334628633536209</v>
      </c>
      <c r="AL37" s="20">
        <f t="shared" si="4"/>
        <v>179.64007820340888</v>
      </c>
      <c r="AM37" s="59">
        <f t="shared" si="5"/>
        <v>472.97341153674222</v>
      </c>
      <c r="AN37" s="59">
        <f ca="1">AVERAGE(OFFSET($AM$3,0,0,'Données projet'!$E$10+1,1))-AVERAGE(OFFSET($H$3,0,0,'Données projet'!$E$10+1,1))</f>
        <v>223.92539057016376</v>
      </c>
      <c r="AO37" s="59">
        <f t="shared" si="36"/>
        <v>94.125825809616856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</v>
      </c>
      <c r="BD37" s="12">
        <f>IF('Données projet'!$A$88&gt;35,BD36+BC37-BL36,IF(A37&lt;'Données projet'!$A$88,$BA$205^A37,IF(A37='Données projet'!$A$88,'Données projet'!$B$88,BD36+BC37-BL36)))</f>
        <v>73.999999999999986</v>
      </c>
      <c r="BE37" s="13">
        <f>BD37*VLOOKUP('Données projet'!$B$11,Paramètres!$A$1:$I$89,3,0)*VLOOKUP('Données projet'!$B$11,Paramètres!$A$1:$I$89,5,0)</f>
        <v>84.271199999999979</v>
      </c>
      <c r="BF37" s="13">
        <f t="shared" si="37"/>
        <v>23.178332397368926</v>
      </c>
      <c r="BG37" s="20">
        <f t="shared" si="7"/>
        <v>187.14126892541751</v>
      </c>
      <c r="BH37" s="59">
        <f t="shared" si="8"/>
        <v>480.47460225875079</v>
      </c>
      <c r="BI37" s="59">
        <f ca="1">AVERAGE(OFFSET($BH$3,0,0,'Données projet'!$E$11+1,1))-AVERAGE(OFFSET($H$3,0,0,'Données projet'!$E$11+1,1))</f>
        <v>236.39682613502913</v>
      </c>
      <c r="BJ37" s="59">
        <f t="shared" si="38"/>
        <v>99.639724892155641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</v>
      </c>
      <c r="CT37" s="12">
        <f>IF('Données projet'!$A$140&gt;35,CT36+CS37-DB36,IF(A37&lt;'Données projet'!$A$140,$CQ$205^A37,IF(A37='Données projet'!$A$140,'Données projet'!$B$140,CT36+CS37-DB36)))</f>
        <v>73.999999999999986</v>
      </c>
      <c r="CU37" s="17">
        <f>CT37*VLOOKUP('Données projet'!$B$13,Paramètres!$A$1:$I$89,3,0)*VLOOKUP('Données projet'!$B$13,Paramètres!$A$1:$I$89,5,0)</f>
        <v>62.337599999999995</v>
      </c>
      <c r="CV37" s="13">
        <f t="shared" si="41"/>
        <v>17.757966554912596</v>
      </c>
      <c r="CW37" s="20">
        <f t="shared" si="13"/>
        <v>139.49977841647276</v>
      </c>
      <c r="CX37" s="59">
        <f t="shared" si="14"/>
        <v>432.83311174980611</v>
      </c>
      <c r="CY37" s="59">
        <f ca="1">AVERAGE(OFFSET($CX$3,0,0,'Données projet'!$E$13+1,1))-AVERAGE(OFFSET($H$3,0,0,'Données projet'!$E$13+1,1))</f>
        <v>157.20393815370375</v>
      </c>
      <c r="CZ37" s="59">
        <f t="shared" si="42"/>
        <v>64.616965816756363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12.8</v>
      </c>
      <c r="DO37" s="12">
        <f>IF('Données projet'!$A$166&gt;35,DO36+DN37-DW36,IF(A37&lt;'Données projet'!$A$166,$DL$205^A37,IF(A37='Données projet'!$A$166,'Données projet'!$B$166,DO36+DN37-DW36)))</f>
        <v>193.19999999999996</v>
      </c>
      <c r="DP37" s="17">
        <f>DO37*VLOOKUP('Données projet'!$B$14,Paramètres!$A$1:$I$89,3,0)*VLOOKUP('Données projet'!$B$14,Paramètres!$A$1:$I$89,5,0)</f>
        <v>156.72383999999997</v>
      </c>
      <c r="DQ37" s="13">
        <f t="shared" si="43"/>
        <v>40.102680984620484</v>
      </c>
      <c r="DR37" s="20">
        <f t="shared" si="16"/>
        <v>342.80619071488059</v>
      </c>
      <c r="DS37" s="59">
        <f t="shared" si="17"/>
        <v>636.13952404821384</v>
      </c>
      <c r="DT37" s="59">
        <f ca="1">AVERAGE(OFFSET($DS$3,0,0,'Données projet'!$E$14+1,1))-AVERAGE(OFFSET($H$3,0,0,'Données projet'!$E$14+1,1))</f>
        <v>221.78186926953776</v>
      </c>
      <c r="DU37" s="59">
        <f t="shared" si="44"/>
        <v>276.69392352410654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5.9990690412996281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5.9990690412996281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5</v>
      </c>
      <c r="EJ37" s="12">
        <f>IF('Données projet'!$A$192&gt;35,EJ36+EI37-ER36,IF(A37&lt;'Données projet'!$A$192,$EG$205^A37,IF(A37='Données projet'!$A$192,'Données projet'!$B$192,EJ36+EI37-ER36)))</f>
        <v>73.999999999999986</v>
      </c>
      <c r="EK37" s="17">
        <f>EJ37*VLOOKUP('Données projet'!$B$15,Paramètres!$A$1:$I$89,3,0)*VLOOKUP('Données projet'!$B$15,Paramètres!$A$1:$I$89,5,0)</f>
        <v>79.653599999999983</v>
      </c>
      <c r="EL37" s="13">
        <f t="shared" si="45"/>
        <v>22.052466149308238</v>
      </c>
      <c r="EM37" s="20">
        <f t="shared" si="19"/>
        <v>177.13806521004514</v>
      </c>
      <c r="EN37" s="59">
        <f t="shared" si="20"/>
        <v>470.47139854337843</v>
      </c>
      <c r="EO37" s="59">
        <f ca="1">AVERAGE(OFFSET($EN$3,0,0,'Données projet'!$E$15+1,1))-AVERAGE(OFFSET($H$3,0,0,'Données projet'!$E$15+1,1))</f>
        <v>219.76574638403434</v>
      </c>
      <c r="EP37" s="59">
        <f t="shared" si="46"/>
        <v>92.286636088269972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10</v>
      </c>
      <c r="FE37" s="12">
        <f>IF('Données projet'!$A$218&gt;35,FE36+FD37-FM36,IF(A37&lt;'Données projet'!$A$218,$FB$205^A37,IF(A37='Données projet'!$A$218,'Données projet'!$B$218,FE36+FD37-FM36)))</f>
        <v>140</v>
      </c>
      <c r="FF37" s="17">
        <f>FE37*VLOOKUP('Données projet'!$B$16,Paramètres!$A$1:$I$89,3,0)*VLOOKUP('Données projet'!$B$16,Paramètres!$A$1:$I$89,5,0)</f>
        <v>65.52</v>
      </c>
      <c r="FG37" s="13">
        <f t="shared" si="47"/>
        <v>18.556669503136725</v>
      </c>
      <c r="FH37" s="20">
        <f t="shared" si="22"/>
        <v>146.43353271796309</v>
      </c>
      <c r="FI37" s="59">
        <f t="shared" si="23"/>
        <v>439.7668660512964</v>
      </c>
      <c r="FJ37" s="59">
        <f ca="1">AVERAGE(OFFSET($FI$3,0,0,'Données projet'!$E$16+1,1))-AVERAGE(OFFSET($H$3,0,0,'Données projet'!$E$16+1,1))</f>
        <v>86.164294406232727</v>
      </c>
      <c r="FK37" s="59">
        <f t="shared" si="48"/>
        <v>138.91188401562334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4.4163298884336335</v>
      </c>
      <c r="FR37" s="21">
        <f>EXP(-LN(2)/25)*FR36+(1-EXP(-LN(2)/25))/(LN(2)/25)*Calculateur!FM37*Calculateur!FO37*VLOOKUP('Données projet'!$B$16,Paramètres!$A$1:$I$89,3,0)*0.475*44/12</f>
        <v>9.5889111683964465</v>
      </c>
      <c r="FS37" s="21">
        <f>EXP(-LN(2)/2)*FS36+(1-EXP(-LN(2)/2))/(LN(2)/2)*FM37*FP37*VLOOKUP('Données projet'!$B$16,Paramètres!$A$1:$I$89,3,0)*0.475*44/12</f>
        <v>3.2455438808596142</v>
      </c>
      <c r="FT37" s="22">
        <f t="shared" si="24"/>
        <v>17.250784937689694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150.21793637331223</v>
      </c>
      <c r="T38" s="59">
        <f t="shared" si="34"/>
        <v>364.59164590134486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96.581119464138638</v>
      </c>
      <c r="AA38" s="21">
        <f>EXP(-LN(2)/25)*AA37+(1-EXP(-LN(2)/25))/(LN(2)/25)*Calculateur!V38*Calculateur!X38*VLOOKUP('Données projet'!$B$9,Paramètres!$A$1:$I$89,3,0)*0.475*44/12</f>
        <v>19.607567141821907</v>
      </c>
      <c r="AB38" s="21">
        <f>EXP(-LN(2)/2)*AB37+(1-EXP(-LN(2)/2))/(LN(2)/2)*V38*Y38*VLOOKUP('Données projet'!$B$9,Paramètres!$A$1:$I$89,3,0)*0.475*44/12</f>
        <v>3.4215803576589785</v>
      </c>
      <c r="AC38" s="22">
        <f t="shared" si="3"/>
        <v>119.61026696361952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79</v>
      </c>
      <c r="AG38" s="12">
        <f>VLOOKUP(A38,'Données projet'!$A$61:$I$81,9,0)</f>
        <v>5</v>
      </c>
      <c r="AH38" s="12">
        <f t="array" ref="AH38">INDEX(AG:AG,MIN(IF(ISNUMBER(AG38:AG234),ROW(AG38:AG234),"")))</f>
        <v>5</v>
      </c>
      <c r="AI38" s="13">
        <f>IF('Données projet'!$A$62&gt;35,AI37+AH38-AQ37,IF(A38&lt;'Données projet'!$A$62,$AF$205^A38,IF(A38='Données projet'!$A$62,'Données projet'!$B$62,AI37+AH38-AQ37)))</f>
        <v>78.999999999999986</v>
      </c>
      <c r="AJ38" s="13">
        <f>AI38*VLOOKUP('Données projet'!$B$10,Paramètres!$A$1:$I$89,3,0)*VLOOKUP('Données projet'!$B$10,Paramètres!$A$1:$I$89,5,0)</f>
        <v>86.267999999999986</v>
      </c>
      <c r="AK38" s="13">
        <f t="shared" si="35"/>
        <v>23.662949996567708</v>
      </c>
      <c r="AL38" s="20">
        <f t="shared" si="4"/>
        <v>191.46307124402202</v>
      </c>
      <c r="AM38" s="59">
        <f t="shared" si="5"/>
        <v>484.79640457735536</v>
      </c>
      <c r="AN38" s="59">
        <f ca="1">AVERAGE(OFFSET($AM$3,0,0,'Données projet'!$E$10+1,1))-AVERAGE(OFFSET($H$3,0,0,'Données projet'!$E$10+1,1))</f>
        <v>223.92539057016376</v>
      </c>
      <c r="AO38" s="59">
        <f t="shared" si="36"/>
        <v>94.125825809616856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13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79</v>
      </c>
      <c r="BB38" s="12">
        <f>VLOOKUP(A38,'Données projet'!$A$87:$I$107,9,0)</f>
        <v>5</v>
      </c>
      <c r="BC38" s="12">
        <f t="array" ref="BC38">INDEX(BB:BB,MIN(IF(ISNUMBER(BB38:BB234),ROW(BB38:BB234),"")))</f>
        <v>5</v>
      </c>
      <c r="BD38" s="12">
        <f>IF('Données projet'!$A$88&gt;35,BD37+BC38-BL37,IF(A38&lt;'Données projet'!$A$88,$BA$205^A38,IF(A38='Données projet'!$A$88,'Données projet'!$B$88,BD37+BC38-BL37)))</f>
        <v>78.999999999999986</v>
      </c>
      <c r="BE38" s="13">
        <f>BD38*VLOOKUP('Données projet'!$B$11,Paramètres!$A$1:$I$89,3,0)*VLOOKUP('Données projet'!$B$11,Paramètres!$A$1:$I$89,5,0)</f>
        <v>89.965199999999982</v>
      </c>
      <c r="BF38" s="13">
        <f t="shared" si="37"/>
        <v>24.556831882990153</v>
      </c>
      <c r="BG38" s="20">
        <f t="shared" si="7"/>
        <v>199.45920552954112</v>
      </c>
      <c r="BH38" s="59">
        <f t="shared" si="8"/>
        <v>492.79253886287444</v>
      </c>
      <c r="BI38" s="59">
        <f ca="1">AVERAGE(OFFSET($BH$3,0,0,'Données projet'!$E$11+1,1))-AVERAGE(OFFSET($H$3,0,0,'Données projet'!$E$11+1,1))</f>
        <v>236.39682613502913</v>
      </c>
      <c r="BJ38" s="59">
        <f t="shared" si="38"/>
        <v>99.639724892155641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13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79</v>
      </c>
      <c r="CR38" s="12">
        <f>VLOOKUP(A38,'Données projet'!$A$139:$I$159,9,0)</f>
        <v>5</v>
      </c>
      <c r="CS38" s="12">
        <f t="array" ref="CS38">INDEX(CR:CR,MIN(IF(ISNUMBER(CR38:CR234),ROW(CR38:CR234),"")))</f>
        <v>5</v>
      </c>
      <c r="CT38" s="12">
        <f>IF('Données projet'!$A$140&gt;35,CT37+CS38-DB37,IF(A38&lt;'Données projet'!$A$140,$CQ$205^A38,IF(A38='Données projet'!$A$140,'Données projet'!$B$140,CT37+CS38-DB37)))</f>
        <v>78.999999999999986</v>
      </c>
      <c r="CU38" s="17">
        <f>CT38*VLOOKUP('Données projet'!$B$13,Paramètres!$A$1:$I$89,3,0)*VLOOKUP('Données projet'!$B$13,Paramètres!$A$1:$I$89,5,0)</f>
        <v>66.549599999999998</v>
      </c>
      <c r="CV38" s="13">
        <f t="shared" si="41"/>
        <v>18.814097226522279</v>
      </c>
      <c r="CW38" s="20">
        <f t="shared" si="13"/>
        <v>148.67510600285962</v>
      </c>
      <c r="CX38" s="59">
        <f t="shared" si="14"/>
        <v>442.00843933619296</v>
      </c>
      <c r="CY38" s="59">
        <f ca="1">AVERAGE(OFFSET($CX$3,0,0,'Données projet'!$E$13+1,1))-AVERAGE(OFFSET($H$3,0,0,'Données projet'!$E$13+1,1))</f>
        <v>157.20393815370375</v>
      </c>
      <c r="CZ38" s="59">
        <f t="shared" si="42"/>
        <v>64.616965816756363</v>
      </c>
      <c r="DA38" s="15">
        <f>IF(ISNA(VLOOKUP(A38,'Données projet'!$A$139:$I$159,3,0)),0,VLOOKUP(A38,'Données projet'!$A$139:$I$159,3,0))</f>
        <v>3</v>
      </c>
      <c r="DB38" s="15">
        <f>IF(ISNA(VLOOKUP(A38,'Données projet'!$A$139:$I$159,4,0)),0,VLOOKUP(A38,'Données projet'!$A$139:$I$159,4,0))</f>
        <v>13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206</v>
      </c>
      <c r="DM38" s="12">
        <f>VLOOKUP(A38,'Données projet'!$A$165:$I$185,9,0)</f>
        <v>12.8</v>
      </c>
      <c r="DN38" s="12">
        <f t="array" ref="DN38">INDEX(DM:DM,MIN(IF(ISNUMBER(DM38:DM234),ROW(DM38:DM234),"")))</f>
        <v>12.8</v>
      </c>
      <c r="DO38" s="12">
        <f>IF('Données projet'!$A$166&gt;35,DO37+DN38-DW37,IF(A38&lt;'Données projet'!$A$166,$DL$205^A38,IF(A38='Données projet'!$A$166,'Données projet'!$B$166,DO37+DN38-DW37)))</f>
        <v>205.99999999999997</v>
      </c>
      <c r="DP38" s="17">
        <f>DO38*VLOOKUP('Données projet'!$B$14,Paramètres!$A$1:$I$89,3,0)*VLOOKUP('Données projet'!$B$14,Paramètres!$A$1:$I$89,5,0)</f>
        <v>167.10719999999998</v>
      </c>
      <c r="DQ38" s="13">
        <f t="shared" si="43"/>
        <v>42.44148687166966</v>
      </c>
      <c r="DR38" s="20">
        <f t="shared" si="16"/>
        <v>364.96396296815789</v>
      </c>
      <c r="DS38" s="59">
        <f t="shared" si="17"/>
        <v>658.2972963014912</v>
      </c>
      <c r="DT38" s="59">
        <f ca="1">AVERAGE(OFFSET($DS$3,0,0,'Données projet'!$E$14+1,1))-AVERAGE(OFFSET($H$3,0,0,'Données projet'!$E$14+1,1))</f>
        <v>221.78186926953776</v>
      </c>
      <c r="DU38" s="59">
        <f t="shared" si="44"/>
        <v>276.69392352410654</v>
      </c>
      <c r="DV38" s="15">
        <f>IF(ISNA(VLOOKUP(A38,'Données projet'!$A$165:$I$185,3,0)),0,VLOOKUP(A38,'Données projet'!$A$165:$I$185,3,0))</f>
        <v>6</v>
      </c>
      <c r="DW38" s="15">
        <f>IF(ISNA(VLOOKUP(A38,'Données projet'!$A$165:$I$185,4,0)),0,VLOOKUP(A38,'Données projet'!$A$165:$I$185,4,0))</f>
        <v>35</v>
      </c>
      <c r="DX38" s="16">
        <f>IF(ISNA(VLOOKUP(A38,'Données projet'!$A$165:$I$185,5,0)),0%,VLOOKUP(A38,'Données projet'!$A$165:$I$185,5,0)*VLOOKUP('Données projet'!$B$14,Paramètres!$A$1:$I$89,7,0))</f>
        <v>0.129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9.9302913934957928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9.9302913934957928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79</v>
      </c>
      <c r="EH38" s="12">
        <f>VLOOKUP(A38,'Données projet'!$A$191:$I$211,9,0)</f>
        <v>5</v>
      </c>
      <c r="EI38" s="12">
        <f t="array" ref="EI38">INDEX(EH:EH,MIN(IF(ISNUMBER(EH38:EH234),ROW(EH38:EH234),"")))</f>
        <v>5</v>
      </c>
      <c r="EJ38" s="12">
        <f>IF('Données projet'!$A$192&gt;35,EJ37+EI38-ER37,IF(A38&lt;'Données projet'!$A$192,$EG$205^A38,IF(A38='Données projet'!$A$192,'Données projet'!$B$192,EJ37+EI38-ER37)))</f>
        <v>78.999999999999986</v>
      </c>
      <c r="EK38" s="17">
        <f>EJ38*VLOOKUP('Données projet'!$B$15,Paramètres!$A$1:$I$89,3,0)*VLOOKUP('Données projet'!$B$15,Paramètres!$A$1:$I$89,5,0)</f>
        <v>85.035599999999974</v>
      </c>
      <c r="EL38" s="13">
        <f t="shared" si="45"/>
        <v>23.364006286119412</v>
      </c>
      <c r="EM38" s="20">
        <f t="shared" si="19"/>
        <v>188.79598094832463</v>
      </c>
      <c r="EN38" s="59">
        <f t="shared" si="20"/>
        <v>482.12931428165791</v>
      </c>
      <c r="EO38" s="59">
        <f ca="1">AVERAGE(OFFSET($EN$3,0,0,'Données projet'!$E$15+1,1))-AVERAGE(OFFSET($H$3,0,0,'Données projet'!$E$15+1,1))</f>
        <v>219.76574638403434</v>
      </c>
      <c r="EP38" s="59">
        <f t="shared" si="46"/>
        <v>92.286636088269972</v>
      </c>
      <c r="EQ38" s="15">
        <f>IF(ISNA(VLOOKUP(A38,'Données projet'!$A$191:$I$211,3,0)),0,VLOOKUP(A38,'Données projet'!$A$191:$I$211,3,0))</f>
        <v>3</v>
      </c>
      <c r="ER38" s="15">
        <f>IF(ISNA(VLOOKUP(A38,'Données projet'!$A$191:$I$211,4,0)),0,VLOOKUP(A38,'Données projet'!$A$191:$I$211,4,0))</f>
        <v>13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10</v>
      </c>
      <c r="FE38" s="12">
        <f>IF('Données projet'!$A$218&gt;35,FE37+FD38-FM37,IF(A38&lt;'Données projet'!$A$218,$FB$205^A38,IF(A38='Données projet'!$A$218,'Données projet'!$B$218,FE37+FD38-FM37)))</f>
        <v>150</v>
      </c>
      <c r="FF38" s="17">
        <f>FE38*VLOOKUP('Données projet'!$B$16,Paramètres!$A$1:$I$89,3,0)*VLOOKUP('Données projet'!$B$16,Paramètres!$A$1:$I$89,5,0)</f>
        <v>70.2</v>
      </c>
      <c r="FG38" s="13">
        <f t="shared" si="47"/>
        <v>19.723116370112194</v>
      </c>
      <c r="FH38" s="20">
        <f t="shared" si="22"/>
        <v>156.61609434461207</v>
      </c>
      <c r="FI38" s="59">
        <f t="shared" si="23"/>
        <v>449.94942767794538</v>
      </c>
      <c r="FJ38" s="59">
        <f ca="1">AVERAGE(OFFSET($FI$3,0,0,'Données projet'!$E$16+1,1))-AVERAGE(OFFSET($H$3,0,0,'Données projet'!$E$16+1,1))</f>
        <v>86.164294406232727</v>
      </c>
      <c r="FK38" s="59">
        <f t="shared" si="48"/>
        <v>138.91188401562334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4.3297283530167014</v>
      </c>
      <c r="FR38" s="21">
        <f>EXP(-LN(2)/25)*FR37+(1-EXP(-LN(2)/25))/(LN(2)/25)*Calculateur!FM38*Calculateur!FO38*VLOOKUP('Données projet'!$B$16,Paramètres!$A$1:$I$89,3,0)*0.475*44/12</f>
        <v>9.3267018882377233</v>
      </c>
      <c r="FS38" s="21">
        <f>EXP(-LN(2)/2)*FS37+(1-EXP(-LN(2)/2))/(LN(2)/2)*FM38*FP38*VLOOKUP('Données projet'!$B$16,Paramètres!$A$1:$I$89,3,0)*0.475*44/12</f>
        <v>2.2949460867943374</v>
      </c>
      <c r="FT38" s="22">
        <f t="shared" si="24"/>
        <v>15.951376328048763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150.21793637331223</v>
      </c>
      <c r="T39" s="59">
        <f t="shared" si="34"/>
        <v>364.59164590134486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94.687222620113005</v>
      </c>
      <c r="AA39" s="21">
        <f>EXP(-LN(2)/25)*AA38+(1-EXP(-LN(2)/25))/(LN(2)/25)*Calculateur!V39*Calculateur!X39*VLOOKUP('Données projet'!$B$9,Paramètres!$A$1:$I$89,3,0)*0.475*44/12</f>
        <v>19.071397187211645</v>
      </c>
      <c r="AB39" s="21">
        <f>EXP(-LN(2)/2)*AB38+(1-EXP(-LN(2)/2))/(LN(2)/2)*V39*Y39*VLOOKUP('Données projet'!$B$9,Paramètres!$A$1:$I$89,3,0)*0.475*44/12</f>
        <v>2.4194226732753563</v>
      </c>
      <c r="AC39" s="22">
        <f t="shared" si="3"/>
        <v>116.1780424806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5.4</v>
      </c>
      <c r="AI39" s="13">
        <f>IF('Données projet'!$A$62&gt;35,AI38+AH39-AQ38,IF(A39&lt;'Données projet'!$A$62,$AF$205^A39,IF(A39='Données projet'!$A$62,'Données projet'!$B$62,AI38+AH39-AQ38)))</f>
        <v>71.399999999999991</v>
      </c>
      <c r="AJ39" s="13">
        <f>AI39*VLOOKUP('Données projet'!$B$10,Paramètres!$A$1:$I$89,3,0)*VLOOKUP('Données projet'!$B$10,Paramètres!$A$1:$I$89,5,0)</f>
        <v>77.968799999999987</v>
      </c>
      <c r="AK39" s="13">
        <f t="shared" si="35"/>
        <v>21.63980425794859</v>
      </c>
      <c r="AL39" s="20">
        <f t="shared" si="4"/>
        <v>173.48498574926043</v>
      </c>
      <c r="AM39" s="59">
        <f t="shared" si="5"/>
        <v>466.81831908259375</v>
      </c>
      <c r="AN39" s="59">
        <f ca="1">AVERAGE(OFFSET($AM$3,0,0,'Données projet'!$E$10+1,1))-AVERAGE(OFFSET($H$3,0,0,'Données projet'!$E$10+1,1))</f>
        <v>223.92539057016376</v>
      </c>
      <c r="AO39" s="59">
        <f t="shared" si="36"/>
        <v>94.125825809616856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5.4</v>
      </c>
      <c r="BD39" s="12">
        <f>IF('Données projet'!$A$88&gt;35,BD38+BC39-BL38,IF(A39&lt;'Données projet'!$A$88,$BA$205^A39,IF(A39='Données projet'!$A$88,'Données projet'!$B$88,BD38+BC39-BL38)))</f>
        <v>71.399999999999991</v>
      </c>
      <c r="BE39" s="13">
        <f>BD39*VLOOKUP('Données projet'!$B$11,Paramètres!$A$1:$I$89,3,0)*VLOOKUP('Données projet'!$B$11,Paramètres!$A$1:$I$89,5,0)</f>
        <v>81.31031999999999</v>
      </c>
      <c r="BF39" s="13">
        <f t="shared" si="37"/>
        <v>22.457260621365378</v>
      </c>
      <c r="BG39" s="20">
        <f t="shared" si="7"/>
        <v>180.72853624887799</v>
      </c>
      <c r="BH39" s="59">
        <f t="shared" si="8"/>
        <v>474.06186958221133</v>
      </c>
      <c r="BI39" s="59">
        <f ca="1">AVERAGE(OFFSET($BH$3,0,0,'Données projet'!$E$11+1,1))-AVERAGE(OFFSET($H$3,0,0,'Données projet'!$E$11+1,1))</f>
        <v>236.39682613502913</v>
      </c>
      <c r="BJ39" s="59">
        <f t="shared" si="38"/>
        <v>99.639724892155641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5.4</v>
      </c>
      <c r="CT39" s="12">
        <f>IF('Données projet'!$A$140&gt;35,CT38+CS39-DB38,IF(A39&lt;'Données projet'!$A$140,$CQ$205^A39,IF(A39='Données projet'!$A$140,'Données projet'!$B$140,CT38+CS39-DB38)))</f>
        <v>71.399999999999991</v>
      </c>
      <c r="CU39" s="17">
        <f>CT39*VLOOKUP('Données projet'!$B$13,Paramètres!$A$1:$I$89,3,0)*VLOOKUP('Données projet'!$B$13,Paramètres!$A$1:$I$89,5,0)</f>
        <v>60.147359999999999</v>
      </c>
      <c r="CV39" s="13">
        <f t="shared" si="41"/>
        <v>17.205520923258081</v>
      </c>
      <c r="CW39" s="20">
        <f t="shared" si="13"/>
        <v>134.72293427467449</v>
      </c>
      <c r="CX39" s="59">
        <f t="shared" si="14"/>
        <v>428.05626760800783</v>
      </c>
      <c r="CY39" s="59">
        <f ca="1">AVERAGE(OFFSET($CX$3,0,0,'Données projet'!$E$13+1,1))-AVERAGE(OFFSET($H$3,0,0,'Données projet'!$E$13+1,1))</f>
        <v>157.20393815370375</v>
      </c>
      <c r="CZ39" s="59">
        <f t="shared" si="42"/>
        <v>64.616965816756363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11.4</v>
      </c>
      <c r="DO39" s="12">
        <f>IF('Données projet'!$A$166&gt;35,DO38+DN39-DW38,IF(A39&lt;'Données projet'!$A$166,$DL$205^A39,IF(A39='Données projet'!$A$166,'Données projet'!$B$166,DO38+DN39-DW38)))</f>
        <v>182.39999999999998</v>
      </c>
      <c r="DP39" s="17">
        <f>DO39*VLOOKUP('Données projet'!$B$14,Paramètres!$A$1:$I$89,3,0)*VLOOKUP('Données projet'!$B$14,Paramètres!$A$1:$I$89,5,0)</f>
        <v>147.96287999999998</v>
      </c>
      <c r="DQ39" s="13">
        <f t="shared" si="43"/>
        <v>38.115275017059226</v>
      </c>
      <c r="DR39" s="20">
        <f t="shared" si="16"/>
        <v>324.08611998804474</v>
      </c>
      <c r="DS39" s="59">
        <f t="shared" si="17"/>
        <v>617.41945332137811</v>
      </c>
      <c r="DT39" s="59">
        <f ca="1">AVERAGE(OFFSET($DS$3,0,0,'Données projet'!$E$14+1,1))-AVERAGE(OFFSET($H$3,0,0,'Données projet'!$E$14+1,1))</f>
        <v>221.78186926953776</v>
      </c>
      <c r="DU39" s="59">
        <f t="shared" si="44"/>
        <v>276.69392352410654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9.7355644361490228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9.7355644361490228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5.4</v>
      </c>
      <c r="EJ39" s="12">
        <f>IF('Données projet'!$A$192&gt;35,EJ38+EI39-ER38,IF(A39&lt;'Données projet'!$A$192,$EG$205^A39,IF(A39='Données projet'!$A$192,'Données projet'!$B$192,EJ38+EI39-ER38)))</f>
        <v>71.399999999999991</v>
      </c>
      <c r="EK39" s="17">
        <f>EJ39*VLOOKUP('Données projet'!$B$15,Paramètres!$A$1:$I$89,3,0)*VLOOKUP('Données projet'!$B$15,Paramètres!$A$1:$I$89,5,0)</f>
        <v>76.854959999999991</v>
      </c>
      <c r="EL39" s="13">
        <f t="shared" si="45"/>
        <v>21.366419773799993</v>
      </c>
      <c r="EM39" s="20">
        <f t="shared" si="19"/>
        <v>171.06890310603498</v>
      </c>
      <c r="EN39" s="59">
        <f t="shared" si="20"/>
        <v>464.40223643936827</v>
      </c>
      <c r="EO39" s="59">
        <f ca="1">AVERAGE(OFFSET($EN$3,0,0,'Données projet'!$E$15+1,1))-AVERAGE(OFFSET($H$3,0,0,'Données projet'!$E$15+1,1))</f>
        <v>219.76574638403434</v>
      </c>
      <c r="EP39" s="59">
        <f t="shared" si="46"/>
        <v>92.286636088269972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10</v>
      </c>
      <c r="FE39" s="12">
        <f>IF('Données projet'!$A$218&gt;35,FE38+FD39-FM38,IF(A39&lt;'Données projet'!$A$218,$FB$205^A39,IF(A39='Données projet'!$A$218,'Données projet'!$B$218,FE38+FD39-FM38)))</f>
        <v>160</v>
      </c>
      <c r="FF39" s="17">
        <f>FE39*VLOOKUP('Données projet'!$B$16,Paramètres!$A$1:$I$89,3,0)*VLOOKUP('Données projet'!$B$16,Paramètres!$A$1:$I$89,5,0)</f>
        <v>74.88</v>
      </c>
      <c r="FG39" s="13">
        <f t="shared" si="47"/>
        <v>20.880539585643231</v>
      </c>
      <c r="FH39" s="20">
        <f t="shared" si="22"/>
        <v>166.78293977832863</v>
      </c>
      <c r="FI39" s="59">
        <f t="shared" si="23"/>
        <v>460.11627311166194</v>
      </c>
      <c r="FJ39" s="59">
        <f ca="1">AVERAGE(OFFSET($FI$3,0,0,'Données projet'!$E$16+1,1))-AVERAGE(OFFSET($H$3,0,0,'Données projet'!$E$16+1,1))</f>
        <v>86.164294406232727</v>
      </c>
      <c r="FK39" s="59">
        <f t="shared" si="48"/>
        <v>138.91188401562334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4.2448250208875749</v>
      </c>
      <c r="FR39" s="21">
        <f>EXP(-LN(2)/25)*FR38+(1-EXP(-LN(2)/25))/(LN(2)/25)*Calculateur!FM39*Calculateur!FO39*VLOOKUP('Données projet'!$B$16,Paramètres!$A$1:$I$89,3,0)*0.475*44/12</f>
        <v>9.0716627346339269</v>
      </c>
      <c r="FS39" s="21">
        <f>EXP(-LN(2)/2)*FS38+(1-EXP(-LN(2)/2))/(LN(2)/2)*FM39*FP39*VLOOKUP('Données projet'!$B$16,Paramètres!$A$1:$I$89,3,0)*0.475*44/12</f>
        <v>1.6227719404298071</v>
      </c>
      <c r="FT39" s="22">
        <f t="shared" si="24"/>
        <v>14.939259695951309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150.21793637331223</v>
      </c>
      <c r="T40" s="59">
        <f t="shared" si="34"/>
        <v>364.59164590134486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92.830463938035706</v>
      </c>
      <c r="AA40" s="21">
        <f>EXP(-LN(2)/25)*AA39+(1-EXP(-LN(2)/25))/(LN(2)/25)*Calculateur!V40*Calculateur!X40*VLOOKUP('Données projet'!$B$9,Paramètres!$A$1:$I$89,3,0)*0.475*44/12</f>
        <v>18.549888828206154</v>
      </c>
      <c r="AB40" s="21">
        <f>EXP(-LN(2)/2)*AB39+(1-EXP(-LN(2)/2))/(LN(2)/2)*V40*Y40*VLOOKUP('Données projet'!$B$9,Paramètres!$A$1:$I$89,3,0)*0.475*44/12</f>
        <v>1.7107901788294892</v>
      </c>
      <c r="AC40" s="22">
        <f t="shared" si="3"/>
        <v>113.09114294507134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5.4</v>
      </c>
      <c r="AI40" s="13">
        <f>IF('Données projet'!$A$62&gt;35,AI39+AH40-AQ39,IF(A40&lt;'Données projet'!$A$62,$AF$205^A40,IF(A40='Données projet'!$A$62,'Données projet'!$B$62,AI39+AH40-AQ39)))</f>
        <v>76.8</v>
      </c>
      <c r="AJ40" s="13">
        <f>AI40*VLOOKUP('Données projet'!$B$10,Paramètres!$A$1:$I$89,3,0)*VLOOKUP('Données projet'!$B$10,Paramètres!$A$1:$I$89,5,0)</f>
        <v>83.865600000000001</v>
      </c>
      <c r="AK40" s="13">
        <f t="shared" si="35"/>
        <v>23.079732033574274</v>
      </c>
      <c r="AL40" s="20">
        <f t="shared" si="4"/>
        <v>186.26311995847519</v>
      </c>
      <c r="AM40" s="59">
        <f t="shared" si="5"/>
        <v>479.59645329180853</v>
      </c>
      <c r="AN40" s="59">
        <f ca="1">AVERAGE(OFFSET($AM$3,0,0,'Données projet'!$E$10+1,1))-AVERAGE(OFFSET($H$3,0,0,'Données projet'!$E$10+1,1))</f>
        <v>223.92539057016376</v>
      </c>
      <c r="AO40" s="59">
        <f t="shared" si="36"/>
        <v>94.125825809616856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5.4</v>
      </c>
      <c r="BD40" s="12">
        <f>IF('Données projet'!$A$88&gt;35,BD39+BC40-BL39,IF(A40&lt;'Données projet'!$A$88,$BA$205^A40,IF(A40='Données projet'!$A$88,'Données projet'!$B$88,BD39+BC40-BL39)))</f>
        <v>76.8</v>
      </c>
      <c r="BE40" s="13">
        <f>BD40*VLOOKUP('Données projet'!$B$11,Paramètres!$A$1:$I$89,3,0)*VLOOKUP('Données projet'!$B$11,Paramètres!$A$1:$I$89,5,0)</f>
        <v>87.45984</v>
      </c>
      <c r="BF40" s="13">
        <f t="shared" si="37"/>
        <v>23.951582517613154</v>
      </c>
      <c r="BG40" s="20">
        <f t="shared" si="7"/>
        <v>194.04156088484288</v>
      </c>
      <c r="BH40" s="59">
        <f t="shared" si="8"/>
        <v>487.37489421817622</v>
      </c>
      <c r="BI40" s="59">
        <f ca="1">AVERAGE(OFFSET($BH$3,0,0,'Données projet'!$E$11+1,1))-AVERAGE(OFFSET($H$3,0,0,'Données projet'!$E$11+1,1))</f>
        <v>236.39682613502913</v>
      </c>
      <c r="BJ40" s="59">
        <f t="shared" si="38"/>
        <v>99.639724892155641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5.4</v>
      </c>
      <c r="CT40" s="12">
        <f>IF('Données projet'!$A$140&gt;35,CT39+CS40-DB39,IF(A40&lt;'Données projet'!$A$140,$CQ$205^A40,IF(A40='Données projet'!$A$140,'Données projet'!$B$140,CT39+CS40-DB39)))</f>
        <v>76.8</v>
      </c>
      <c r="CU40" s="17">
        <f>CT40*VLOOKUP('Données projet'!$B$13,Paramètres!$A$1:$I$89,3,0)*VLOOKUP('Données projet'!$B$13,Paramètres!$A$1:$I$89,5,0)</f>
        <v>64.69632</v>
      </c>
      <c r="CV40" s="13">
        <f t="shared" si="41"/>
        <v>18.350388371049714</v>
      </c>
      <c r="CW40" s="20">
        <f t="shared" si="13"/>
        <v>144.63968374624491</v>
      </c>
      <c r="CX40" s="59">
        <f t="shared" si="14"/>
        <v>437.9730170795782</v>
      </c>
      <c r="CY40" s="59">
        <f ca="1">AVERAGE(OFFSET($CX$3,0,0,'Données projet'!$E$13+1,1))-AVERAGE(OFFSET($H$3,0,0,'Données projet'!$E$13+1,1))</f>
        <v>157.20393815370375</v>
      </c>
      <c r="CZ40" s="59">
        <f t="shared" si="42"/>
        <v>64.616965816756363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11.4</v>
      </c>
      <c r="DO40" s="12">
        <f>IF('Données projet'!$A$166&gt;35,DO39+DN40-DW39,IF(A40&lt;'Données projet'!$A$166,$DL$205^A40,IF(A40='Données projet'!$A$166,'Données projet'!$B$166,DO39+DN40-DW39)))</f>
        <v>193.79999999999998</v>
      </c>
      <c r="DP40" s="17">
        <f>DO40*VLOOKUP('Données projet'!$B$14,Paramètres!$A$1:$I$89,3,0)*VLOOKUP('Données projet'!$B$14,Paramètres!$A$1:$I$89,5,0)</f>
        <v>157.21055999999999</v>
      </c>
      <c r="DQ40" s="13">
        <f t="shared" si="43"/>
        <v>40.212706859296013</v>
      </c>
      <c r="DR40" s="20">
        <f t="shared" si="16"/>
        <v>343.84552311327383</v>
      </c>
      <c r="DS40" s="59">
        <f t="shared" si="17"/>
        <v>637.17885644660714</v>
      </c>
      <c r="DT40" s="59">
        <f ca="1">AVERAGE(OFFSET($DS$3,0,0,'Données projet'!$E$14+1,1))-AVERAGE(OFFSET($H$3,0,0,'Données projet'!$E$14+1,1))</f>
        <v>221.78186926953776</v>
      </c>
      <c r="DU40" s="59">
        <f t="shared" si="44"/>
        <v>276.69392352410654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9.5446559556641066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9.5446559556641066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5.4</v>
      </c>
      <c r="EJ40" s="12">
        <f>IF('Données projet'!$A$192&gt;35,EJ39+EI40-ER39,IF(A40&lt;'Données projet'!$A$192,$EG$205^A40,IF(A40='Données projet'!$A$192,'Données projet'!$B$192,EJ39+EI40-ER39)))</f>
        <v>76.8</v>
      </c>
      <c r="EK40" s="17">
        <f>EJ40*VLOOKUP('Données projet'!$B$15,Paramètres!$A$1:$I$89,3,0)*VLOOKUP('Données projet'!$B$15,Paramètres!$A$1:$I$89,5,0)</f>
        <v>82.667519999999996</v>
      </c>
      <c r="EL40" s="13">
        <f t="shared" si="45"/>
        <v>22.788156353818806</v>
      </c>
      <c r="EM40" s="20">
        <f t="shared" si="19"/>
        <v>183.6686363162344</v>
      </c>
      <c r="EN40" s="59">
        <f t="shared" si="20"/>
        <v>477.00196964956774</v>
      </c>
      <c r="EO40" s="59">
        <f ca="1">AVERAGE(OFFSET($EN$3,0,0,'Données projet'!$E$15+1,1))-AVERAGE(OFFSET($H$3,0,0,'Données projet'!$E$15+1,1))</f>
        <v>219.76574638403434</v>
      </c>
      <c r="EP40" s="59">
        <f t="shared" si="46"/>
        <v>92.286636088269972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10</v>
      </c>
      <c r="FE40" s="12">
        <f>IF('Données projet'!$A$218&gt;35,FE39+FD40-FM39,IF(A40&lt;'Données projet'!$A$218,$FB$205^A40,IF(A40='Données projet'!$A$218,'Données projet'!$B$218,FE39+FD40-FM39)))</f>
        <v>170</v>
      </c>
      <c r="FF40" s="17">
        <f>FE40*VLOOKUP('Données projet'!$B$16,Paramètres!$A$1:$I$89,3,0)*VLOOKUP('Données projet'!$B$16,Paramètres!$A$1:$I$89,5,0)</f>
        <v>79.56</v>
      </c>
      <c r="FG40" s="13">
        <f t="shared" si="47"/>
        <v>22.029567333453311</v>
      </c>
      <c r="FH40" s="20">
        <f t="shared" si="22"/>
        <v>176.93516310576453</v>
      </c>
      <c r="FI40" s="59">
        <f t="shared" si="23"/>
        <v>470.26849643909782</v>
      </c>
      <c r="FJ40" s="59">
        <f ca="1">AVERAGE(OFFSET($FI$3,0,0,'Données projet'!$E$16+1,1))-AVERAGE(OFFSET($H$3,0,0,'Données projet'!$E$16+1,1))</f>
        <v>86.164294406232727</v>
      </c>
      <c r="FK40" s="59">
        <f t="shared" si="48"/>
        <v>138.91188401562334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4.1615865913155812</v>
      </c>
      <c r="FR40" s="21">
        <f>EXP(-LN(2)/25)*FR39+(1-EXP(-LN(2)/25))/(LN(2)/25)*Calculateur!FM40*Calculateur!FO40*VLOOKUP('Données projet'!$B$16,Paramètres!$A$1:$I$89,3,0)*0.475*44/12</f>
        <v>8.8235976400973524</v>
      </c>
      <c r="FS40" s="21">
        <f>EXP(-LN(2)/2)*FS39+(1-EXP(-LN(2)/2))/(LN(2)/2)*FM40*FP40*VLOOKUP('Données projet'!$B$16,Paramètres!$A$1:$I$89,3,0)*0.475*44/12</f>
        <v>1.1474730433971687</v>
      </c>
      <c r="FT40" s="22">
        <f t="shared" si="24"/>
        <v>14.132657274810102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150.21793637331223</v>
      </c>
      <c r="T41" s="59">
        <f t="shared" si="34"/>
        <v>364.59164590134486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91.010115161202975</v>
      </c>
      <c r="AA41" s="21">
        <f>EXP(-LN(2)/25)*AA40+(1-EXP(-LN(2)/25))/(LN(2)/25)*Calculateur!V41*Calculateur!X41*VLOOKUP('Données projet'!$B$9,Paramètres!$A$1:$I$89,3,0)*0.475*44/12</f>
        <v>18.0426411427026</v>
      </c>
      <c r="AB41" s="21">
        <f>EXP(-LN(2)/2)*AB40+(1-EXP(-LN(2)/2))/(LN(2)/2)*V41*Y41*VLOOKUP('Données projet'!$B$9,Paramètres!$A$1:$I$89,3,0)*0.475*44/12</f>
        <v>1.2097113366376782</v>
      </c>
      <c r="AC41" s="22">
        <f t="shared" si="3"/>
        <v>110.26246764054325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5.4</v>
      </c>
      <c r="AI41" s="13">
        <f>IF('Données projet'!$A$62&gt;35,AI40+AH41-AQ40,IF(A41&lt;'Données projet'!$A$62,$AF$205^A41,IF(A41='Données projet'!$A$62,'Données projet'!$B$62,AI40+AH41-AQ40)))</f>
        <v>82.2</v>
      </c>
      <c r="AJ41" s="13">
        <f>AI41*VLOOKUP('Données projet'!$B$10,Paramètres!$A$1:$I$89,3,0)*VLOOKUP('Données projet'!$B$10,Paramètres!$A$1:$I$89,5,0)</f>
        <v>89.7624</v>
      </c>
      <c r="AK41" s="13">
        <f t="shared" si="35"/>
        <v>24.507912782090678</v>
      </c>
      <c r="AL41" s="20">
        <f t="shared" si="4"/>
        <v>199.02079476214126</v>
      </c>
      <c r="AM41" s="59">
        <f t="shared" si="5"/>
        <v>492.35412809547461</v>
      </c>
      <c r="AN41" s="59">
        <f ca="1">AVERAGE(OFFSET($AM$3,0,0,'Données projet'!$E$10+1,1))-AVERAGE(OFFSET($H$3,0,0,'Données projet'!$E$10+1,1))</f>
        <v>223.92539057016376</v>
      </c>
      <c r="AO41" s="59">
        <f t="shared" si="36"/>
        <v>94.125825809616856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5.4</v>
      </c>
      <c r="BD41" s="12">
        <f>IF('Données projet'!$A$88&gt;35,BD40+BC41-BL40,IF(A41&lt;'Données projet'!$A$88,$BA$205^A41,IF(A41='Données projet'!$A$88,'Données projet'!$B$88,BD40+BC41-BL40)))</f>
        <v>82.2</v>
      </c>
      <c r="BE41" s="13">
        <f>BD41*VLOOKUP('Données projet'!$B$11,Paramètres!$A$1:$I$89,3,0)*VLOOKUP('Données projet'!$B$11,Paramètres!$A$1:$I$89,5,0)</f>
        <v>93.609360000000009</v>
      </c>
      <c r="BF41" s="13">
        <f t="shared" si="37"/>
        <v>25.433713635877286</v>
      </c>
      <c r="BG41" s="20">
        <f t="shared" si="7"/>
        <v>207.33335324915291</v>
      </c>
      <c r="BH41" s="59">
        <f t="shared" si="8"/>
        <v>500.66668658248625</v>
      </c>
      <c r="BI41" s="59">
        <f ca="1">AVERAGE(OFFSET($BH$3,0,0,'Données projet'!$E$11+1,1))-AVERAGE(OFFSET($H$3,0,0,'Données projet'!$E$11+1,1))</f>
        <v>236.39682613502913</v>
      </c>
      <c r="BJ41" s="59">
        <f t="shared" si="38"/>
        <v>99.639724892155641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5.4</v>
      </c>
      <c r="CT41" s="12">
        <f>IF('Données projet'!$A$140&gt;35,CT40+CS41-DB40,IF(A41&lt;'Données projet'!$A$140,$CQ$205^A41,IF(A41='Données projet'!$A$140,'Données projet'!$B$140,CT40+CS41-DB40)))</f>
        <v>82.2</v>
      </c>
      <c r="CU41" s="17">
        <f>CT41*VLOOKUP('Données projet'!$B$13,Paramètres!$A$1:$I$89,3,0)*VLOOKUP('Données projet'!$B$13,Paramètres!$A$1:$I$89,5,0)</f>
        <v>69.245280000000008</v>
      </c>
      <c r="CV41" s="13">
        <f t="shared" si="41"/>
        <v>19.485915913622929</v>
      </c>
      <c r="CW41" s="20">
        <f t="shared" si="13"/>
        <v>154.54016621622662</v>
      </c>
      <c r="CX41" s="59">
        <f t="shared" si="14"/>
        <v>447.87349954955994</v>
      </c>
      <c r="CY41" s="59">
        <f ca="1">AVERAGE(OFFSET($CX$3,0,0,'Données projet'!$E$13+1,1))-AVERAGE(OFFSET($H$3,0,0,'Données projet'!$E$13+1,1))</f>
        <v>157.20393815370375</v>
      </c>
      <c r="CZ41" s="59">
        <f t="shared" si="42"/>
        <v>64.616965816756363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11.4</v>
      </c>
      <c r="DO41" s="12">
        <f>IF('Données projet'!$A$166&gt;35,DO40+DN41-DW40,IF(A41&lt;'Données projet'!$A$166,$DL$205^A41,IF(A41='Données projet'!$A$166,'Données projet'!$B$166,DO40+DN41-DW40)))</f>
        <v>205.2</v>
      </c>
      <c r="DP41" s="17">
        <f>DO41*VLOOKUP('Données projet'!$B$14,Paramètres!$A$1:$I$89,3,0)*VLOOKUP('Données projet'!$B$14,Paramètres!$A$1:$I$89,5,0)</f>
        <v>166.45823999999999</v>
      </c>
      <c r="DQ41" s="13">
        <f t="shared" si="43"/>
        <v>42.295817799452642</v>
      </c>
      <c r="DR41" s="20">
        <f t="shared" si="16"/>
        <v>363.5799840007133</v>
      </c>
      <c r="DS41" s="59">
        <f t="shared" si="17"/>
        <v>656.91331733404661</v>
      </c>
      <c r="DT41" s="59">
        <f ca="1">AVERAGE(OFFSET($DS$3,0,0,'Données projet'!$E$14+1,1))-AVERAGE(OFFSET($H$3,0,0,'Données projet'!$E$14+1,1))</f>
        <v>221.78186926953776</v>
      </c>
      <c r="DU41" s="59">
        <f t="shared" si="44"/>
        <v>276.69392352410654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9.3574910740388244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9.3574910740388244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5.4</v>
      </c>
      <c r="EJ41" s="12">
        <f>IF('Données projet'!$A$192&gt;35,EJ40+EI41-ER40,IF(A41&lt;'Données projet'!$A$192,$EG$205^A41,IF(A41='Données projet'!$A$192,'Données projet'!$B$192,EJ40+EI41-ER40)))</f>
        <v>82.2</v>
      </c>
      <c r="EK41" s="17">
        <f>EJ41*VLOOKUP('Données projet'!$B$15,Paramètres!$A$1:$I$89,3,0)*VLOOKUP('Données projet'!$B$15,Paramètres!$A$1:$I$89,5,0)</f>
        <v>88.480080000000001</v>
      </c>
      <c r="EL41" s="13">
        <f t="shared" si="45"/>
        <v>24.1982943117189</v>
      </c>
      <c r="EM41" s="20">
        <f t="shared" si="19"/>
        <v>196.24816859291039</v>
      </c>
      <c r="EN41" s="59">
        <f t="shared" si="20"/>
        <v>489.58150192624373</v>
      </c>
      <c r="EO41" s="59">
        <f ca="1">AVERAGE(OFFSET($EN$3,0,0,'Données projet'!$E$15+1,1))-AVERAGE(OFFSET($H$3,0,0,'Données projet'!$E$15+1,1))</f>
        <v>219.76574638403434</v>
      </c>
      <c r="EP41" s="59">
        <f t="shared" si="46"/>
        <v>92.286636088269972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10</v>
      </c>
      <c r="FE41" s="12">
        <f>IF('Données projet'!$A$218&gt;35,FE40+FD41-FM40,IF(A41&lt;'Données projet'!$A$218,$FB$205^A41,IF(A41='Données projet'!$A$218,'Données projet'!$B$218,FE40+FD41-FM40)))</f>
        <v>180</v>
      </c>
      <c r="FF41" s="17">
        <f>FE41*VLOOKUP('Données projet'!$B$16,Paramètres!$A$1:$I$89,3,0)*VLOOKUP('Données projet'!$B$16,Paramètres!$A$1:$I$89,5,0)</f>
        <v>84.24</v>
      </c>
      <c r="FG41" s="13">
        <f t="shared" si="47"/>
        <v>23.170749718409468</v>
      </c>
      <c r="FH41" s="20">
        <f t="shared" si="22"/>
        <v>187.07372242622981</v>
      </c>
      <c r="FI41" s="59">
        <f t="shared" si="23"/>
        <v>480.40705575956315</v>
      </c>
      <c r="FJ41" s="59">
        <f ca="1">AVERAGE(OFFSET($FI$3,0,0,'Données projet'!$E$16+1,1))-AVERAGE(OFFSET($H$3,0,0,'Données projet'!$E$16+1,1))</f>
        <v>86.164294406232727</v>
      </c>
      <c r="FK41" s="59">
        <f t="shared" si="48"/>
        <v>138.91188401562334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4.0799804165770652</v>
      </c>
      <c r="FR41" s="21">
        <f>EXP(-LN(2)/25)*FR40+(1-EXP(-LN(2)/25))/(LN(2)/25)*Calculateur!FM41*Calculateur!FO41*VLOOKUP('Données projet'!$B$16,Paramètres!$A$1:$I$89,3,0)*0.475*44/12</f>
        <v>8.5823158986160575</v>
      </c>
      <c r="FS41" s="21">
        <f>EXP(-LN(2)/2)*FS40+(1-EXP(-LN(2)/2))/(LN(2)/2)*FM41*FP41*VLOOKUP('Données projet'!$B$16,Paramètres!$A$1:$I$89,3,0)*0.475*44/12</f>
        <v>0.81138597021490355</v>
      </c>
      <c r="FT41" s="22">
        <f t="shared" si="24"/>
        <v>13.473682285408026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150.21793637331223</v>
      </c>
      <c r="T42" s="59">
        <f t="shared" si="34"/>
        <v>364.59164590134486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89.225462313580806</v>
      </c>
      <c r="AA42" s="21">
        <f>EXP(-LN(2)/25)*AA41+(1-EXP(-LN(2)/25))/(LN(2)/25)*Calculateur!V42*Calculateur!X42*VLOOKUP('Données projet'!$B$9,Paramètres!$A$1:$I$89,3,0)*0.475*44/12</f>
        <v>17.549264171834135</v>
      </c>
      <c r="AB42" s="21">
        <f>EXP(-LN(2)/2)*AB41+(1-EXP(-LN(2)/2))/(LN(2)/2)*V42*Y42*VLOOKUP('Données projet'!$B$9,Paramètres!$A$1:$I$89,3,0)*0.475*44/12</f>
        <v>0.85539508941474462</v>
      </c>
      <c r="AC42" s="22">
        <f t="shared" si="3"/>
        <v>107.63012157482969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5.4</v>
      </c>
      <c r="AI42" s="13">
        <f>IF('Données projet'!$A$62&gt;35,AI41+AH42-AQ41,IF(A42&lt;'Données projet'!$A$62,$AF$205^A42,IF(A42='Données projet'!$A$62,'Données projet'!$B$62,AI41+AH42-AQ41)))</f>
        <v>87.600000000000009</v>
      </c>
      <c r="AJ42" s="13">
        <f>AI42*VLOOKUP('Données projet'!$B$10,Paramètres!$A$1:$I$89,3,0)*VLOOKUP('Données projet'!$B$10,Paramètres!$A$1:$I$89,5,0)</f>
        <v>95.659199999999998</v>
      </c>
      <c r="AK42" s="13">
        <f t="shared" si="35"/>
        <v>25.92520602338745</v>
      </c>
      <c r="AL42" s="20">
        <f t="shared" si="4"/>
        <v>211.75950715739978</v>
      </c>
      <c r="AM42" s="59">
        <f t="shared" si="5"/>
        <v>505.09284049073312</v>
      </c>
      <c r="AN42" s="59">
        <f ca="1">AVERAGE(OFFSET($AM$3,0,0,'Données projet'!$E$10+1,1))-AVERAGE(OFFSET($H$3,0,0,'Données projet'!$E$10+1,1))</f>
        <v>223.92539057016376</v>
      </c>
      <c r="AO42" s="59">
        <f t="shared" si="36"/>
        <v>94.125825809616856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5.4</v>
      </c>
      <c r="BD42" s="12">
        <f>IF('Données projet'!$A$88&gt;35,BD41+BC42-BL41,IF(A42&lt;'Données projet'!$A$88,$BA$205^A42,IF(A42='Données projet'!$A$88,'Données projet'!$B$88,BD41+BC42-BL41)))</f>
        <v>87.600000000000009</v>
      </c>
      <c r="BE42" s="13">
        <f>BD42*VLOOKUP('Données projet'!$B$11,Paramètres!$A$1:$I$89,3,0)*VLOOKUP('Données projet'!$B$11,Paramètres!$A$1:$I$89,5,0)</f>
        <v>99.758880000000019</v>
      </c>
      <c r="BF42" s="13">
        <f t="shared" si="37"/>
        <v>26.90454596491789</v>
      </c>
      <c r="BG42" s="20">
        <f t="shared" si="7"/>
        <v>220.60546688889869</v>
      </c>
      <c r="BH42" s="59">
        <f t="shared" si="8"/>
        <v>513.93880022223198</v>
      </c>
      <c r="BI42" s="59">
        <f ca="1">AVERAGE(OFFSET($BH$3,0,0,'Données projet'!$E$11+1,1))-AVERAGE(OFFSET($H$3,0,0,'Données projet'!$E$11+1,1))</f>
        <v>236.39682613502913</v>
      </c>
      <c r="BJ42" s="59">
        <f t="shared" si="38"/>
        <v>99.639724892155641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5.4</v>
      </c>
      <c r="CT42" s="12">
        <f>IF('Données projet'!$A$140&gt;35,CT41+CS42-DB41,IF(A42&lt;'Données projet'!$A$140,$CQ$205^A42,IF(A42='Données projet'!$A$140,'Données projet'!$B$140,CT41+CS42-DB41)))</f>
        <v>87.600000000000009</v>
      </c>
      <c r="CU42" s="17">
        <f>CT42*VLOOKUP('Données projet'!$B$13,Paramètres!$A$1:$I$89,3,0)*VLOOKUP('Données projet'!$B$13,Paramètres!$A$1:$I$89,5,0)</f>
        <v>73.794240000000016</v>
      </c>
      <c r="CV42" s="13">
        <f t="shared" si="41"/>
        <v>20.612786943824918</v>
      </c>
      <c r="CW42" s="20">
        <f t="shared" si="13"/>
        <v>164.42557192716174</v>
      </c>
      <c r="CX42" s="59">
        <f t="shared" si="14"/>
        <v>457.75890526049506</v>
      </c>
      <c r="CY42" s="59">
        <f ca="1">AVERAGE(OFFSET($CX$3,0,0,'Données projet'!$E$13+1,1))-AVERAGE(OFFSET($H$3,0,0,'Données projet'!$E$13+1,1))</f>
        <v>157.20393815370375</v>
      </c>
      <c r="CZ42" s="59">
        <f t="shared" si="42"/>
        <v>64.616965816756363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11.4</v>
      </c>
      <c r="DO42" s="12">
        <f>IF('Données projet'!$A$166&gt;35,DO41+DN42-DW41,IF(A42&lt;'Données projet'!$A$166,$DL$205^A42,IF(A42='Données projet'!$A$166,'Données projet'!$B$166,DO41+DN42-DW41)))</f>
        <v>216.6</v>
      </c>
      <c r="DP42" s="17">
        <f>DO42*VLOOKUP('Données projet'!$B$14,Paramètres!$A$1:$I$89,3,0)*VLOOKUP('Données projet'!$B$14,Paramètres!$A$1:$I$89,5,0)</f>
        <v>175.70592000000002</v>
      </c>
      <c r="DQ42" s="13">
        <f t="shared" si="43"/>
        <v>44.365494122468341</v>
      </c>
      <c r="DR42" s="20">
        <f t="shared" si="16"/>
        <v>383.29104626329899</v>
      </c>
      <c r="DS42" s="59">
        <f t="shared" si="17"/>
        <v>676.62437959663225</v>
      </c>
      <c r="DT42" s="59">
        <f ca="1">AVERAGE(OFFSET($DS$3,0,0,'Données projet'!$E$14+1,1))-AVERAGE(OFFSET($H$3,0,0,'Données projet'!$E$14+1,1))</f>
        <v>221.78186926953776</v>
      </c>
      <c r="DU42" s="59">
        <f t="shared" si="44"/>
        <v>276.69392352410654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9.1739963815829082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9.1739963815829082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5.4</v>
      </c>
      <c r="EJ42" s="12">
        <f>IF('Données projet'!$A$192&gt;35,EJ41+EI42-ER41,IF(A42&lt;'Données projet'!$A$192,$EG$205^A42,IF(A42='Données projet'!$A$192,'Données projet'!$B$192,EJ41+EI42-ER41)))</f>
        <v>87.600000000000009</v>
      </c>
      <c r="EK42" s="17">
        <f>EJ42*VLOOKUP('Données projet'!$B$15,Paramètres!$A$1:$I$89,3,0)*VLOOKUP('Données projet'!$B$15,Paramètres!$A$1:$I$89,5,0)</f>
        <v>94.292640000000006</v>
      </c>
      <c r="EL42" s="13">
        <f t="shared" si="45"/>
        <v>25.597682308724192</v>
      </c>
      <c r="EM42" s="20">
        <f t="shared" si="19"/>
        <v>208.80897802102797</v>
      </c>
      <c r="EN42" s="59">
        <f t="shared" si="20"/>
        <v>502.14231135436125</v>
      </c>
      <c r="EO42" s="59">
        <f ca="1">AVERAGE(OFFSET($EN$3,0,0,'Données projet'!$E$15+1,1))-AVERAGE(OFFSET($H$3,0,0,'Données projet'!$E$15+1,1))</f>
        <v>219.76574638403434</v>
      </c>
      <c r="EP42" s="59">
        <f t="shared" si="46"/>
        <v>92.286636088269972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10</v>
      </c>
      <c r="FE42" s="12">
        <f>IF('Données projet'!$A$218&gt;35,FE41+FD42-FM41,IF(A42&lt;'Données projet'!$A$218,$FB$205^A42,IF(A42='Données projet'!$A$218,'Données projet'!$B$218,FE41+FD42-FM41)))</f>
        <v>190</v>
      </c>
      <c r="FF42" s="17">
        <f>FE42*VLOOKUP('Données projet'!$B$16,Paramètres!$A$1:$I$89,3,0)*VLOOKUP('Données projet'!$B$16,Paramètres!$A$1:$I$89,5,0)</f>
        <v>88.919999999999987</v>
      </c>
      <c r="FG42" s="13">
        <f t="shared" si="47"/>
        <v>24.30457227046648</v>
      </c>
      <c r="FH42" s="20">
        <f t="shared" si="22"/>
        <v>197.19946337106239</v>
      </c>
      <c r="FI42" s="59">
        <f t="shared" si="23"/>
        <v>490.53279670439571</v>
      </c>
      <c r="FJ42" s="59">
        <f ca="1">AVERAGE(OFFSET($FI$3,0,0,'Données projet'!$E$16+1,1))-AVERAGE(OFFSET($H$3,0,0,'Données projet'!$E$16+1,1))</f>
        <v>86.164294406232727</v>
      </c>
      <c r="FK42" s="59">
        <f t="shared" si="48"/>
        <v>138.91188401562334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3.9999744891503197</v>
      </c>
      <c r="FR42" s="21">
        <f>EXP(-LN(2)/25)*FR41+(1-EXP(-LN(2)/25))/(LN(2)/25)*Calculateur!FM42*Calculateur!FO42*VLOOKUP('Données projet'!$B$16,Paramètres!$A$1:$I$89,3,0)*0.475*44/12</f>
        <v>8.3476320190440241</v>
      </c>
      <c r="FS42" s="21">
        <f>EXP(-LN(2)/2)*FS41+(1-EXP(-LN(2)/2))/(LN(2)/2)*FM42*FP42*VLOOKUP('Données projet'!$B$16,Paramètres!$A$1:$I$89,3,0)*0.475*44/12</f>
        <v>0.57373652169858436</v>
      </c>
      <c r="FT42" s="22">
        <f t="shared" si="24"/>
        <v>12.921343029892929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150.21793637331223</v>
      </c>
      <c r="T43" s="59">
        <f t="shared" si="34"/>
        <v>364.59164590134486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87.475805419769756</v>
      </c>
      <c r="AA43" s="21">
        <f>EXP(-LN(2)/25)*AA42+(1-EXP(-LN(2)/25))/(LN(2)/25)*Calculateur!V43*Calculateur!X43*VLOOKUP('Données projet'!$B$9,Paramètres!$A$1:$I$89,3,0)*0.475*44/12</f>
        <v>17.069378620179638</v>
      </c>
      <c r="AB43" s="21">
        <f>EXP(-LN(2)/2)*AB42+(1-EXP(-LN(2)/2))/(LN(2)/2)*V43*Y43*VLOOKUP('Données projet'!$B$9,Paramètres!$A$1:$I$89,3,0)*0.475*44/12</f>
        <v>0.60485566831883908</v>
      </c>
      <c r="AC43" s="22">
        <f t="shared" si="3"/>
        <v>105.15003970826822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93</v>
      </c>
      <c r="AG43" s="12">
        <f>VLOOKUP(A43,'Données projet'!$A$61:$I$81,9,0)</f>
        <v>5.4</v>
      </c>
      <c r="AH43" s="12">
        <f t="array" ref="AH43">INDEX(AG:AG,MIN(IF(ISNUMBER(AG43:AG239),ROW(AG43:AG239),"")))</f>
        <v>5.4</v>
      </c>
      <c r="AI43" s="13">
        <f>IF('Données projet'!$A$62&gt;35,AI42+AH43-AQ42,IF(A43&lt;'Données projet'!$A$62,$AF$205^A43,IF(A43='Données projet'!$A$62,'Données projet'!$B$62,AI42+AH43-AQ42)))</f>
        <v>93.000000000000014</v>
      </c>
      <c r="AJ43" s="13">
        <f>AI43*VLOOKUP('Données projet'!$B$10,Paramètres!$A$1:$I$89,3,0)*VLOOKUP('Données projet'!$B$10,Paramètres!$A$1:$I$89,5,0)</f>
        <v>101.55600000000001</v>
      </c>
      <c r="AK43" s="13">
        <f t="shared" si="35"/>
        <v>27.332359320696909</v>
      </c>
      <c r="AL43" s="20">
        <f t="shared" si="4"/>
        <v>224.48055915021379</v>
      </c>
      <c r="AM43" s="59">
        <f t="shared" si="5"/>
        <v>517.81389248354708</v>
      </c>
      <c r="AN43" s="59">
        <f ca="1">AVERAGE(OFFSET($AM$3,0,0,'Données projet'!$E$10+1,1))-AVERAGE(OFFSET($H$3,0,0,'Données projet'!$E$10+1,1))</f>
        <v>223.92539057016376</v>
      </c>
      <c r="AO43" s="59">
        <f t="shared" si="36"/>
        <v>94.125825809616856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14</v>
      </c>
      <c r="AR43" s="16">
        <f>IF(ISNA(VLOOKUP(A43,'Données projet'!$A$61:$I$81,5,0)),0%,VLOOKUP(A43,'Données projet'!$A$61:$I$81,5,0)*VLOOKUP('Données projet'!$B$10,Paramètres!$A$1:$I$89,7,0))</f>
        <v>8.6000000000000007E-2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1.453437079957778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1.453437079957778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93</v>
      </c>
      <c r="BB43" s="12">
        <f>VLOOKUP(A43,'Données projet'!$A$87:$I$107,9,0)</f>
        <v>5.4</v>
      </c>
      <c r="BC43" s="12">
        <f t="array" ref="BC43">INDEX(BB:BB,MIN(IF(ISNUMBER(BB43:BB239),ROW(BB43:BB239),"")))</f>
        <v>5.4</v>
      </c>
      <c r="BD43" s="12">
        <f>IF('Données projet'!$A$88&gt;35,BD42+BC43-BL42,IF(A43&lt;'Données projet'!$A$88,$BA$205^A43,IF(A43='Données projet'!$A$88,'Données projet'!$B$88,BD42+BC43-BL42)))</f>
        <v>93.000000000000014</v>
      </c>
      <c r="BE43" s="13">
        <f>BD43*VLOOKUP('Données projet'!$B$11,Paramètres!$A$1:$I$89,3,0)*VLOOKUP('Données projet'!$B$11,Paramètres!$A$1:$I$89,5,0)</f>
        <v>105.90840000000003</v>
      </c>
      <c r="BF43" s="13">
        <f t="shared" si="37"/>
        <v>28.36485530760914</v>
      </c>
      <c r="BG43" s="20">
        <f t="shared" si="7"/>
        <v>233.85925299408595</v>
      </c>
      <c r="BH43" s="59">
        <f t="shared" si="8"/>
        <v>527.19258632741924</v>
      </c>
      <c r="BI43" s="59">
        <f ca="1">AVERAGE(OFFSET($BH$3,0,0,'Données projet'!$E$11+1,1))-AVERAGE(OFFSET($H$3,0,0,'Données projet'!$E$11+1,1))</f>
        <v>236.39682613502913</v>
      </c>
      <c r="BJ43" s="59">
        <f t="shared" si="38"/>
        <v>99.639724892155641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14</v>
      </c>
      <c r="BM43" s="16">
        <f>IF(ISNA(VLOOKUP(A43,'Données projet'!$A$87:$I$107,5,0)),0%,VLOOKUP(A43,'Données projet'!$A$87:$I$107,5,0)*VLOOKUP('Données projet'!$B$11,Paramètres!$A$1:$I$89,7,0))</f>
        <v>8.6000000000000007E-2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1.5157272405273972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1.5157272405273972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93</v>
      </c>
      <c r="CR43" s="12">
        <f>VLOOKUP(A43,'Données projet'!$A$139:$I$159,9,0)</f>
        <v>5.4</v>
      </c>
      <c r="CS43" s="12">
        <f t="array" ref="CS43">INDEX(CR:CR,MIN(IF(ISNUMBER(CR43:CR239),ROW(CR43:CR239),"")))</f>
        <v>5.4</v>
      </c>
      <c r="CT43" s="12">
        <f>IF('Données projet'!$A$140&gt;35,CT42+CS43-DB42,IF(A43&lt;'Données projet'!$A$140,$CQ$205^A43,IF(A43='Données projet'!$A$140,'Données projet'!$B$140,CT42+CS43-DB42)))</f>
        <v>93.000000000000014</v>
      </c>
      <c r="CU43" s="17">
        <f>CT43*VLOOKUP('Données projet'!$B$13,Paramètres!$A$1:$I$89,3,0)*VLOOKUP('Données projet'!$B$13,Paramètres!$A$1:$I$89,5,0)</f>
        <v>78.343200000000024</v>
      </c>
      <c r="CV43" s="13">
        <f t="shared" si="41"/>
        <v>21.731595839251806</v>
      </c>
      <c r="CW43" s="20">
        <f t="shared" si="13"/>
        <v>174.29693608669695</v>
      </c>
      <c r="CX43" s="59">
        <f t="shared" si="14"/>
        <v>467.63026942003023</v>
      </c>
      <c r="CY43" s="59">
        <f ca="1">AVERAGE(OFFSET($CX$3,0,0,'Données projet'!$E$13+1,1))-AVERAGE(OFFSET($H$3,0,0,'Données projet'!$E$13+1,1))</f>
        <v>157.20393815370375</v>
      </c>
      <c r="CZ43" s="59">
        <f t="shared" si="42"/>
        <v>64.616965816756363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14</v>
      </c>
      <c r="DC43" s="16">
        <f>IF(ISNA(VLOOKUP(A43,'Données projet'!$A$139:$I$159,5,0)),0%,VLOOKUP(A43,'Données projet'!$A$139:$I$159,5,0)*VLOOKUP('Données projet'!$B$13,Paramètres!$A$1:$I$89,7,0))</f>
        <v>8.6000000000000007E-2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1.1212228902531431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1.1212228902531431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228</v>
      </c>
      <c r="DM43" s="12">
        <f>VLOOKUP(A43,'Données projet'!$A$165:$I$185,9,0)</f>
        <v>11.4</v>
      </c>
      <c r="DN43" s="12">
        <f t="array" ref="DN43">INDEX(DM:DM,MIN(IF(ISNUMBER(DM43:DM239),ROW(DM43:DM239),"")))</f>
        <v>11.4</v>
      </c>
      <c r="DO43" s="12">
        <f>IF('Données projet'!$A$166&gt;35,DO42+DN43-DW42,IF(A43&lt;'Données projet'!$A$166,$DL$205^A43,IF(A43='Données projet'!$A$166,'Données projet'!$B$166,DO42+DN43-DW42)))</f>
        <v>228</v>
      </c>
      <c r="DP43" s="17">
        <f>DO43*VLOOKUP('Données projet'!$B$14,Paramètres!$A$1:$I$89,3,0)*VLOOKUP('Données projet'!$B$14,Paramètres!$A$1:$I$89,5,0)</f>
        <v>184.95360000000002</v>
      </c>
      <c r="DQ43" s="13">
        <f t="shared" si="43"/>
        <v>46.42252355095799</v>
      </c>
      <c r="DR43" s="20">
        <f t="shared" si="16"/>
        <v>402.9800818512519</v>
      </c>
      <c r="DS43" s="59">
        <f t="shared" si="17"/>
        <v>696.31341518458521</v>
      </c>
      <c r="DT43" s="59">
        <f ca="1">AVERAGE(OFFSET($DS$3,0,0,'Données projet'!$E$14+1,1))-AVERAGE(OFFSET($H$3,0,0,'Données projet'!$E$14+1,1))</f>
        <v>221.78186926953776</v>
      </c>
      <c r="DU43" s="59">
        <f t="shared" si="44"/>
        <v>276.69392352410654</v>
      </c>
      <c r="DV43" s="15">
        <f>IF(ISNA(VLOOKUP(A43,'Données projet'!$A$165:$I$185,3,0)),0,VLOOKUP(A43,'Données projet'!$A$165:$I$185,3,0))</f>
        <v>7</v>
      </c>
      <c r="DW43" s="15">
        <f>IF(ISNA(VLOOKUP(A43,'Données projet'!$A$165:$I$185,4,0)),0,VLOOKUP(A43,'Données projet'!$A$165:$I$185,4,0))</f>
        <v>35</v>
      </c>
      <c r="DX43" s="16">
        <f>IF(ISNA(VLOOKUP(A43,'Données projet'!$A$165:$I$185,5,0)),0%,VLOOKUP(A43,'Données projet'!$A$165:$I$185,5,0)*VLOOKUP('Données projet'!$B$14,Paramètres!$A$1:$I$89,7,0))</f>
        <v>0.17200000000000001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14.392580490825662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14.392580490825662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93</v>
      </c>
      <c r="EH43" s="12">
        <f>VLOOKUP(A43,'Données projet'!$A$191:$I$211,9,0)</f>
        <v>5.4</v>
      </c>
      <c r="EI43" s="12">
        <f t="array" ref="EI43">INDEX(EH:EH,MIN(IF(ISNUMBER(EH43:EH239),ROW(EH43:EH239),"")))</f>
        <v>5.4</v>
      </c>
      <c r="EJ43" s="12">
        <f>IF('Données projet'!$A$192&gt;35,EJ42+EI43-ER42,IF(A43&lt;'Données projet'!$A$192,$EG$205^A43,IF(A43='Données projet'!$A$192,'Données projet'!$B$192,EJ42+EI43-ER42)))</f>
        <v>93.000000000000014</v>
      </c>
      <c r="EK43" s="17">
        <f>EJ43*VLOOKUP('Données projet'!$B$15,Paramètres!$A$1:$I$89,3,0)*VLOOKUP('Données projet'!$B$15,Paramètres!$A$1:$I$89,5,0)</f>
        <v>100.10520000000001</v>
      </c>
      <c r="EL43" s="13">
        <f t="shared" si="45"/>
        <v>26.987058463795307</v>
      </c>
      <c r="EM43" s="20">
        <f t="shared" si="19"/>
        <v>221.35235015777684</v>
      </c>
      <c r="EN43" s="59">
        <f t="shared" si="20"/>
        <v>514.68568349111013</v>
      </c>
      <c r="EO43" s="59">
        <f ca="1">AVERAGE(OFFSET($EN$3,0,0,'Données projet'!$E$15+1,1))-AVERAGE(OFFSET($H$3,0,0,'Données projet'!$E$15+1,1))</f>
        <v>219.76574638403434</v>
      </c>
      <c r="EP43" s="59">
        <f t="shared" si="46"/>
        <v>92.286636088269972</v>
      </c>
      <c r="EQ43" s="15">
        <f>IF(ISNA(VLOOKUP(A43,'Données projet'!$A$191:$I$211,3,0)),0,VLOOKUP(A43,'Données projet'!$A$191:$I$211,3,0))</f>
        <v>4</v>
      </c>
      <c r="ER43" s="15">
        <f>IF(ISNA(VLOOKUP(A43,'Données projet'!$A$191:$I$211,4,0)),0,VLOOKUP(A43,'Données projet'!$A$191:$I$211,4,0))</f>
        <v>14</v>
      </c>
      <c r="ES43" s="16">
        <f>IF(ISNA(VLOOKUP(A43,'Données projet'!$A$191:$I$211,5,0)),0%,VLOOKUP(A43,'Données projet'!$A$191:$I$211,5,0)*VLOOKUP('Données projet'!$B$15,Paramètres!$A$1:$I$89,7,0))</f>
        <v>8.6000000000000007E-2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1.4326736931012383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1.4326736931012383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200</v>
      </c>
      <c r="FC43" s="12">
        <f>VLOOKUP(A43,'Données projet'!$A$217:$I$237,9,0)</f>
        <v>10</v>
      </c>
      <c r="FD43" s="12">
        <f t="array" ref="FD43">INDEX(FC:FC,MIN(IF(ISNUMBER(FC43:FC239),ROW(FC43:FC239),"")))</f>
        <v>10</v>
      </c>
      <c r="FE43" s="12">
        <f>IF('Données projet'!$A$218&gt;35,FE42+FD43-FM42,IF(A43&lt;'Données projet'!$A$218,$FB$205^A43,IF(A43='Données projet'!$A$218,'Données projet'!$B$218,FE42+FD43-FM42)))</f>
        <v>200</v>
      </c>
      <c r="FF43" s="17">
        <f>FE43*VLOOKUP('Données projet'!$B$16,Paramètres!$A$1:$I$89,3,0)*VLOOKUP('Données projet'!$B$16,Paramètres!$A$1:$I$89,5,0)</f>
        <v>93.600000000000009</v>
      </c>
      <c r="FG43" s="13">
        <f t="shared" si="47"/>
        <v>25.431466524572937</v>
      </c>
      <c r="FH43" s="20">
        <f t="shared" si="22"/>
        <v>207.31313753029789</v>
      </c>
      <c r="FI43" s="59">
        <f t="shared" si="23"/>
        <v>500.64647086363118</v>
      </c>
      <c r="FJ43" s="59">
        <f ca="1">AVERAGE(OFFSET($FI$3,0,0,'Données projet'!$E$16+1,1))-AVERAGE(OFFSET($H$3,0,0,'Données projet'!$E$16+1,1))</f>
        <v>86.164294406232727</v>
      </c>
      <c r="FK43" s="59">
        <f t="shared" si="48"/>
        <v>138.91188401562334</v>
      </c>
      <c r="FL43" s="15">
        <f>IF(ISNA(VLOOKUP(A43,'Données projet'!$A$217:$I$237,3,0)),0,VLOOKUP(A43,'Données projet'!$A$217:$I$237,3,0))</f>
        <v>2</v>
      </c>
      <c r="FM43" s="15">
        <f>IF(ISNA(VLOOKUP(A43,'Données projet'!$A$217:$I$237,4,0)),0,VLOOKUP(A43,'Données projet'!$A$217:$I$237,4,0))</f>
        <v>50</v>
      </c>
      <c r="FN43" s="16">
        <f>IF(ISNA(VLOOKUP(A43,'Données projet'!$A$217:$I$237,5,0)),0%,VLOOKUP(A43,'Données projet'!$A$217:$I$237,5,0)*VLOOKUP('Données projet'!$B$16,Paramètres!$A$1:$I$89,7,0))</f>
        <v>0.16500000000000001</v>
      </c>
      <c r="FO43" s="16">
        <f>IF(ISNA(VLOOKUP(A43,'Données projet'!$A$217:$I$237,6,0)),0%,VLOOKUP(A43,'Données projet'!$A$217:$I$237,6,0)*VLOOKUP('Données projet'!$B$16,Paramètres!$A$1:$I$89,7,0))</f>
        <v>0.21450000000000002</v>
      </c>
      <c r="FP43" s="16">
        <f>IF(ISNA(VLOOKUP(A43,'Données projet'!$A$217:$I$237,7,0)),0%,VLOOKUP(A43,'Données projet'!$A$217:$I$237,7,0))</f>
        <v>0.31</v>
      </c>
      <c r="FQ43" s="21">
        <f>EXP(-LN(2)/35)*FQ42+(1-EXP(-LN(2)/35))/(LN(2)/35)*FM43*FN43*VLOOKUP('Données projet'!$B$16,Paramètres!$A$1:$I$89,3,0)*0.475*44/12</f>
        <v>9.0434027916136817</v>
      </c>
      <c r="FR43" s="21">
        <f>EXP(-LN(2)/25)*FR42+(1-EXP(-LN(2)/25))/(LN(2)/25)*Calculateur!FM43*Calculateur!FO43*VLOOKUP('Données projet'!$B$16,Paramètres!$A$1:$I$89,3,0)*0.475*44/12</f>
        <v>14.751573797517679</v>
      </c>
      <c r="FS43" s="21">
        <f>EXP(-LN(2)/2)*FS42+(1-EXP(-LN(2)/2))/(LN(2)/2)*FM43*FP43*VLOOKUP('Données projet'!$B$16,Paramètres!$A$1:$I$89,3,0)*0.475*44/12</f>
        <v>8.6189060713644317</v>
      </c>
      <c r="FT43" s="22">
        <f t="shared" si="24"/>
        <v>32.413882660495787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150.21793637331223</v>
      </c>
      <c r="T44" s="59">
        <f t="shared" si="34"/>
        <v>364.59164590134486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85.760458230461012</v>
      </c>
      <c r="AA44" s="21">
        <f>EXP(-LN(2)/25)*AA43+(1-EXP(-LN(2)/25))/(LN(2)/25)*Calculateur!V44*Calculateur!X44*VLOOKUP('Données projet'!$B$9,Paramètres!$A$1:$I$89,3,0)*0.475*44/12</f>
        <v>16.602615564171217</v>
      </c>
      <c r="AB44" s="21">
        <f>EXP(-LN(2)/2)*AB43+(1-EXP(-LN(2)/2))/(LN(2)/2)*V44*Y44*VLOOKUP('Données projet'!$B$9,Paramètres!$A$1:$I$89,3,0)*0.475*44/12</f>
        <v>0.42769754470737231</v>
      </c>
      <c r="AC44" s="22">
        <f t="shared" si="3"/>
        <v>102.7907713393396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5.6</v>
      </c>
      <c r="AI44" s="13">
        <f>IF('Données projet'!$A$62&gt;35,AI43+AH44-AQ43,IF(A44&lt;'Données projet'!$A$62,$AF$205^A44,IF(A44='Données projet'!$A$62,'Données projet'!$B$62,AI43+AH44-AQ43)))</f>
        <v>84.600000000000009</v>
      </c>
      <c r="AJ44" s="13">
        <f>AI44*VLOOKUP('Données projet'!$B$10,Paramètres!$A$1:$I$89,3,0)*VLOOKUP('Données projet'!$B$10,Paramètres!$A$1:$I$89,5,0)</f>
        <v>92.383200000000002</v>
      </c>
      <c r="AK44" s="13">
        <f t="shared" si="35"/>
        <v>25.13911825557507</v>
      </c>
      <c r="AL44" s="20">
        <f t="shared" si="4"/>
        <v>204.68470429512658</v>
      </c>
      <c r="AM44" s="59">
        <f t="shared" si="5"/>
        <v>498.01803762845987</v>
      </c>
      <c r="AN44" s="59">
        <f ca="1">AVERAGE(OFFSET($AM$3,0,0,'Données projet'!$E$10+1,1))-AVERAGE(OFFSET($H$3,0,0,'Données projet'!$E$10+1,1))</f>
        <v>223.92539057016376</v>
      </c>
      <c r="AO44" s="59">
        <f t="shared" si="36"/>
        <v>94.125825809616856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1.4249360653288894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1.4249360653288894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5.6</v>
      </c>
      <c r="BD44" s="12">
        <f>IF('Données projet'!$A$88&gt;35,BD43+BC44-BL43,IF(A44&lt;'Données projet'!$A$88,$BA$205^A44,IF(A44='Données projet'!$A$88,'Données projet'!$B$88,BD43+BC44-BL43)))</f>
        <v>84.600000000000009</v>
      </c>
      <c r="BE44" s="13">
        <f>BD44*VLOOKUP('Données projet'!$B$11,Paramètres!$A$1:$I$89,3,0)*VLOOKUP('Données projet'!$B$11,Paramètres!$A$1:$I$89,5,0)</f>
        <v>96.342480000000009</v>
      </c>
      <c r="BF44" s="13">
        <f t="shared" si="37"/>
        <v>26.088763268244669</v>
      </c>
      <c r="BG44" s="20">
        <f t="shared" si="7"/>
        <v>213.23441535885948</v>
      </c>
      <c r="BH44" s="59">
        <f t="shared" si="8"/>
        <v>506.56774869219282</v>
      </c>
      <c r="BI44" s="59">
        <f ca="1">AVERAGE(OFFSET($BH$3,0,0,'Données projet'!$E$11+1,1))-AVERAGE(OFFSET($H$3,0,0,'Données projet'!$E$11+1,1))</f>
        <v>236.39682613502913</v>
      </c>
      <c r="BJ44" s="59">
        <f t="shared" si="38"/>
        <v>99.639724892155641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1.4860047538429846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1.4860047538429846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5.6</v>
      </c>
      <c r="CT44" s="12">
        <f>IF('Données projet'!$A$140&gt;35,CT43+CS44-DB43,IF(A44&lt;'Données projet'!$A$140,$CQ$205^A44,IF(A44='Données projet'!$A$140,'Données projet'!$B$140,CT43+CS44-DB43)))</f>
        <v>84.600000000000009</v>
      </c>
      <c r="CU44" s="17">
        <f>CT44*VLOOKUP('Données projet'!$B$13,Paramètres!$A$1:$I$89,3,0)*VLOOKUP('Données projet'!$B$13,Paramètres!$A$1:$I$89,5,0)</f>
        <v>71.267040000000009</v>
      </c>
      <c r="CV44" s="13">
        <f t="shared" si="41"/>
        <v>19.987779001267146</v>
      </c>
      <c r="CW44" s="20">
        <f t="shared" si="13"/>
        <v>158.93547642720696</v>
      </c>
      <c r="CX44" s="59">
        <f t="shared" si="14"/>
        <v>452.26880976054031</v>
      </c>
      <c r="CY44" s="59">
        <f ca="1">AVERAGE(OFFSET($CX$3,0,0,'Données projet'!$E$13+1,1))-AVERAGE(OFFSET($H$3,0,0,'Données projet'!$E$13+1,1))</f>
        <v>157.20393815370375</v>
      </c>
      <c r="CZ44" s="59">
        <f t="shared" si="42"/>
        <v>64.616965816756363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1.0992363932537146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1.0992363932537146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9.8000000000000007</v>
      </c>
      <c r="DO44" s="12">
        <f>IF('Données projet'!$A$166&gt;35,DO43+DN44-DW43,IF(A44&lt;'Données projet'!$A$166,$DL$205^A44,IF(A44='Données projet'!$A$166,'Données projet'!$B$166,DO43+DN44-DW43)))</f>
        <v>202.8</v>
      </c>
      <c r="DP44" s="17">
        <f>DO44*VLOOKUP('Données projet'!$B$14,Paramètres!$A$1:$I$89,3,0)*VLOOKUP('Données projet'!$B$14,Paramètres!$A$1:$I$89,5,0)</f>
        <v>164.51136</v>
      </c>
      <c r="DQ44" s="13">
        <f t="shared" si="43"/>
        <v>41.858412704646653</v>
      </c>
      <c r="DR44" s="20">
        <f t="shared" si="16"/>
        <v>359.4273541272596</v>
      </c>
      <c r="DS44" s="59">
        <f t="shared" si="17"/>
        <v>652.76068746059286</v>
      </c>
      <c r="DT44" s="59">
        <f ca="1">AVERAGE(OFFSET($DS$3,0,0,'Données projet'!$E$14+1,1))-AVERAGE(OFFSET($H$3,0,0,'Données projet'!$E$14+1,1))</f>
        <v>221.78186926953776</v>
      </c>
      <c r="DU44" s="59">
        <f t="shared" si="44"/>
        <v>276.69392352410654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14.110350766007855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14.110350766007855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5.6</v>
      </c>
      <c r="EJ44" s="12">
        <f>IF('Données projet'!$A$192&gt;35,EJ43+EI44-ER43,IF(A44&lt;'Données projet'!$A$192,$EG$205^A44,IF(A44='Données projet'!$A$192,'Données projet'!$B$192,EJ43+EI44-ER43)))</f>
        <v>84.600000000000009</v>
      </c>
      <c r="EK44" s="17">
        <f>EJ44*VLOOKUP('Données projet'!$B$15,Paramètres!$A$1:$I$89,3,0)*VLOOKUP('Données projet'!$B$15,Paramètres!$A$1:$I$89,5,0)</f>
        <v>91.06344</v>
      </c>
      <c r="EL44" s="13">
        <f t="shared" si="45"/>
        <v>24.821525508693981</v>
      </c>
      <c r="EM44" s="20">
        <f t="shared" si="19"/>
        <v>201.83298159430865</v>
      </c>
      <c r="EN44" s="59">
        <f t="shared" si="20"/>
        <v>495.16631492764196</v>
      </c>
      <c r="EO44" s="59">
        <f ca="1">AVERAGE(OFFSET($EN$3,0,0,'Données projet'!$E$15+1,1))-AVERAGE(OFFSET($H$3,0,0,'Données projet'!$E$15+1,1))</f>
        <v>219.76574638403434</v>
      </c>
      <c r="EP44" s="59">
        <f t="shared" si="46"/>
        <v>92.286636088269972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1.4045798358241908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1.4045798358241908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10.5</v>
      </c>
      <c r="FE44" s="12">
        <f>IF('Données projet'!$A$218&gt;35,FE43+FD44-FM43,IF(A44&lt;'Données projet'!$A$218,$FB$205^A44,IF(A44='Données projet'!$A$218,'Données projet'!$B$218,FE43+FD44-FM43)))</f>
        <v>160.5</v>
      </c>
      <c r="FF44" s="17">
        <f>FE44*VLOOKUP('Données projet'!$B$16,Paramètres!$A$1:$I$89,3,0)*VLOOKUP('Données projet'!$B$16,Paramètres!$A$1:$I$89,5,0)</f>
        <v>75.114000000000004</v>
      </c>
      <c r="FG44" s="13">
        <f t="shared" si="47"/>
        <v>20.938185501492693</v>
      </c>
      <c r="FH44" s="20">
        <f t="shared" si="22"/>
        <v>167.2908897484331</v>
      </c>
      <c r="FI44" s="59">
        <f t="shared" si="23"/>
        <v>460.62422308176644</v>
      </c>
      <c r="FJ44" s="59">
        <f ca="1">AVERAGE(OFFSET($FI$3,0,0,'Données projet'!$E$16+1,1))-AVERAGE(OFFSET($H$3,0,0,'Données projet'!$E$16+1,1))</f>
        <v>86.164294406232727</v>
      </c>
      <c r="FK44" s="59">
        <f t="shared" si="48"/>
        <v>138.91188401562334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8.8660671788011864</v>
      </c>
      <c r="FR44" s="21">
        <f>EXP(-LN(2)/25)*FR43+(1-EXP(-LN(2)/25))/(LN(2)/25)*Calculateur!FM44*Calculateur!FO44*VLOOKUP('Données projet'!$B$16,Paramètres!$A$1:$I$89,3,0)*0.475*44/12</f>
        <v>14.348191236273006</v>
      </c>
      <c r="FS44" s="21">
        <f>EXP(-LN(2)/2)*FS43+(1-EXP(-LN(2)/2))/(LN(2)/2)*FM44*FP44*VLOOKUP('Données projet'!$B$16,Paramètres!$A$1:$I$89,3,0)*0.475*44/12</f>
        <v>6.0944869294716959</v>
      </c>
      <c r="FT44" s="22">
        <f t="shared" si="24"/>
        <v>29.308745344545887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150.21793637331223</v>
      </c>
      <c r="T45" s="59">
        <f t="shared" si="34"/>
        <v>364.59164590134486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84.078747953276135</v>
      </c>
      <c r="AA45" s="21">
        <f>EXP(-LN(2)/25)*AA44+(1-EXP(-LN(2)/25))/(LN(2)/25)*Calculateur!V45*Calculateur!X45*VLOOKUP('Données projet'!$B$9,Paramètres!$A$1:$I$89,3,0)*0.475*44/12</f>
        <v>16.148616168475346</v>
      </c>
      <c r="AB45" s="21">
        <f>EXP(-LN(2)/2)*AB44+(1-EXP(-LN(2)/2))/(LN(2)/2)*V45*Y45*VLOOKUP('Données projet'!$B$9,Paramètres!$A$1:$I$89,3,0)*0.475*44/12</f>
        <v>0.30242783415941954</v>
      </c>
      <c r="AC45" s="22">
        <f t="shared" si="3"/>
        <v>100.52979195591089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5.6</v>
      </c>
      <c r="AI45" s="13">
        <f>IF('Données projet'!$A$62&gt;35,AI44+AH45-AQ44,IF(A45&lt;'Données projet'!$A$62,$AF$205^A45,IF(A45='Données projet'!$A$62,'Données projet'!$B$62,AI44+AH45-AQ44)))</f>
        <v>90.2</v>
      </c>
      <c r="AJ45" s="13">
        <f>AI45*VLOOKUP('Données projet'!$B$10,Paramètres!$A$1:$I$89,3,0)*VLOOKUP('Données projet'!$B$10,Paramètres!$A$1:$I$89,5,0)</f>
        <v>98.498400000000004</v>
      </c>
      <c r="AK45" s="13">
        <f t="shared" si="35"/>
        <v>26.603947657691648</v>
      </c>
      <c r="AL45" s="20">
        <f t="shared" si="4"/>
        <v>217.88658883714629</v>
      </c>
      <c r="AM45" s="59">
        <f t="shared" si="5"/>
        <v>511.21992217047961</v>
      </c>
      <c r="AN45" s="59">
        <f ca="1">AVERAGE(OFFSET($AM$3,0,0,'Données projet'!$E$10+1,1))-AVERAGE(OFFSET($H$3,0,0,'Données projet'!$E$10+1,1))</f>
        <v>223.92539057016376</v>
      </c>
      <c r="AO45" s="59">
        <f t="shared" si="36"/>
        <v>94.125825809616856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1.3969939382129708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1.3969939382129708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5.6</v>
      </c>
      <c r="BD45" s="12">
        <f>IF('Données projet'!$A$88&gt;35,BD44+BC45-BL44,IF(A45&lt;'Données projet'!$A$88,$BA$205^A45,IF(A45='Données projet'!$A$88,'Données projet'!$B$88,BD44+BC45-BL44)))</f>
        <v>90.2</v>
      </c>
      <c r="BE45" s="13">
        <f>BD45*VLOOKUP('Données projet'!$B$11,Paramètres!$A$1:$I$89,3,0)*VLOOKUP('Données projet'!$B$11,Paramètres!$A$1:$I$89,5,0)</f>
        <v>102.71976000000001</v>
      </c>
      <c r="BF45" s="13">
        <f t="shared" si="37"/>
        <v>27.608927464604609</v>
      </c>
      <c r="BG45" s="20">
        <f t="shared" si="7"/>
        <v>226.9891306675197</v>
      </c>
      <c r="BH45" s="59">
        <f t="shared" si="8"/>
        <v>520.32246400085296</v>
      </c>
      <c r="BI45" s="59">
        <f ca="1">AVERAGE(OFFSET($BH$3,0,0,'Données projet'!$E$11+1,1))-AVERAGE(OFFSET($H$3,0,0,'Données projet'!$E$11+1,1))</f>
        <v>236.39682613502913</v>
      </c>
      <c r="BJ45" s="59">
        <f t="shared" si="38"/>
        <v>99.639724892155641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1.4568651069935266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1.4568651069935266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5.6</v>
      </c>
      <c r="CT45" s="12">
        <f>IF('Données projet'!$A$140&gt;35,CT44+CS45-DB44,IF(A45&lt;'Données projet'!$A$140,$CQ$205^A45,IF(A45='Données projet'!$A$140,'Données projet'!$B$140,CT44+CS45-DB44)))</f>
        <v>90.2</v>
      </c>
      <c r="CU45" s="17">
        <f>CT45*VLOOKUP('Données projet'!$B$13,Paramètres!$A$1:$I$89,3,0)*VLOOKUP('Données projet'!$B$13,Paramètres!$A$1:$I$89,5,0)</f>
        <v>75.984480000000005</v>
      </c>
      <c r="CV45" s="13">
        <f t="shared" si="41"/>
        <v>21.152445401512562</v>
      </c>
      <c r="CW45" s="20">
        <f t="shared" si="13"/>
        <v>169.18014507430107</v>
      </c>
      <c r="CX45" s="59">
        <f t="shared" si="14"/>
        <v>462.51347840763435</v>
      </c>
      <c r="CY45" s="59">
        <f ca="1">AVERAGE(OFFSET($CX$3,0,0,'Données projet'!$E$13+1,1))-AVERAGE(OFFSET($H$3,0,0,'Données projet'!$E$13+1,1))</f>
        <v>157.20393815370375</v>
      </c>
      <c r="CZ45" s="59">
        <f t="shared" si="42"/>
        <v>64.616965816756363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1.0776810380500059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1.0776810380500059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9.8000000000000007</v>
      </c>
      <c r="DO45" s="12">
        <f>IF('Données projet'!$A$166&gt;35,DO44+DN45-DW44,IF(A45&lt;'Données projet'!$A$166,$DL$205^A45,IF(A45='Données projet'!$A$166,'Données projet'!$B$166,DO44+DN45-DW44)))</f>
        <v>212.60000000000002</v>
      </c>
      <c r="DP45" s="17">
        <f>DO45*VLOOKUP('Données projet'!$B$14,Paramètres!$A$1:$I$89,3,0)*VLOOKUP('Données projet'!$B$14,Paramètres!$A$1:$I$89,5,0)</f>
        <v>172.46112000000005</v>
      </c>
      <c r="DQ45" s="13">
        <f t="shared" si="43"/>
        <v>43.640770644577643</v>
      </c>
      <c r="DR45" s="20">
        <f t="shared" si="16"/>
        <v>376.37745953930607</v>
      </c>
      <c r="DS45" s="59">
        <f t="shared" si="17"/>
        <v>669.71079287263933</v>
      </c>
      <c r="DT45" s="59">
        <f ca="1">AVERAGE(OFFSET($DS$3,0,0,'Données projet'!$E$14+1,1))-AVERAGE(OFFSET($H$3,0,0,'Données projet'!$E$14+1,1))</f>
        <v>221.78186926953776</v>
      </c>
      <c r="DU45" s="59">
        <f t="shared" si="44"/>
        <v>276.69392352410654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13.83365539395059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13.83365539395059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5.6</v>
      </c>
      <c r="EJ45" s="12">
        <f>IF('Données projet'!$A$192&gt;35,EJ44+EI45-ER44,IF(A45&lt;'Données projet'!$A$192,$EG$205^A45,IF(A45='Données projet'!$A$192,'Données projet'!$B$192,EJ44+EI45-ER44)))</f>
        <v>90.2</v>
      </c>
      <c r="EK45" s="17">
        <f>EJ45*VLOOKUP('Données projet'!$B$15,Paramètres!$A$1:$I$89,3,0)*VLOOKUP('Données projet'!$B$15,Paramètres!$A$1:$I$89,5,0)</f>
        <v>97.091279999999998</v>
      </c>
      <c r="EL45" s="13">
        <f t="shared" si="45"/>
        <v>26.267849122787243</v>
      </c>
      <c r="EM45" s="20">
        <f t="shared" si="19"/>
        <v>214.85048322218776</v>
      </c>
      <c r="EN45" s="59">
        <f t="shared" si="20"/>
        <v>508.18381655552105</v>
      </c>
      <c r="EO45" s="59">
        <f ca="1">AVERAGE(OFFSET($EN$3,0,0,'Données projet'!$E$15+1,1))-AVERAGE(OFFSET($H$3,0,0,'Données projet'!$E$15+1,1))</f>
        <v>219.76574638403434</v>
      </c>
      <c r="EP45" s="59">
        <f t="shared" si="46"/>
        <v>92.286636088269972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1.3770368819527852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1.3770368819527852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10.5</v>
      </c>
      <c r="FE45" s="12">
        <f>IF('Données projet'!$A$218&gt;35,FE44+FD45-FM44,IF(A45&lt;'Données projet'!$A$218,$FB$205^A45,IF(A45='Données projet'!$A$218,'Données projet'!$B$218,FE44+FD45-FM44)))</f>
        <v>171</v>
      </c>
      <c r="FF45" s="17">
        <f>FE45*VLOOKUP('Données projet'!$B$16,Paramètres!$A$1:$I$89,3,0)*VLOOKUP('Données projet'!$B$16,Paramètres!$A$1:$I$89,5,0)</f>
        <v>80.027999999999992</v>
      </c>
      <c r="FG45" s="13">
        <f t="shared" si="47"/>
        <v>22.144030134787155</v>
      </c>
      <c r="FH45" s="20">
        <f t="shared" si="22"/>
        <v>177.94961915142096</v>
      </c>
      <c r="FI45" s="59">
        <f t="shared" si="23"/>
        <v>471.28295248475428</v>
      </c>
      <c r="FJ45" s="59">
        <f ca="1">AVERAGE(OFFSET($FI$3,0,0,'Données projet'!$E$16+1,1))-AVERAGE(OFFSET($H$3,0,0,'Données projet'!$E$16+1,1))</f>
        <v>86.164294406232727</v>
      </c>
      <c r="FK45" s="59">
        <f t="shared" si="48"/>
        <v>138.91188401562334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8.6922090091919024</v>
      </c>
      <c r="FR45" s="21">
        <f>EXP(-LN(2)/25)*FR44+(1-EXP(-LN(2)/25))/(LN(2)/25)*Calculateur!FM45*Calculateur!FO45*VLOOKUP('Données projet'!$B$16,Paramètres!$A$1:$I$89,3,0)*0.475*44/12</f>
        <v>13.955839192378537</v>
      </c>
      <c r="FS45" s="21">
        <f>EXP(-LN(2)/2)*FS44+(1-EXP(-LN(2)/2))/(LN(2)/2)*FM45*FP45*VLOOKUP('Données projet'!$B$16,Paramètres!$A$1:$I$89,3,0)*0.475*44/12</f>
        <v>4.3094530356822167</v>
      </c>
      <c r="FT45" s="22">
        <f t="shared" si="24"/>
        <v>26.957501237252657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150.21793637331223</v>
      </c>
      <c r="T46" s="59">
        <f t="shared" si="34"/>
        <v>364.59164590134486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82.430014988884864</v>
      </c>
      <c r="AA46" s="21">
        <f>EXP(-LN(2)/25)*AA45+(1-EXP(-LN(2)/25))/(LN(2)/25)*Calculateur!V46*Calculateur!X46*VLOOKUP('Données projet'!$B$9,Paramètres!$A$1:$I$89,3,0)*0.475*44/12</f>
        <v>15.707031410129572</v>
      </c>
      <c r="AB46" s="21">
        <f>EXP(-LN(2)/2)*AB45+(1-EXP(-LN(2)/2))/(LN(2)/2)*V46*Y46*VLOOKUP('Données projet'!$B$9,Paramètres!$A$1:$I$89,3,0)*0.475*44/12</f>
        <v>0.21384877235368616</v>
      </c>
      <c r="AC46" s="22">
        <f t="shared" si="3"/>
        <v>98.350895171368123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5.6</v>
      </c>
      <c r="AI46" s="13">
        <f>IF('Données projet'!$A$62&gt;35,AI45+AH46-AQ45,IF(A46&lt;'Données projet'!$A$62,$AF$205^A46,IF(A46='Données projet'!$A$62,'Données projet'!$B$62,AI45+AH46-AQ45)))</f>
        <v>95.8</v>
      </c>
      <c r="AJ46" s="13">
        <f>AI46*VLOOKUP('Données projet'!$B$10,Paramètres!$A$1:$I$89,3,0)*VLOOKUP('Données projet'!$B$10,Paramètres!$A$1:$I$89,5,0)</f>
        <v>104.61359999999999</v>
      </c>
      <c r="AK46" s="13">
        <f t="shared" si="35"/>
        <v>28.058222314271017</v>
      </c>
      <c r="AL46" s="20">
        <f t="shared" si="4"/>
        <v>231.07009053068865</v>
      </c>
      <c r="AM46" s="59">
        <f t="shared" si="5"/>
        <v>524.40342386402199</v>
      </c>
      <c r="AN46" s="59">
        <f ca="1">AVERAGE(OFFSET($AM$3,0,0,'Données projet'!$E$10+1,1))-AVERAGE(OFFSET($H$3,0,0,'Données projet'!$E$10+1,1))</f>
        <v>223.92539057016376</v>
      </c>
      <c r="AO46" s="59">
        <f t="shared" si="36"/>
        <v>94.125825809616856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1.3695997391667807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1.3695997391667807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5.6</v>
      </c>
      <c r="BD46" s="12">
        <f>IF('Données projet'!$A$88&gt;35,BD45+BC46-BL45,IF(A46&lt;'Données projet'!$A$88,$BA$205^A46,IF(A46='Données projet'!$A$88,'Données projet'!$B$88,BD45+BC46-BL45)))</f>
        <v>95.8</v>
      </c>
      <c r="BE46" s="13">
        <f>BD46*VLOOKUP('Données projet'!$B$11,Paramètres!$A$1:$I$89,3,0)*VLOOKUP('Données projet'!$B$11,Paramètres!$A$1:$I$89,5,0)</f>
        <v>109.09704000000001</v>
      </c>
      <c r="BF46" s="13">
        <f t="shared" si="37"/>
        <v>29.118138203692205</v>
      </c>
      <c r="BG46" s="20">
        <f t="shared" si="7"/>
        <v>240.72476870476387</v>
      </c>
      <c r="BH46" s="59">
        <f t="shared" si="8"/>
        <v>534.05810203809722</v>
      </c>
      <c r="BI46" s="59">
        <f ca="1">AVERAGE(OFFSET($BH$3,0,0,'Données projet'!$E$11+1,1))-AVERAGE(OFFSET($H$3,0,0,'Données projet'!$E$11+1,1))</f>
        <v>236.39682613502913</v>
      </c>
      <c r="BJ46" s="59">
        <f t="shared" si="38"/>
        <v>99.639724892155641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1.4282968708453567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1.4282968708453567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5.6</v>
      </c>
      <c r="CT46" s="12">
        <f>IF('Données projet'!$A$140&gt;35,CT45+CS46-DB45,IF(A46&lt;'Données projet'!$A$140,$CQ$205^A46,IF(A46='Données projet'!$A$140,'Données projet'!$B$140,CT45+CS46-DB45)))</f>
        <v>95.8</v>
      </c>
      <c r="CU46" s="17">
        <f>CT46*VLOOKUP('Données projet'!$B$13,Paramètres!$A$1:$I$89,3,0)*VLOOKUP('Données projet'!$B$13,Paramètres!$A$1:$I$89,5,0)</f>
        <v>80.701920000000001</v>
      </c>
      <c r="CV46" s="13">
        <f t="shared" si="41"/>
        <v>22.308719863780368</v>
      </c>
      <c r="CW46" s="20">
        <f t="shared" si="13"/>
        <v>179.41019776275081</v>
      </c>
      <c r="CX46" s="59">
        <f t="shared" si="14"/>
        <v>472.7435310960841</v>
      </c>
      <c r="CY46" s="59">
        <f ca="1">AVERAGE(OFFSET($CX$3,0,0,'Données projet'!$E$13+1,1))-AVERAGE(OFFSET($H$3,0,0,'Données projet'!$E$13+1,1))</f>
        <v>157.20393815370375</v>
      </c>
      <c r="CZ46" s="59">
        <f t="shared" si="42"/>
        <v>64.616965816756363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1.0565483702143734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1.0565483702143734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9.8000000000000007</v>
      </c>
      <c r="DO46" s="12">
        <f>IF('Données projet'!$A$166&gt;35,DO45+DN46-DW45,IF(A46&lt;'Données projet'!$A$166,$DL$205^A46,IF(A46='Données projet'!$A$166,'Données projet'!$B$166,DO45+DN46-DW45)))</f>
        <v>222.40000000000003</v>
      </c>
      <c r="DP46" s="17">
        <f>DO46*VLOOKUP('Données projet'!$B$14,Paramètres!$A$1:$I$89,3,0)*VLOOKUP('Données projet'!$B$14,Paramètres!$A$1:$I$89,5,0)</f>
        <v>180.41088000000005</v>
      </c>
      <c r="DQ46" s="13">
        <f t="shared" si="43"/>
        <v>45.413587262495575</v>
      </c>
      <c r="DR46" s="20">
        <f t="shared" si="16"/>
        <v>393.31094714884654</v>
      </c>
      <c r="DS46" s="59">
        <f t="shared" si="17"/>
        <v>686.64428048217985</v>
      </c>
      <c r="DT46" s="59">
        <f ca="1">AVERAGE(OFFSET($DS$3,0,0,'Données projet'!$E$14+1,1))-AVERAGE(OFFSET($H$3,0,0,'Données projet'!$E$14+1,1))</f>
        <v>221.78186926953776</v>
      </c>
      <c r="DU46" s="59">
        <f t="shared" si="44"/>
        <v>276.69392352410654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13.562385849371855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13.562385849371855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5.6</v>
      </c>
      <c r="EJ46" s="12">
        <f>IF('Données projet'!$A$192&gt;35,EJ45+EI46-ER45,IF(A46&lt;'Données projet'!$A$192,$EG$205^A46,IF(A46='Données projet'!$A$192,'Données projet'!$B$192,EJ45+EI46-ER45)))</f>
        <v>95.8</v>
      </c>
      <c r="EK46" s="17">
        <f>EJ46*VLOOKUP('Données projet'!$B$15,Paramètres!$A$1:$I$89,3,0)*VLOOKUP('Données projet'!$B$15,Paramètres!$A$1:$I$89,5,0)</f>
        <v>103.11911999999998</v>
      </c>
      <c r="EL46" s="13">
        <f t="shared" si="45"/>
        <v>27.703751333753903</v>
      </c>
      <c r="EM46" s="20">
        <f t="shared" si="19"/>
        <v>227.84983423962134</v>
      </c>
      <c r="EN46" s="59">
        <f t="shared" si="20"/>
        <v>521.18316757295463</v>
      </c>
      <c r="EO46" s="59">
        <f ca="1">AVERAGE(OFFSET($EN$3,0,0,'Données projet'!$E$15+1,1))-AVERAGE(OFFSET($H$3,0,0,'Données projet'!$E$15+1,1))</f>
        <v>219.76574638403434</v>
      </c>
      <c r="EP46" s="59">
        <f t="shared" si="46"/>
        <v>92.286636088269972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1.350034028607255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1.350034028607255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10.5</v>
      </c>
      <c r="FE46" s="12">
        <f>IF('Données projet'!$A$218&gt;35,FE45+FD46-FM45,IF(A46&lt;'Données projet'!$A$218,$FB$205^A46,IF(A46='Données projet'!$A$218,'Données projet'!$B$218,FE45+FD46-FM45)))</f>
        <v>181.5</v>
      </c>
      <c r="FF46" s="17">
        <f>FE46*VLOOKUP('Données projet'!$B$16,Paramètres!$A$1:$I$89,3,0)*VLOOKUP('Données projet'!$B$16,Paramètres!$A$1:$I$89,5,0)</f>
        <v>84.942000000000007</v>
      </c>
      <c r="FG46" s="13">
        <f t="shared" si="47"/>
        <v>23.34128117988622</v>
      </c>
      <c r="FH46" s="20">
        <f t="shared" si="22"/>
        <v>188.59338138830185</v>
      </c>
      <c r="FI46" s="59">
        <f t="shared" si="23"/>
        <v>481.92671472163516</v>
      </c>
      <c r="FJ46" s="59">
        <f ca="1">AVERAGE(OFFSET($FI$3,0,0,'Données projet'!$E$16+1,1))-AVERAGE(OFFSET($H$3,0,0,'Données projet'!$E$16+1,1))</f>
        <v>86.164294406232727</v>
      </c>
      <c r="FK46" s="59">
        <f t="shared" si="48"/>
        <v>138.91188401562334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8.5217600922456427</v>
      </c>
      <c r="FR46" s="21">
        <f>EXP(-LN(2)/25)*FR45+(1-EXP(-LN(2)/25))/(LN(2)/25)*Calculateur!FM46*Calculateur!FO46*VLOOKUP('Données projet'!$B$16,Paramètres!$A$1:$I$89,3,0)*0.475*44/12</f>
        <v>13.57421603575726</v>
      </c>
      <c r="FS46" s="21">
        <f>EXP(-LN(2)/2)*FS45+(1-EXP(-LN(2)/2))/(LN(2)/2)*FM46*FP46*VLOOKUP('Données projet'!$B$16,Paramètres!$A$1:$I$89,3,0)*0.475*44/12</f>
        <v>3.0472434647358484</v>
      </c>
      <c r="FT46" s="22">
        <f t="shared" si="24"/>
        <v>25.143219592738753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150.21793637331223</v>
      </c>
      <c r="T47" s="59">
        <f t="shared" si="34"/>
        <v>364.59164590134486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80.813612672297495</v>
      </c>
      <c r="AA47" s="21">
        <f>EXP(-LN(2)/25)*AA46+(1-EXP(-LN(2)/25))/(LN(2)/25)*Calculateur!V47*Calculateur!X47*VLOOKUP('Données projet'!$B$9,Paramètres!$A$1:$I$89,3,0)*0.475*44/12</f>
        <v>15.277521810222696</v>
      </c>
      <c r="AB47" s="21">
        <f>EXP(-LN(2)/2)*AB46+(1-EXP(-LN(2)/2))/(LN(2)/2)*V47*Y47*VLOOKUP('Données projet'!$B$9,Paramètres!$A$1:$I$89,3,0)*0.475*44/12</f>
        <v>0.15121391707970977</v>
      </c>
      <c r="AC47" s="22">
        <f t="shared" si="3"/>
        <v>96.242348399599905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5.6</v>
      </c>
      <c r="AI47" s="13">
        <f>IF('Données projet'!$A$62&gt;35,AI46+AH47-AQ46,IF(A47&lt;'Données projet'!$A$62,$AF$205^A47,IF(A47='Données projet'!$A$62,'Données projet'!$B$62,AI46+AH47-AQ46)))</f>
        <v>101.39999999999999</v>
      </c>
      <c r="AJ47" s="13">
        <f>AI47*VLOOKUP('Données projet'!$B$10,Paramètres!$A$1:$I$89,3,0)*VLOOKUP('Données projet'!$B$10,Paramètres!$A$1:$I$89,5,0)</f>
        <v>110.72879999999999</v>
      </c>
      <c r="AK47" s="13">
        <f t="shared" si="35"/>
        <v>29.502629487670664</v>
      </c>
      <c r="AL47" s="20">
        <f t="shared" si="4"/>
        <v>244.23640635769303</v>
      </c>
      <c r="AM47" s="59">
        <f t="shared" si="5"/>
        <v>537.56973969102637</v>
      </c>
      <c r="AN47" s="59">
        <f ca="1">AVERAGE(OFFSET($AM$3,0,0,'Données projet'!$E$10+1,1))-AVERAGE(OFFSET($H$3,0,0,'Données projet'!$E$10+1,1))</f>
        <v>223.92539057016376</v>
      </c>
      <c r="AO47" s="59">
        <f t="shared" si="36"/>
        <v>94.125825809616856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1.3427427236550746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1.3427427236550746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5.6</v>
      </c>
      <c r="BD47" s="12">
        <f>IF('Données projet'!$A$88&gt;35,BD46+BC47-BL46,IF(A47&lt;'Données projet'!$A$88,$BA$205^A47,IF(A47='Données projet'!$A$88,'Données projet'!$B$88,BD46+BC47-BL46)))</f>
        <v>101.39999999999999</v>
      </c>
      <c r="BE47" s="13">
        <f>BD47*VLOOKUP('Données projet'!$B$11,Paramètres!$A$1:$I$89,3,0)*VLOOKUP('Données projet'!$B$11,Paramètres!$A$1:$I$89,5,0)</f>
        <v>115.47431999999999</v>
      </c>
      <c r="BF47" s="13">
        <f t="shared" si="37"/>
        <v>30.617108709605674</v>
      </c>
      <c r="BG47" s="20">
        <f t="shared" si="7"/>
        <v>254.44257166922989</v>
      </c>
      <c r="BH47" s="59">
        <f t="shared" si="8"/>
        <v>547.77590500256315</v>
      </c>
      <c r="BI47" s="59">
        <f ca="1">AVERAGE(OFFSET($BH$3,0,0,'Données projet'!$E$11+1,1))-AVERAGE(OFFSET($H$3,0,0,'Données projet'!$E$11+1,1))</f>
        <v>236.39682613502913</v>
      </c>
      <c r="BJ47" s="59">
        <f t="shared" si="38"/>
        <v>99.639724892155641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1.400288840383149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1.400288840383149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5.6</v>
      </c>
      <c r="CT47" s="12">
        <f>IF('Données projet'!$A$140&gt;35,CT46+CS47-DB46,IF(A47&lt;'Données projet'!$A$140,$CQ$205^A47,IF(A47='Données projet'!$A$140,'Données projet'!$B$140,CT46+CS47-DB46)))</f>
        <v>101.39999999999999</v>
      </c>
      <c r="CU47" s="17">
        <f>CT47*VLOOKUP('Données projet'!$B$13,Paramètres!$A$1:$I$89,3,0)*VLOOKUP('Données projet'!$B$13,Paramètres!$A$1:$I$89,5,0)</f>
        <v>85.419359999999998</v>
      </c>
      <c r="CV47" s="13">
        <f t="shared" si="41"/>
        <v>23.457148821242125</v>
      </c>
      <c r="CW47" s="20">
        <f t="shared" si="13"/>
        <v>189.62658619699667</v>
      </c>
      <c r="CX47" s="59">
        <f t="shared" si="14"/>
        <v>482.95991953033001</v>
      </c>
      <c r="CY47" s="59">
        <f ca="1">AVERAGE(OFFSET($CX$3,0,0,'Données projet'!$E$13+1,1))-AVERAGE(OFFSET($H$3,0,0,'Données projet'!$E$13+1,1))</f>
        <v>157.20393815370375</v>
      </c>
      <c r="CZ47" s="59">
        <f t="shared" si="42"/>
        <v>64.616965816756363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1.0358301011053432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1.0358301011053432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9.8000000000000007</v>
      </c>
      <c r="DO47" s="12">
        <f>IF('Données projet'!$A$166&gt;35,DO46+DN47-DW46,IF(A47&lt;'Données projet'!$A$166,$DL$205^A47,IF(A47='Données projet'!$A$166,'Données projet'!$B$166,DO46+DN47-DW46)))</f>
        <v>232.20000000000005</v>
      </c>
      <c r="DP47" s="17">
        <f>DO47*VLOOKUP('Données projet'!$B$14,Paramètres!$A$1:$I$89,3,0)*VLOOKUP('Données projet'!$B$14,Paramètres!$A$1:$I$89,5,0)</f>
        <v>188.36064000000005</v>
      </c>
      <c r="DQ47" s="13">
        <f t="shared" si="43"/>
        <v>47.177331040995796</v>
      </c>
      <c r="DR47" s="20">
        <f t="shared" si="16"/>
        <v>410.22863289640105</v>
      </c>
      <c r="DS47" s="59">
        <f t="shared" si="17"/>
        <v>703.56196622973437</v>
      </c>
      <c r="DT47" s="59">
        <f ca="1">AVERAGE(OFFSET($DS$3,0,0,'Données projet'!$E$14+1,1))-AVERAGE(OFFSET($H$3,0,0,'Données projet'!$E$14+1,1))</f>
        <v>221.78186926953776</v>
      </c>
      <c r="DU47" s="59">
        <f t="shared" si="44"/>
        <v>276.69392352410654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13.296435735104225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13.296435735104225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5.6</v>
      </c>
      <c r="EJ47" s="12">
        <f>IF('Données projet'!$A$192&gt;35,EJ46+EI47-ER46,IF(A47&lt;'Données projet'!$A$192,$EG$205^A47,IF(A47='Données projet'!$A$192,'Données projet'!$B$192,EJ46+EI47-ER46)))</f>
        <v>101.39999999999999</v>
      </c>
      <c r="EK47" s="17">
        <f>EJ47*VLOOKUP('Données projet'!$B$15,Paramètres!$A$1:$I$89,3,0)*VLOOKUP('Données projet'!$B$15,Paramètres!$A$1:$I$89,5,0)</f>
        <v>109.14695999999999</v>
      </c>
      <c r="EL47" s="13">
        <f t="shared" si="45"/>
        <v>29.129910721485377</v>
      </c>
      <c r="EM47" s="20">
        <f t="shared" si="19"/>
        <v>240.83221650658706</v>
      </c>
      <c r="EN47" s="59">
        <f t="shared" si="20"/>
        <v>534.16554983992035</v>
      </c>
      <c r="EO47" s="59">
        <f ca="1">AVERAGE(OFFSET($EN$3,0,0,'Données projet'!$E$15+1,1))-AVERAGE(OFFSET($H$3,0,0,'Données projet'!$E$15+1,1))</f>
        <v>219.76574638403434</v>
      </c>
      <c r="EP47" s="59">
        <f t="shared" si="46"/>
        <v>92.286636088269972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1.3235606847457162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1.3235606847457162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10.5</v>
      </c>
      <c r="FE47" s="12">
        <f>IF('Données projet'!$A$218&gt;35,FE46+FD47-FM46,IF(A47&lt;'Données projet'!$A$218,$FB$205^A47,IF(A47='Données projet'!$A$218,'Données projet'!$B$218,FE46+FD47-FM46)))</f>
        <v>192</v>
      </c>
      <c r="FF47" s="17">
        <f>FE47*VLOOKUP('Données projet'!$B$16,Paramètres!$A$1:$I$89,3,0)*VLOOKUP('Données projet'!$B$16,Paramètres!$A$1:$I$89,5,0)</f>
        <v>89.856000000000009</v>
      </c>
      <c r="FG47" s="13">
        <f t="shared" si="47"/>
        <v>24.5304924254994</v>
      </c>
      <c r="FH47" s="20">
        <f t="shared" si="22"/>
        <v>199.22314097441145</v>
      </c>
      <c r="FI47" s="59">
        <f t="shared" si="23"/>
        <v>492.55647430774479</v>
      </c>
      <c r="FJ47" s="59">
        <f ca="1">AVERAGE(OFFSET($FI$3,0,0,'Données projet'!$E$16+1,1))-AVERAGE(OFFSET($H$3,0,0,'Données projet'!$E$16+1,1))</f>
        <v>86.164294406232727</v>
      </c>
      <c r="FK47" s="59">
        <f t="shared" si="48"/>
        <v>138.91188401562334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8.3546535745971262</v>
      </c>
      <c r="FR47" s="21">
        <f>EXP(-LN(2)/25)*FR46+(1-EXP(-LN(2)/25))/(LN(2)/25)*Calculateur!FM47*Calculateur!FO47*VLOOKUP('Données projet'!$B$16,Paramètres!$A$1:$I$89,3,0)*0.475*44/12</f>
        <v>13.203028384422481</v>
      </c>
      <c r="FS47" s="21">
        <f>EXP(-LN(2)/2)*FS46+(1-EXP(-LN(2)/2))/(LN(2)/2)*FM47*FP47*VLOOKUP('Données projet'!$B$16,Paramètres!$A$1:$I$89,3,0)*0.475*44/12</f>
        <v>2.1547265178411088</v>
      </c>
      <c r="FT47" s="22">
        <f t="shared" si="24"/>
        <v>23.712408476860716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150.21793637331223</v>
      </c>
      <c r="T48" s="59">
        <f t="shared" si="34"/>
        <v>364.59164590134486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79.228907019230348</v>
      </c>
      <c r="AA48" s="21">
        <f>EXP(-LN(2)/25)*AA47+(1-EXP(-LN(2)/25))/(LN(2)/25)*Calculateur!V48*Calculateur!X48*VLOOKUP('Données projet'!$B$9,Paramètres!$A$1:$I$89,3,0)*0.475*44/12</f>
        <v>14.859757172912202</v>
      </c>
      <c r="AB48" s="21">
        <f>EXP(-LN(2)/2)*AB47+(1-EXP(-LN(2)/2))/(LN(2)/2)*V48*Y48*VLOOKUP('Données projet'!$B$9,Paramètres!$A$1:$I$89,3,0)*0.475*44/12</f>
        <v>0.10692438617684308</v>
      </c>
      <c r="AC48" s="22">
        <f t="shared" si="3"/>
        <v>94.195588578319388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107</v>
      </c>
      <c r="AG48" s="12">
        <f>VLOOKUP(A48,'Données projet'!$A$61:$I$81,9,0)</f>
        <v>5.6</v>
      </c>
      <c r="AH48" s="12">
        <f t="array" ref="AH48">INDEX(AG:AG,MIN(IF(ISNUMBER(AG48:AG244),ROW(AG48:AG244),"")))</f>
        <v>5.6</v>
      </c>
      <c r="AI48" s="13">
        <f>IF('Données projet'!$A$62&gt;35,AI47+AH48-AQ47,IF(A48&lt;'Données projet'!$A$62,$AF$205^A48,IF(A48='Données projet'!$A$62,'Données projet'!$B$62,AI47+AH48-AQ47)))</f>
        <v>106.99999999999999</v>
      </c>
      <c r="AJ48" s="13">
        <f>AI48*VLOOKUP('Données projet'!$B$10,Paramètres!$A$1:$I$89,3,0)*VLOOKUP('Données projet'!$B$10,Paramètres!$A$1:$I$89,5,0)</f>
        <v>116.84399999999999</v>
      </c>
      <c r="AK48" s="13">
        <f t="shared" si="35"/>
        <v>30.93777624229395</v>
      </c>
      <c r="AL48" s="20">
        <f t="shared" si="4"/>
        <v>257.3865936219953</v>
      </c>
      <c r="AM48" s="59">
        <f t="shared" si="5"/>
        <v>550.71992695532867</v>
      </c>
      <c r="AN48" s="59">
        <f ca="1">AVERAGE(OFFSET($AM$3,0,0,'Données projet'!$E$10+1,1))-AVERAGE(OFFSET($H$3,0,0,'Données projet'!$E$10+1,1))</f>
        <v>223.92539057016376</v>
      </c>
      <c r="AO48" s="59">
        <f t="shared" si="36"/>
        <v>94.125825809616856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14</v>
      </c>
      <c r="AR48" s="16">
        <f>IF(ISNA(VLOOKUP(A48,'Données projet'!$A$61:$I$81,5,0)),0%,VLOOKUP(A48,'Données projet'!$A$61:$I$81,5,0)*VLOOKUP('Données projet'!$B$10,Paramètres!$A$1:$I$89,7,0))</f>
        <v>8.6000000000000007E-2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2.7698494377941696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2.7698494377941696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107</v>
      </c>
      <c r="BB48" s="12">
        <f>VLOOKUP(A48,'Données projet'!$A$87:$I$107,9,0)</f>
        <v>5.6</v>
      </c>
      <c r="BC48" s="12">
        <f t="array" ref="BC48">INDEX(BB:BB,MIN(IF(ISNUMBER(BB48:BB244),ROW(BB48:BB244),"")))</f>
        <v>5.6</v>
      </c>
      <c r="BD48" s="12">
        <f>IF('Données projet'!$A$88&gt;35,BD47+BC48-BL47,IF(A48&lt;'Données projet'!$A$88,$BA$205^A48,IF(A48='Données projet'!$A$88,'Données projet'!$B$88,BD47+BC48-BL47)))</f>
        <v>106.99999999999999</v>
      </c>
      <c r="BE48" s="13">
        <f>BD48*VLOOKUP('Données projet'!$B$11,Paramètres!$A$1:$I$89,3,0)*VLOOKUP('Données projet'!$B$11,Paramètres!$A$1:$I$89,5,0)</f>
        <v>121.85159999999998</v>
      </c>
      <c r="BF48" s="13">
        <f t="shared" si="37"/>
        <v>32.106468978964038</v>
      </c>
      <c r="BG48" s="20">
        <f t="shared" si="7"/>
        <v>268.14363680502896</v>
      </c>
      <c r="BH48" s="59">
        <f t="shared" si="8"/>
        <v>561.47697013836228</v>
      </c>
      <c r="BI48" s="59">
        <f ca="1">AVERAGE(OFFSET($BH$3,0,0,'Données projet'!$E$11+1,1))-AVERAGE(OFFSET($H$3,0,0,'Données projet'!$E$11+1,1))</f>
        <v>236.39682613502913</v>
      </c>
      <c r="BJ48" s="59">
        <f t="shared" si="38"/>
        <v>99.639724892155641</v>
      </c>
      <c r="BK48" s="15">
        <f>IF(ISNA(VLOOKUP(A48,'Données projet'!$A$87:$I$107,3,0)),0,VLOOKUP(A48,'Données projet'!$A$87:$I$107,3,0))</f>
        <v>5</v>
      </c>
      <c r="BL48" s="15">
        <f>IF(ISNA(VLOOKUP(A48,'Données projet'!$A$87:$I$107,4,0)),0,VLOOKUP(A48,'Données projet'!$A$87:$I$107,4,0))</f>
        <v>14</v>
      </c>
      <c r="BM48" s="16">
        <f>IF(ISNA(VLOOKUP(A48,'Données projet'!$A$87:$I$107,5,0)),0%,VLOOKUP(A48,'Données projet'!$A$87:$I$107,5,0)*VLOOKUP('Données projet'!$B$11,Paramètres!$A$1:$I$89,7,0))</f>
        <v>8.6000000000000007E-2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2.8885572708424907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2.8885572708424907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107</v>
      </c>
      <c r="CR48" s="12">
        <f>VLOOKUP(A48,'Données projet'!$A$139:$I$159,9,0)</f>
        <v>5.6</v>
      </c>
      <c r="CS48" s="12">
        <f t="array" ref="CS48">INDEX(CR:CR,MIN(IF(ISNUMBER(CR48:CR244),ROW(CR48:CR244),"")))</f>
        <v>5.6</v>
      </c>
      <c r="CT48" s="12">
        <f>IF('Données projet'!$A$140&gt;35,CT47+CS48-DB47,IF(A48&lt;'Données projet'!$A$140,$CQ$205^A48,IF(A48='Données projet'!$A$140,'Données projet'!$B$140,CT47+CS48-DB47)))</f>
        <v>106.99999999999999</v>
      </c>
      <c r="CU48" s="17">
        <f>CT48*VLOOKUP('Données projet'!$B$13,Paramètres!$A$1:$I$89,3,0)*VLOOKUP('Données projet'!$B$13,Paramètres!$A$1:$I$89,5,0)</f>
        <v>90.136799999999994</v>
      </c>
      <c r="CV48" s="13">
        <f t="shared" si="41"/>
        <v>24.598214942741173</v>
      </c>
      <c r="CW48" s="20">
        <f t="shared" si="13"/>
        <v>199.8301510252742</v>
      </c>
      <c r="CX48" s="59">
        <f t="shared" si="14"/>
        <v>493.16348435860755</v>
      </c>
      <c r="CY48" s="59">
        <f ca="1">AVERAGE(OFFSET($CX$3,0,0,'Données projet'!$E$13+1,1))-AVERAGE(OFFSET($H$3,0,0,'Données projet'!$E$13+1,1))</f>
        <v>157.20393815370375</v>
      </c>
      <c r="CZ48" s="59">
        <f t="shared" si="42"/>
        <v>64.616965816756363</v>
      </c>
      <c r="DA48" s="15">
        <f>IF(ISNA(VLOOKUP(A48,'Données projet'!$A$139:$I$159,3,0)),0,VLOOKUP(A48,'Données projet'!$A$139:$I$159,3,0))</f>
        <v>5</v>
      </c>
      <c r="DB48" s="15">
        <f>IF(ISNA(VLOOKUP(A48,'Données projet'!$A$139:$I$159,4,0)),0,VLOOKUP(A48,'Données projet'!$A$139:$I$159,4,0))</f>
        <v>14</v>
      </c>
      <c r="DC48" s="16">
        <f>IF(ISNA(VLOOKUP(A48,'Données projet'!$A$139:$I$159,5,0)),0%,VLOOKUP(A48,'Données projet'!$A$139:$I$159,5,0)*VLOOKUP('Données projet'!$B$13,Paramètres!$A$1:$I$89,7,0))</f>
        <v>8.6000000000000007E-2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2.136740994869788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2.136740994869788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242</v>
      </c>
      <c r="DM48" s="12">
        <f>VLOOKUP(A48,'Données projet'!$A$165:$I$185,9,0)</f>
        <v>9.8000000000000007</v>
      </c>
      <c r="DN48" s="12">
        <f t="array" ref="DN48">INDEX(DM:DM,MIN(IF(ISNUMBER(DM48:DM244),ROW(DM48:DM244),"")))</f>
        <v>9.8000000000000007</v>
      </c>
      <c r="DO48" s="12">
        <f>IF('Données projet'!$A$166&gt;35,DO47+DN48-DW47,IF(A48&lt;'Données projet'!$A$166,$DL$205^A48,IF(A48='Données projet'!$A$166,'Données projet'!$B$166,DO47+DN48-DW47)))</f>
        <v>242.00000000000006</v>
      </c>
      <c r="DP48" s="17">
        <f>DO48*VLOOKUP('Données projet'!$B$14,Paramètres!$A$1:$I$89,3,0)*VLOOKUP('Données projet'!$B$14,Paramètres!$A$1:$I$89,5,0)</f>
        <v>196.31040000000004</v>
      </c>
      <c r="DQ48" s="13">
        <f t="shared" si="43"/>
        <v>48.932428681108973</v>
      </c>
      <c r="DR48" s="20">
        <f t="shared" si="16"/>
        <v>427.13125995293154</v>
      </c>
      <c r="DS48" s="59">
        <f t="shared" si="17"/>
        <v>720.46459328626486</v>
      </c>
      <c r="DT48" s="59">
        <f ca="1">AVERAGE(OFFSET($DS$3,0,0,'Données projet'!$E$14+1,1))-AVERAGE(OFFSET($H$3,0,0,'Données projet'!$E$14+1,1))</f>
        <v>221.78186926953776</v>
      </c>
      <c r="DU48" s="59">
        <f t="shared" si="44"/>
        <v>276.69392352410654</v>
      </c>
      <c r="DV48" s="15">
        <f>IF(ISNA(VLOOKUP(A48,'Données projet'!$A$165:$I$185,3,0)),0,VLOOKUP(A48,'Données projet'!$A$165:$I$185,3,0))</f>
        <v>8</v>
      </c>
      <c r="DW48" s="15">
        <f>IF(ISNA(VLOOKUP(A48,'Données projet'!$A$165:$I$185,4,0)),0,VLOOKUP(A48,'Données projet'!$A$165:$I$185,4,0))</f>
        <v>24</v>
      </c>
      <c r="DX48" s="16">
        <f>IF(ISNA(VLOOKUP(A48,'Données projet'!$A$165:$I$185,5,0)),0%,VLOOKUP(A48,'Données projet'!$A$165:$I$185,5,0)*VLOOKUP('Données projet'!$B$14,Paramètres!$A$1:$I$89,7,0))</f>
        <v>0.215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17.662969811249816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17.662969811249816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107</v>
      </c>
      <c r="EH48" s="12">
        <f>VLOOKUP(A48,'Données projet'!$A$191:$I$211,9,0)</f>
        <v>5.6</v>
      </c>
      <c r="EI48" s="12">
        <f t="array" ref="EI48">INDEX(EH:EH,MIN(IF(ISNUMBER(EH48:EH244),ROW(EH48:EH244),"")))</f>
        <v>5.6</v>
      </c>
      <c r="EJ48" s="12">
        <f>IF('Données projet'!$A$192&gt;35,EJ47+EI48-ER47,IF(A48&lt;'Données projet'!$A$192,$EG$205^A48,IF(A48='Données projet'!$A$192,'Données projet'!$B$192,EJ47+EI48-ER47)))</f>
        <v>106.99999999999999</v>
      </c>
      <c r="EK48" s="17">
        <f>EJ48*VLOOKUP('Données projet'!$B$15,Paramètres!$A$1:$I$89,3,0)*VLOOKUP('Données projet'!$B$15,Paramètres!$A$1:$I$89,5,0)</f>
        <v>115.17479999999998</v>
      </c>
      <c r="EL48" s="13">
        <f t="shared" si="45"/>
        <v>30.546926681092497</v>
      </c>
      <c r="EM48" s="20">
        <f t="shared" si="19"/>
        <v>253.79867396956936</v>
      </c>
      <c r="EN48" s="59">
        <f t="shared" si="20"/>
        <v>547.13200730290271</v>
      </c>
      <c r="EO48" s="59">
        <f ca="1">AVERAGE(OFFSET($EN$3,0,0,'Données projet'!$E$15+1,1))-AVERAGE(OFFSET($H$3,0,0,'Données projet'!$E$15+1,1))</f>
        <v>219.76574638403434</v>
      </c>
      <c r="EP48" s="59">
        <f t="shared" si="46"/>
        <v>92.286636088269972</v>
      </c>
      <c r="EQ48" s="15">
        <f>IF(ISNA(VLOOKUP(A48,'Données projet'!$A$191:$I$211,3,0)),0,VLOOKUP(A48,'Données projet'!$A$191:$I$211,3,0))</f>
        <v>5</v>
      </c>
      <c r="ER48" s="15">
        <f>IF(ISNA(VLOOKUP(A48,'Données projet'!$A$191:$I$211,4,0)),0,VLOOKUP(A48,'Données projet'!$A$191:$I$211,4,0))</f>
        <v>14</v>
      </c>
      <c r="ES48" s="16">
        <f>IF(ISNA(VLOOKUP(A48,'Données projet'!$A$191:$I$211,5,0)),0%,VLOOKUP(A48,'Données projet'!$A$191:$I$211,5,0)*VLOOKUP('Données projet'!$B$15,Paramètres!$A$1:$I$89,7,0))</f>
        <v>8.6000000000000007E-2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2.7302801601113948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2.7302801601113948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10.5</v>
      </c>
      <c r="FE48" s="12">
        <f>IF('Données projet'!$A$218&gt;35,FE47+FD48-FM47,IF(A48&lt;'Données projet'!$A$218,$FB$205^A48,IF(A48='Données projet'!$A$218,'Données projet'!$B$218,FE47+FD48-FM47)))</f>
        <v>202.5</v>
      </c>
      <c r="FF48" s="17">
        <f>FE48*VLOOKUP('Données projet'!$B$16,Paramètres!$A$1:$I$89,3,0)*VLOOKUP('Données projet'!$B$16,Paramètres!$A$1:$I$89,5,0)</f>
        <v>94.77</v>
      </c>
      <c r="FG48" s="13">
        <f t="shared" si="47"/>
        <v>25.712153668783351</v>
      </c>
      <c r="FH48" s="20">
        <f t="shared" si="22"/>
        <v>209.839750973131</v>
      </c>
      <c r="FI48" s="59">
        <f t="shared" si="23"/>
        <v>503.17308430646432</v>
      </c>
      <c r="FJ48" s="59">
        <f ca="1">AVERAGE(OFFSET($FI$3,0,0,'Données projet'!$E$16+1,1))-AVERAGE(OFFSET($H$3,0,0,'Données projet'!$E$16+1,1))</f>
        <v>86.164294406232727</v>
      </c>
      <c r="FK48" s="59">
        <f t="shared" si="48"/>
        <v>138.91188401562334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8.1908239138347856</v>
      </c>
      <c r="FR48" s="21">
        <f>EXP(-LN(2)/25)*FR47+(1-EXP(-LN(2)/25))/(LN(2)/25)*Calculateur!FM48*Calculateur!FO48*VLOOKUP('Données projet'!$B$16,Paramètres!$A$1:$I$89,3,0)*0.475*44/12</f>
        <v>12.841990878933361</v>
      </c>
      <c r="FS48" s="21">
        <f>EXP(-LN(2)/2)*FS47+(1-EXP(-LN(2)/2))/(LN(2)/2)*FM48*FP48*VLOOKUP('Données projet'!$B$16,Paramètres!$A$1:$I$89,3,0)*0.475*44/12</f>
        <v>1.5236217323679244</v>
      </c>
      <c r="FT48" s="22">
        <f t="shared" si="24"/>
        <v>22.556436525136071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150.21793637331223</v>
      </c>
      <c r="T49" s="59">
        <f t="shared" si="34"/>
        <v>364.59164590134486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77.675276477444839</v>
      </c>
      <c r="AA49" s="21">
        <f>EXP(-LN(2)/25)*AA48+(1-EXP(-LN(2)/25))/(LN(2)/25)*Calculateur!V49*Calculateur!X49*VLOOKUP('Données projet'!$B$9,Paramètres!$A$1:$I$89,3,0)*0.475*44/12</f>
        <v>14.45341633157825</v>
      </c>
      <c r="AB49" s="21">
        <f>EXP(-LN(2)/2)*AB48+(1-EXP(-LN(2)/2))/(LN(2)/2)*V49*Y49*VLOOKUP('Données projet'!$B$9,Paramètres!$A$1:$I$89,3,0)*0.475*44/12</f>
        <v>7.5606958539854885E-2</v>
      </c>
      <c r="AC49" s="22">
        <f t="shared" si="3"/>
        <v>92.204299767562944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5.6</v>
      </c>
      <c r="AI49" s="13">
        <f>IF('Données projet'!$A$62&gt;35,AI48+AH49-AQ48,IF(A49&lt;'Données projet'!$A$62,$AF$205^A49,IF(A49='Données projet'!$A$62,'Données projet'!$B$62,AI48+AH49-AQ48)))</f>
        <v>98.59999999999998</v>
      </c>
      <c r="AJ49" s="13">
        <f>AI49*VLOOKUP('Données projet'!$B$10,Paramètres!$A$1:$I$89,3,0)*VLOOKUP('Données projet'!$B$10,Paramètres!$A$1:$I$89,5,0)</f>
        <v>107.67119999999997</v>
      </c>
      <c r="AK49" s="13">
        <f t="shared" si="35"/>
        <v>28.781619683258381</v>
      </c>
      <c r="AL49" s="20">
        <f t="shared" si="4"/>
        <v>237.6553276150083</v>
      </c>
      <c r="AM49" s="59">
        <f t="shared" si="5"/>
        <v>530.98866094834159</v>
      </c>
      <c r="AN49" s="59">
        <f ca="1">AVERAGE(OFFSET($AM$3,0,0,'Données projet'!$E$10+1,1))-AVERAGE(OFFSET($H$3,0,0,'Données projet'!$E$10+1,1))</f>
        <v>223.92539057016376</v>
      </c>
      <c r="AO49" s="59">
        <f t="shared" si="36"/>
        <v>94.125825809616856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2.7155343797603644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2.7155343797603644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5.6</v>
      </c>
      <c r="BD49" s="12">
        <f>IF('Données projet'!$A$88&gt;35,BD48+BC49-BL48,IF(A49&lt;'Données projet'!$A$88,$BA$205^A49,IF(A49='Données projet'!$A$88,'Données projet'!$B$88,BD48+BC49-BL48)))</f>
        <v>98.59999999999998</v>
      </c>
      <c r="BE49" s="13">
        <f>BD49*VLOOKUP('Données projet'!$B$11,Paramètres!$A$1:$I$89,3,0)*VLOOKUP('Données projet'!$B$11,Paramètres!$A$1:$I$89,5,0)</f>
        <v>112.28567999999997</v>
      </c>
      <c r="BF49" s="13">
        <f t="shared" si="37"/>
        <v>29.868862334766153</v>
      </c>
      <c r="BG49" s="20">
        <f t="shared" si="7"/>
        <v>247.58582789971763</v>
      </c>
      <c r="BH49" s="59">
        <f t="shared" si="8"/>
        <v>540.919161233051</v>
      </c>
      <c r="BI49" s="59">
        <f ca="1">AVERAGE(OFFSET($BH$3,0,0,'Données projet'!$E$11+1,1))-AVERAGE(OFFSET($H$3,0,0,'Données projet'!$E$11+1,1))</f>
        <v>236.39682613502913</v>
      </c>
      <c r="BJ49" s="59">
        <f t="shared" si="38"/>
        <v>99.639724892155641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2.8319144246072367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2.8319144246072367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98.59999999999998</v>
      </c>
      <c r="CU49" s="17">
        <f>CT49*VLOOKUP('Données projet'!$B$13,Paramètres!$A$1:$I$89,3,0)*VLOOKUP('Données projet'!$B$13,Paramètres!$A$1:$I$89,5,0)</f>
        <v>83.060639999999992</v>
      </c>
      <c r="CV49" s="13">
        <f t="shared" si="41"/>
        <v>22.883883502950997</v>
      </c>
      <c r="CW49" s="20">
        <f t="shared" si="13"/>
        <v>184.52004510097296</v>
      </c>
      <c r="CX49" s="59">
        <f t="shared" si="14"/>
        <v>477.85337843430625</v>
      </c>
      <c r="CY49" s="59">
        <f ca="1">AVERAGE(OFFSET($CX$3,0,0,'Données projet'!$E$13+1,1))-AVERAGE(OFFSET($H$3,0,0,'Données projet'!$E$13+1,1))</f>
        <v>157.20393815370375</v>
      </c>
      <c r="CZ49" s="59">
        <f t="shared" si="42"/>
        <v>64.616965816756363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2.0948408072437097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2.0948408072437097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8.6</v>
      </c>
      <c r="DO49" s="12">
        <f>IF('Données projet'!$A$166&gt;35,DO48+DN49-DW48,IF(A49&lt;'Données projet'!$A$166,$DL$205^A49,IF(A49='Données projet'!$A$166,'Données projet'!$B$166,DO48+DN49-DW48)))</f>
        <v>226.60000000000005</v>
      </c>
      <c r="DP49" s="17">
        <f>DO49*VLOOKUP('Données projet'!$B$14,Paramètres!$A$1:$I$89,3,0)*VLOOKUP('Données projet'!$B$14,Paramètres!$A$1:$I$89,5,0)</f>
        <v>183.81792000000007</v>
      </c>
      <c r="DQ49" s="13">
        <f t="shared" si="43"/>
        <v>46.170562638655326</v>
      </c>
      <c r="DR49" s="20">
        <f t="shared" si="16"/>
        <v>400.56327392899146</v>
      </c>
      <c r="DS49" s="59">
        <f t="shared" si="17"/>
        <v>693.89660726232478</v>
      </c>
      <c r="DT49" s="59">
        <f ca="1">AVERAGE(OFFSET($DS$3,0,0,'Données projet'!$E$14+1,1))-AVERAGE(OFFSET($H$3,0,0,'Données projet'!$E$14+1,1))</f>
        <v>221.78186926953776</v>
      </c>
      <c r="DU49" s="59">
        <f t="shared" si="44"/>
        <v>276.69392352410654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17.316609746599013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17.316609746599013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5.6</v>
      </c>
      <c r="EJ49" s="12">
        <f>IF('Données projet'!$A$192&gt;35,EJ48+EI49-ER48,IF(A49&lt;'Données projet'!$A$192,$EG$205^A49,IF(A49='Données projet'!$A$192,'Données projet'!$B$192,EJ48+EI49-ER48)))</f>
        <v>98.59999999999998</v>
      </c>
      <c r="EK49" s="17">
        <f>EJ49*VLOOKUP('Données projet'!$B$15,Paramètres!$A$1:$I$89,3,0)*VLOOKUP('Données projet'!$B$15,Paramètres!$A$1:$I$89,5,0)</f>
        <v>106.13303999999997</v>
      </c>
      <c r="EL49" s="13">
        <f t="shared" si="45"/>
        <v>28.418009728368016</v>
      </c>
      <c r="EM49" s="20">
        <f t="shared" si="19"/>
        <v>234.34307827690756</v>
      </c>
      <c r="EN49" s="59">
        <f t="shared" si="20"/>
        <v>527.67641161024085</v>
      </c>
      <c r="EO49" s="59">
        <f ca="1">AVERAGE(OFFSET($EN$3,0,0,'Données projet'!$E$15+1,1))-AVERAGE(OFFSET($H$3,0,0,'Données projet'!$E$15+1,1))</f>
        <v>219.76574638403434</v>
      </c>
      <c r="EP49" s="59">
        <f t="shared" si="46"/>
        <v>92.286636088269972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2.6767410314780729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2.6767410314780729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10.5</v>
      </c>
      <c r="FE49" s="12">
        <f>IF('Données projet'!$A$218&gt;35,FE48+FD49-FM48,IF(A49&lt;'Données projet'!$A$218,$FB$205^A49,IF(A49='Données projet'!$A$218,'Données projet'!$B$218,FE48+FD49-FM48)))</f>
        <v>213</v>
      </c>
      <c r="FF49" s="17">
        <f>FE49*VLOOKUP('Données projet'!$B$16,Paramètres!$A$1:$I$89,3,0)*VLOOKUP('Données projet'!$B$16,Paramètres!$A$1:$I$89,5,0)</f>
        <v>99.683999999999997</v>
      </c>
      <c r="FG49" s="13">
        <f t="shared" si="47"/>
        <v>26.886701044194457</v>
      </c>
      <c r="FH49" s="20">
        <f t="shared" si="22"/>
        <v>220.44397098530533</v>
      </c>
      <c r="FI49" s="59">
        <f t="shared" si="23"/>
        <v>513.7773043186387</v>
      </c>
      <c r="FJ49" s="59">
        <f ca="1">AVERAGE(OFFSET($FI$3,0,0,'Données projet'!$E$16+1,1))-AVERAGE(OFFSET($H$3,0,0,'Données projet'!$E$16+1,1))</f>
        <v>86.164294406232727</v>
      </c>
      <c r="FK49" s="59">
        <f t="shared" si="48"/>
        <v>138.91188401562334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8.0302068527937678</v>
      </c>
      <c r="FR49" s="21">
        <f>EXP(-LN(2)/25)*FR48+(1-EXP(-LN(2)/25))/(LN(2)/25)*Calculateur!FM49*Calculateur!FO49*VLOOKUP('Données projet'!$B$16,Paramètres!$A$1:$I$89,3,0)*0.475*44/12</f>
        <v>12.490825963017979</v>
      </c>
      <c r="FS49" s="21">
        <f>EXP(-LN(2)/2)*FS48+(1-EXP(-LN(2)/2))/(LN(2)/2)*FM49*FP49*VLOOKUP('Données projet'!$B$16,Paramètres!$A$1:$I$89,3,0)*0.475*44/12</f>
        <v>1.0773632589205544</v>
      </c>
      <c r="FT49" s="22">
        <f t="shared" si="24"/>
        <v>21.5983960747323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150.21793637331223</v>
      </c>
      <c r="T50" s="59">
        <f t="shared" si="34"/>
        <v>364.59164590134486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76.152111682962683</v>
      </c>
      <c r="AA50" s="21">
        <f>EXP(-LN(2)/25)*AA49+(1-EXP(-LN(2)/25))/(LN(2)/25)*Calculateur!V50*Calculateur!X50*VLOOKUP('Données projet'!$B$9,Paramètres!$A$1:$I$89,3,0)*0.475*44/12</f>
        <v>14.058186901919111</v>
      </c>
      <c r="AB50" s="21">
        <f>EXP(-LN(2)/2)*AB49+(1-EXP(-LN(2)/2))/(LN(2)/2)*V50*Y50*VLOOKUP('Données projet'!$B$9,Paramètres!$A$1:$I$89,3,0)*0.475*44/12</f>
        <v>5.3462193088421539E-2</v>
      </c>
      <c r="AC50" s="22">
        <f t="shared" si="3"/>
        <v>90.263760777970219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5.6</v>
      </c>
      <c r="AI50" s="13">
        <f>IF('Données projet'!$A$62&gt;35,AI49+AH50-AQ49,IF(A50&lt;'Données projet'!$A$62,$AF$205^A50,IF(A50='Données projet'!$A$62,'Données projet'!$B$62,AI49+AH50-AQ49)))</f>
        <v>104.19999999999997</v>
      </c>
      <c r="AJ50" s="13">
        <f>AI50*VLOOKUP('Données projet'!$B$10,Paramètres!$A$1:$I$89,3,0)*VLOOKUP('Données projet'!$B$10,Paramètres!$A$1:$I$89,5,0)</f>
        <v>113.78639999999997</v>
      </c>
      <c r="AK50" s="13">
        <f t="shared" si="35"/>
        <v>30.221325231185819</v>
      </c>
      <c r="AL50" s="20">
        <f t="shared" si="4"/>
        <v>250.81345477764856</v>
      </c>
      <c r="AM50" s="59">
        <f t="shared" si="5"/>
        <v>544.1467881109819</v>
      </c>
      <c r="AN50" s="59">
        <f ca="1">AVERAGE(OFFSET($AM$3,0,0,'Données projet'!$E$10+1,1))-AVERAGE(OFFSET($H$3,0,0,'Données projet'!$E$10+1,1))</f>
        <v>223.92539057016376</v>
      </c>
      <c r="AO50" s="59">
        <f t="shared" si="36"/>
        <v>94.125825809616856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2.6622844068856879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2.6622844068856879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5.6</v>
      </c>
      <c r="BD50" s="12">
        <f>IF('Données projet'!$A$88&gt;35,BD49+BC50-BL49,IF(A50&lt;'Données projet'!$A$88,$BA$205^A50,IF(A50='Données projet'!$A$88,'Données projet'!$B$88,BD49+BC50-BL49)))</f>
        <v>104.19999999999997</v>
      </c>
      <c r="BE50" s="13">
        <f>BD50*VLOOKUP('Données projet'!$B$11,Paramètres!$A$1:$I$89,3,0)*VLOOKUP('Données projet'!$B$11,Paramètres!$A$1:$I$89,5,0)</f>
        <v>118.66295999999997</v>
      </c>
      <c r="BF50" s="13">
        <f t="shared" si="37"/>
        <v>31.362953608533388</v>
      </c>
      <c r="BG50" s="20">
        <f t="shared" si="7"/>
        <v>261.29513286819559</v>
      </c>
      <c r="BH50" s="59">
        <f t="shared" si="8"/>
        <v>554.62846620152891</v>
      </c>
      <c r="BI50" s="59">
        <f ca="1">AVERAGE(OFFSET($BH$3,0,0,'Données projet'!$E$11+1,1))-AVERAGE(OFFSET($H$3,0,0,'Données projet'!$E$11+1,1))</f>
        <v>236.39682613502913</v>
      </c>
      <c r="BJ50" s="59">
        <f t="shared" si="38"/>
        <v>99.639724892155641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2.7763823100379312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2.7763823100379312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104.19999999999997</v>
      </c>
      <c r="CU50" s="17">
        <f>CT50*VLOOKUP('Données projet'!$B$13,Paramètres!$A$1:$I$89,3,0)*VLOOKUP('Données projet'!$B$13,Paramètres!$A$1:$I$89,5,0)</f>
        <v>87.778079999999989</v>
      </c>
      <c r="CV50" s="13">
        <f t="shared" si="41"/>
        <v>24.028574260451634</v>
      </c>
      <c r="CW50" s="20">
        <f t="shared" si="13"/>
        <v>194.72992283695325</v>
      </c>
      <c r="CX50" s="59">
        <f t="shared" si="14"/>
        <v>488.06325617028654</v>
      </c>
      <c r="CY50" s="59">
        <f ca="1">AVERAGE(OFFSET($CX$3,0,0,'Données projet'!$E$13+1,1))-AVERAGE(OFFSET($H$3,0,0,'Données projet'!$E$13+1,1))</f>
        <v>157.20393815370375</v>
      </c>
      <c r="CZ50" s="59">
        <f t="shared" si="42"/>
        <v>64.616965816756363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2.0537622567403879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2.0537622567403879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8.6</v>
      </c>
      <c r="DO50" s="12">
        <f>IF('Données projet'!$A$166&gt;35,DO49+DN50-DW49,IF(A50&lt;'Données projet'!$A$166,$DL$205^A50,IF(A50='Données projet'!$A$166,'Données projet'!$B$166,DO49+DN50-DW49)))</f>
        <v>235.20000000000005</v>
      </c>
      <c r="DP50" s="17">
        <f>DO50*VLOOKUP('Données projet'!$B$14,Paramètres!$A$1:$I$89,3,0)*VLOOKUP('Données projet'!$B$14,Paramètres!$A$1:$I$89,5,0)</f>
        <v>190.79424000000006</v>
      </c>
      <c r="DQ50" s="13">
        <f t="shared" si="43"/>
        <v>47.715505384501149</v>
      </c>
      <c r="DR50" s="20">
        <f t="shared" si="16"/>
        <v>415.40447321133956</v>
      </c>
      <c r="DS50" s="59">
        <f t="shared" si="17"/>
        <v>708.73780654467282</v>
      </c>
      <c r="DT50" s="59">
        <f ca="1">AVERAGE(OFFSET($DS$3,0,0,'Données projet'!$E$14+1,1))-AVERAGE(OFFSET($H$3,0,0,'Données projet'!$E$14+1,1))</f>
        <v>221.78186926953776</v>
      </c>
      <c r="DU50" s="59">
        <f t="shared" si="44"/>
        <v>276.69392352410654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16.977041591557231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16.977041591557231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5.6</v>
      </c>
      <c r="EJ50" s="12">
        <f>IF('Données projet'!$A$192&gt;35,EJ49+EI50-ER49,IF(A50&lt;'Données projet'!$A$192,$EG$205^A50,IF(A50='Données projet'!$A$192,'Données projet'!$B$192,EJ49+EI50-ER49)))</f>
        <v>104.19999999999997</v>
      </c>
      <c r="EK50" s="17">
        <f>EJ50*VLOOKUP('Données projet'!$B$15,Paramètres!$A$1:$I$89,3,0)*VLOOKUP('Données projet'!$B$15,Paramètres!$A$1:$I$89,5,0)</f>
        <v>112.16087999999998</v>
      </c>
      <c r="EL50" s="13">
        <f t="shared" si="45"/>
        <v>29.839526888181876</v>
      </c>
      <c r="EM50" s="20">
        <f t="shared" si="19"/>
        <v>247.31737533025003</v>
      </c>
      <c r="EN50" s="59">
        <f t="shared" si="20"/>
        <v>540.65070866358337</v>
      </c>
      <c r="EO50" s="59">
        <f ca="1">AVERAGE(OFFSET($EN$3,0,0,'Données projet'!$E$15+1,1))-AVERAGE(OFFSET($H$3,0,0,'Données projet'!$E$15+1,1))</f>
        <v>219.76574638403434</v>
      </c>
      <c r="EP50" s="59">
        <f t="shared" si="46"/>
        <v>92.286636088269972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2.6242517725016064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2.6242517725016064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10.5</v>
      </c>
      <c r="FE50" s="12">
        <f>IF('Données projet'!$A$218&gt;35,FE49+FD50-FM49,IF(A50&lt;'Données projet'!$A$218,$FB$205^A50,IF(A50='Données projet'!$A$218,'Données projet'!$B$218,FE49+FD50-FM49)))</f>
        <v>223.5</v>
      </c>
      <c r="FF50" s="17">
        <f>FE50*VLOOKUP('Données projet'!$B$16,Paramètres!$A$1:$I$89,3,0)*VLOOKUP('Données projet'!$B$16,Paramètres!$A$1:$I$89,5,0)</f>
        <v>104.598</v>
      </c>
      <c r="FG50" s="13">
        <f t="shared" si="47"/>
        <v>28.054525257841597</v>
      </c>
      <c r="FH50" s="20">
        <f t="shared" si="22"/>
        <v>231.03648149074078</v>
      </c>
      <c r="FI50" s="59">
        <f t="shared" si="23"/>
        <v>524.36981482407407</v>
      </c>
      <c r="FJ50" s="59">
        <f ca="1">AVERAGE(OFFSET($FI$3,0,0,'Données projet'!$E$16+1,1))-AVERAGE(OFFSET($H$3,0,0,'Données projet'!$E$16+1,1))</f>
        <v>86.164294406232727</v>
      </c>
      <c r="FK50" s="59">
        <f t="shared" si="48"/>
        <v>138.91188401562334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7.8727393943530304</v>
      </c>
      <c r="FR50" s="21">
        <f>EXP(-LN(2)/25)*FR49+(1-EXP(-LN(2)/25))/(LN(2)/25)*Calculateur!FM50*Calculateur!FO50*VLOOKUP('Données projet'!$B$16,Paramètres!$A$1:$I$89,3,0)*0.475*44/12</f>
        <v>12.149263670195264</v>
      </c>
      <c r="FS50" s="21">
        <f>EXP(-LN(2)/2)*FS49+(1-EXP(-LN(2)/2))/(LN(2)/2)*FM50*FP50*VLOOKUP('Données projet'!$B$16,Paramètres!$A$1:$I$89,3,0)*0.475*44/12</f>
        <v>0.76181086618396221</v>
      </c>
      <c r="FT50" s="22">
        <f t="shared" si="24"/>
        <v>20.783813930732254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150.21793637331223</v>
      </c>
      <c r="T51" s="59">
        <f t="shared" si="34"/>
        <v>364.59164590134486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74.658815221061531</v>
      </c>
      <c r="AA51" s="21">
        <f>EXP(-LN(2)/25)*AA50+(1-EXP(-LN(2)/25))/(LN(2)/25)*Calculateur!V51*Calculateur!X51*VLOOKUP('Données projet'!$B$9,Paramètres!$A$1:$I$89,3,0)*0.475*44/12</f>
        <v>13.673765041798214</v>
      </c>
      <c r="AB51" s="21">
        <f>EXP(-LN(2)/2)*AB50+(1-EXP(-LN(2)/2))/(LN(2)/2)*V51*Y51*VLOOKUP('Données projet'!$B$9,Paramètres!$A$1:$I$89,3,0)*0.475*44/12</f>
        <v>3.7803479269927442E-2</v>
      </c>
      <c r="AC51" s="22">
        <f t="shared" si="3"/>
        <v>88.370383742129675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5.6</v>
      </c>
      <c r="AI51" s="13">
        <f>IF('Données projet'!$A$62&gt;35,AI50+AH51-AQ50,IF(A51&lt;'Données projet'!$A$62,$AF$205^A51,IF(A51='Données projet'!$A$62,'Données projet'!$B$62,AI50+AH51-AQ50)))</f>
        <v>109.79999999999997</v>
      </c>
      <c r="AJ51" s="13">
        <f>AI51*VLOOKUP('Données projet'!$B$10,Paramètres!$A$1:$I$89,3,0)*VLOOKUP('Données projet'!$B$10,Paramètres!$A$1:$I$89,5,0)</f>
        <v>119.90159999999996</v>
      </c>
      <c r="AK51" s="13">
        <f t="shared" si="35"/>
        <v>31.652048014425507</v>
      </c>
      <c r="AL51" s="20">
        <f t="shared" si="4"/>
        <v>263.9559369584577</v>
      </c>
      <c r="AM51" s="59">
        <f t="shared" si="5"/>
        <v>557.28927029179101</v>
      </c>
      <c r="AN51" s="59">
        <f ca="1">AVERAGE(OFFSET($AM$3,0,0,'Données projet'!$E$10+1,1))-AVERAGE(OFFSET($H$3,0,0,'Données projet'!$E$10+1,1))</f>
        <v>223.92539057016376</v>
      </c>
      <c r="AO51" s="59">
        <f t="shared" si="36"/>
        <v>94.125825809616856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2.6100786334998074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2.6100786334998074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5.6</v>
      </c>
      <c r="BD51" s="12">
        <f>IF('Données projet'!$A$88&gt;35,BD50+BC51-BL50,IF(A51&lt;'Données projet'!$A$88,$BA$205^A51,IF(A51='Données projet'!$A$88,'Données projet'!$B$88,BD50+BC51-BL50)))</f>
        <v>109.79999999999997</v>
      </c>
      <c r="BE51" s="13">
        <f>BD51*VLOOKUP('Données projet'!$B$11,Paramètres!$A$1:$I$89,3,0)*VLOOKUP('Données projet'!$B$11,Paramètres!$A$1:$I$89,5,0)</f>
        <v>125.04023999999998</v>
      </c>
      <c r="BF51" s="13">
        <f t="shared" si="37"/>
        <v>32.847722788381112</v>
      </c>
      <c r="BG51" s="20">
        <f t="shared" si="7"/>
        <v>274.98820185643041</v>
      </c>
      <c r="BH51" s="59">
        <f t="shared" si="8"/>
        <v>568.32153518976372</v>
      </c>
      <c r="BI51" s="59">
        <f ca="1">AVERAGE(OFFSET($BH$3,0,0,'Données projet'!$E$11+1,1))-AVERAGE(OFFSET($H$3,0,0,'Données projet'!$E$11+1,1))</f>
        <v>236.39682613502913</v>
      </c>
      <c r="BJ51" s="59">
        <f t="shared" si="38"/>
        <v>99.639724892155641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2.7219391463640847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2.7219391463640847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109.79999999999997</v>
      </c>
      <c r="CU51" s="17">
        <f>CT51*VLOOKUP('Données projet'!$B$13,Paramètres!$A$1:$I$89,3,0)*VLOOKUP('Données projet'!$B$13,Paramètres!$A$1:$I$89,5,0)</f>
        <v>92.495519999999985</v>
      </c>
      <c r="CV51" s="13">
        <f t="shared" si="41"/>
        <v>25.166122941067407</v>
      </c>
      <c r="CW51" s="20">
        <f t="shared" si="13"/>
        <v>204.92736145569236</v>
      </c>
      <c r="CX51" s="59">
        <f t="shared" si="14"/>
        <v>498.26069478902571</v>
      </c>
      <c r="CY51" s="59">
        <f ca="1">AVERAGE(OFFSET($CX$3,0,0,'Données projet'!$E$13+1,1))-AVERAGE(OFFSET($H$3,0,0,'Données projet'!$E$13+1,1))</f>
        <v>157.20393815370375</v>
      </c>
      <c r="CZ51" s="59">
        <f t="shared" si="42"/>
        <v>64.616965816756363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2.0134892315569943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2.0134892315569943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8.6</v>
      </c>
      <c r="DO51" s="12">
        <f>IF('Données projet'!$A$166&gt;35,DO50+DN51-DW50,IF(A51&lt;'Données projet'!$A$166,$DL$205^A51,IF(A51='Données projet'!$A$166,'Données projet'!$B$166,DO50+DN51-DW50)))</f>
        <v>243.80000000000004</v>
      </c>
      <c r="DP51" s="17">
        <f>DO51*VLOOKUP('Données projet'!$B$14,Paramètres!$A$1:$I$89,3,0)*VLOOKUP('Données projet'!$B$14,Paramètres!$A$1:$I$89,5,0)</f>
        <v>197.77056000000005</v>
      </c>
      <c r="DQ51" s="13">
        <f t="shared" si="43"/>
        <v>49.253885093250254</v>
      </c>
      <c r="DR51" s="20">
        <f t="shared" si="16"/>
        <v>430.23424187074426</v>
      </c>
      <c r="DS51" s="59">
        <f t="shared" si="17"/>
        <v>723.56757520407757</v>
      </c>
      <c r="DT51" s="59">
        <f ca="1">AVERAGE(OFFSET($DS$3,0,0,'Données projet'!$E$14+1,1))-AVERAGE(OFFSET($H$3,0,0,'Données projet'!$E$14+1,1))</f>
        <v>221.78186926953776</v>
      </c>
      <c r="DU51" s="59">
        <f t="shared" si="44"/>
        <v>276.69392352410654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16.644132160919696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16.644132160919696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5.6</v>
      </c>
      <c r="EJ51" s="12">
        <f>IF('Données projet'!$A$192&gt;35,EJ50+EI51-ER50,IF(A51&lt;'Données projet'!$A$192,$EG$205^A51,IF(A51='Données projet'!$A$192,'Données projet'!$B$192,EJ50+EI51-ER50)))</f>
        <v>109.79999999999997</v>
      </c>
      <c r="EK51" s="17">
        <f>EJ51*VLOOKUP('Données projet'!$B$15,Paramètres!$A$1:$I$89,3,0)*VLOOKUP('Données projet'!$B$15,Paramètres!$A$1:$I$89,5,0)</f>
        <v>118.18871999999996</v>
      </c>
      <c r="EL51" s="13">
        <f t="shared" si="45"/>
        <v>31.252174766242543</v>
      </c>
      <c r="EM51" s="20">
        <f t="shared" si="19"/>
        <v>260.2762250512057</v>
      </c>
      <c r="EN51" s="59">
        <f t="shared" si="20"/>
        <v>553.60955838453901</v>
      </c>
      <c r="EO51" s="59">
        <f ca="1">AVERAGE(OFFSET($EN$3,0,0,'Données projet'!$E$15+1,1))-AVERAGE(OFFSET($H$3,0,0,'Données projet'!$E$15+1,1))</f>
        <v>219.76574638403434</v>
      </c>
      <c r="EP51" s="59">
        <f t="shared" si="46"/>
        <v>92.286636088269972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2.5727917958783815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2.5727917958783815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10.5</v>
      </c>
      <c r="FE51" s="12">
        <f>IF('Données projet'!$A$218&gt;35,FE50+FD51-FM50,IF(A51&lt;'Données projet'!$A$218,$FB$205^A51,IF(A51='Données projet'!$A$218,'Données projet'!$B$218,FE50+FD51-FM50)))</f>
        <v>234</v>
      </c>
      <c r="FF51" s="17">
        <f>FE51*VLOOKUP('Données projet'!$B$16,Paramètres!$A$1:$I$89,3,0)*VLOOKUP('Données projet'!$B$16,Paramètres!$A$1:$I$89,5,0)</f>
        <v>109.512</v>
      </c>
      <c r="FG51" s="13">
        <f t="shared" si="47"/>
        <v>29.215978230632555</v>
      </c>
      <c r="FH51" s="20">
        <f t="shared" si="22"/>
        <v>241.61789541835171</v>
      </c>
      <c r="FI51" s="59">
        <f t="shared" si="23"/>
        <v>534.95122875168499</v>
      </c>
      <c r="FJ51" s="59">
        <f ca="1">AVERAGE(OFFSET($FI$3,0,0,'Données projet'!$E$16+1,1))-AVERAGE(OFFSET($H$3,0,0,'Données projet'!$E$16+1,1))</f>
        <v>86.164294406232727</v>
      </c>
      <c r="FK51" s="59">
        <f t="shared" si="48"/>
        <v>138.91188401562334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7.7183597767266496</v>
      </c>
      <c r="FR51" s="21">
        <f>EXP(-LN(2)/25)*FR50+(1-EXP(-LN(2)/25))/(LN(2)/25)*Calculateur!FM51*Calculateur!FO51*VLOOKUP('Données projet'!$B$16,Paramètres!$A$1:$I$89,3,0)*0.475*44/12</f>
        <v>11.817041416231765</v>
      </c>
      <c r="FS51" s="21">
        <f>EXP(-LN(2)/2)*FS50+(1-EXP(-LN(2)/2))/(LN(2)/2)*FM51*FP51*VLOOKUP('Données projet'!$B$16,Paramètres!$A$1:$I$89,3,0)*0.475*44/12</f>
        <v>0.5386816294602772</v>
      </c>
      <c r="FT51" s="22">
        <f t="shared" si="24"/>
        <v>20.074082822418692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150.21793637331223</v>
      </c>
      <c r="T52" s="59">
        <f t="shared" si="34"/>
        <v>364.59164590134486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73.194801391957355</v>
      </c>
      <c r="AA52" s="21">
        <f>EXP(-LN(2)/25)*AA51+(1-EXP(-LN(2)/25))/(LN(2)/25)*Calculateur!V52*Calculateur!X52*VLOOKUP('Données projet'!$B$9,Paramètres!$A$1:$I$89,3,0)*0.475*44/12</f>
        <v>13.299855217658191</v>
      </c>
      <c r="AB52" s="21">
        <f>EXP(-LN(2)/2)*AB51+(1-EXP(-LN(2)/2))/(LN(2)/2)*V52*Y52*VLOOKUP('Données projet'!$B$9,Paramètres!$A$1:$I$89,3,0)*0.475*44/12</f>
        <v>2.673109654421077E-2</v>
      </c>
      <c r="AC52" s="22">
        <f t="shared" si="3"/>
        <v>86.521387706159757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5.6</v>
      </c>
      <c r="AI52" s="13">
        <f>IF('Données projet'!$A$62&gt;35,AI51+AH52-AQ51,IF(A52&lt;'Données projet'!$A$62,$AF$205^A52,IF(A52='Données projet'!$A$62,'Données projet'!$B$62,AI51+AH52-AQ51)))</f>
        <v>115.39999999999996</v>
      </c>
      <c r="AJ52" s="13">
        <f>AI52*VLOOKUP('Données projet'!$B$10,Paramètres!$A$1:$I$89,3,0)*VLOOKUP('Données projet'!$B$10,Paramètres!$A$1:$I$89,5,0)</f>
        <v>126.01679999999996</v>
      </c>
      <c r="AK52" s="13">
        <f t="shared" si="35"/>
        <v>33.074298435792052</v>
      </c>
      <c r="AL52" s="20">
        <f t="shared" si="4"/>
        <v>277.08366310900448</v>
      </c>
      <c r="AM52" s="59">
        <f t="shared" si="5"/>
        <v>570.41699644233779</v>
      </c>
      <c r="AN52" s="59">
        <f ca="1">AVERAGE(OFFSET($AM$3,0,0,'Données projet'!$E$10+1,1))-AVERAGE(OFFSET($H$3,0,0,'Données projet'!$E$10+1,1))</f>
        <v>223.92539057016376</v>
      </c>
      <c r="AO52" s="59">
        <f t="shared" si="36"/>
        <v>94.125825809616856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2.5588965834876465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2.5588965834876465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5.6</v>
      </c>
      <c r="BD52" s="12">
        <f>IF('Données projet'!$A$88&gt;35,BD51+BC52-BL51,IF(A52&lt;'Données projet'!$A$88,$BA$205^A52,IF(A52='Données projet'!$A$88,'Données projet'!$B$88,BD51+BC52-BL51)))</f>
        <v>115.39999999999996</v>
      </c>
      <c r="BE52" s="13">
        <f>BD52*VLOOKUP('Données projet'!$B$11,Paramètres!$A$1:$I$89,3,0)*VLOOKUP('Données projet'!$B$11,Paramètres!$A$1:$I$89,5,0)</f>
        <v>131.41751999999997</v>
      </c>
      <c r="BF52" s="13">
        <f t="shared" si="37"/>
        <v>34.323699557891082</v>
      </c>
      <c r="BG52" s="20">
        <f t="shared" si="7"/>
        <v>288.66595739666019</v>
      </c>
      <c r="BH52" s="59">
        <f t="shared" si="8"/>
        <v>581.9992907299935</v>
      </c>
      <c r="BI52" s="59">
        <f ca="1">AVERAGE(OFFSET($BH$3,0,0,'Données projet'!$E$11+1,1))-AVERAGE(OFFSET($H$3,0,0,'Données projet'!$E$11+1,1))</f>
        <v>236.39682613502913</v>
      </c>
      <c r="BJ52" s="59">
        <f t="shared" si="38"/>
        <v>99.639724892155641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2.6685635799228313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2.6685635799228313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115.39999999999996</v>
      </c>
      <c r="CU52" s="17">
        <f>CT52*VLOOKUP('Données projet'!$B$13,Paramètres!$A$1:$I$89,3,0)*VLOOKUP('Données projet'!$B$13,Paramètres!$A$1:$I$89,5,0)</f>
        <v>97.212959999999967</v>
      </c>
      <c r="CV52" s="13">
        <f t="shared" si="41"/>
        <v>26.296935359296437</v>
      </c>
      <c r="CW52" s="20">
        <f t="shared" si="13"/>
        <v>215.11306775077458</v>
      </c>
      <c r="CX52" s="59">
        <f t="shared" si="14"/>
        <v>508.44640108410789</v>
      </c>
      <c r="CY52" s="59">
        <f ca="1">AVERAGE(OFFSET($CX$3,0,0,'Données projet'!$E$13+1,1))-AVERAGE(OFFSET($H$3,0,0,'Données projet'!$E$13+1,1))</f>
        <v>157.20393815370375</v>
      </c>
      <c r="CZ52" s="59">
        <f t="shared" si="42"/>
        <v>64.616965816756363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1.9740059358333275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1.9740059358333275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8.6</v>
      </c>
      <c r="DO52" s="12">
        <f>IF('Données projet'!$A$166&gt;35,DO51+DN52-DW51,IF(A52&lt;'Données projet'!$A$166,$DL$205^A52,IF(A52='Données projet'!$A$166,'Données projet'!$B$166,DO51+DN52-DW51)))</f>
        <v>252.40000000000003</v>
      </c>
      <c r="DP52" s="17">
        <f>DO52*VLOOKUP('Données projet'!$B$14,Paramètres!$A$1:$I$89,3,0)*VLOOKUP('Données projet'!$B$14,Paramètres!$A$1:$I$89,5,0)</f>
        <v>204.74688000000003</v>
      </c>
      <c r="DQ52" s="13">
        <f t="shared" si="43"/>
        <v>50.785959801489987</v>
      </c>
      <c r="DR52" s="20">
        <f t="shared" si="16"/>
        <v>445.05302932092837</v>
      </c>
      <c r="DS52" s="59">
        <f t="shared" si="17"/>
        <v>738.38636265426169</v>
      </c>
      <c r="DT52" s="59">
        <f ca="1">AVERAGE(OFFSET($DS$3,0,0,'Données projet'!$E$14+1,1))-AVERAGE(OFFSET($H$3,0,0,'Données projet'!$E$14+1,1))</f>
        <v>221.78186926953776</v>
      </c>
      <c r="DU52" s="59">
        <f t="shared" si="44"/>
        <v>276.69392352410654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16.317750881162262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16.317750881162262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5.6</v>
      </c>
      <c r="EJ52" s="12">
        <f>IF('Données projet'!$A$192&gt;35,EJ51+EI52-ER51,IF(A52&lt;'Données projet'!$A$192,$EG$205^A52,IF(A52='Données projet'!$A$192,'Données projet'!$B$192,EJ51+EI52-ER51)))</f>
        <v>115.39999999999996</v>
      </c>
      <c r="EK52" s="17">
        <f>EJ52*VLOOKUP('Données projet'!$B$15,Paramètres!$A$1:$I$89,3,0)*VLOOKUP('Données projet'!$B$15,Paramètres!$A$1:$I$89,5,0)</f>
        <v>124.21655999999994</v>
      </c>
      <c r="EL52" s="13">
        <f t="shared" si="45"/>
        <v>32.656457317237347</v>
      </c>
      <c r="EM52" s="20">
        <f t="shared" si="19"/>
        <v>273.220505160855</v>
      </c>
      <c r="EN52" s="59">
        <f t="shared" si="20"/>
        <v>566.55383849418831</v>
      </c>
      <c r="EO52" s="59">
        <f ca="1">AVERAGE(OFFSET($EN$3,0,0,'Données projet'!$E$15+1,1))-AVERAGE(OFFSET($H$3,0,0,'Données projet'!$E$15+1,1))</f>
        <v>219.76574638403434</v>
      </c>
      <c r="EP52" s="59">
        <f t="shared" si="46"/>
        <v>92.286636088269972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2.5223409180092515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2.5223409180092515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10.5</v>
      </c>
      <c r="FE52" s="12">
        <f>IF('Données projet'!$A$218&gt;35,FE51+FD52-FM51,IF(A52&lt;'Données projet'!$A$218,$FB$205^A52,IF(A52='Données projet'!$A$218,'Données projet'!$B$218,FE51+FD52-FM51)))</f>
        <v>244.5</v>
      </c>
      <c r="FF52" s="17">
        <f>FE52*VLOOKUP('Données projet'!$B$16,Paramètres!$A$1:$I$89,3,0)*VLOOKUP('Données projet'!$B$16,Paramètres!$A$1:$I$89,5,0)</f>
        <v>114.426</v>
      </c>
      <c r="FG52" s="13">
        <f t="shared" si="47"/>
        <v>30.371378515374175</v>
      </c>
      <c r="FH52" s="20">
        <f t="shared" si="22"/>
        <v>252.18876758094336</v>
      </c>
      <c r="FI52" s="59">
        <f t="shared" si="23"/>
        <v>545.52210091427673</v>
      </c>
      <c r="FJ52" s="59">
        <f ca="1">AVERAGE(OFFSET($FI$3,0,0,'Données projet'!$E$16+1,1))-AVERAGE(OFFSET($H$3,0,0,'Données projet'!$E$16+1,1))</f>
        <v>86.164294406232727</v>
      </c>
      <c r="FK52" s="59">
        <f t="shared" si="48"/>
        <v>138.91188401562334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7.5670074492396537</v>
      </c>
      <c r="FR52" s="21">
        <f>EXP(-LN(2)/25)*FR51+(1-EXP(-LN(2)/25))/(LN(2)/25)*Calculateur!FM52*Calculateur!FO52*VLOOKUP('Données projet'!$B$16,Paramètres!$A$1:$I$89,3,0)*0.475*44/12</f>
        <v>11.493903797273708</v>
      </c>
      <c r="FS52" s="21">
        <f>EXP(-LN(2)/2)*FS51+(1-EXP(-LN(2)/2))/(LN(2)/2)*FM52*FP52*VLOOKUP('Données projet'!$B$16,Paramètres!$A$1:$I$89,3,0)*0.475*44/12</f>
        <v>0.3809054330919811</v>
      </c>
      <c r="FT52" s="22">
        <f t="shared" si="24"/>
        <v>19.441816679605346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150.21793637331223</v>
      </c>
      <c r="T53" s="59">
        <f t="shared" si="34"/>
        <v>364.59164590134486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71.759495981081656</v>
      </c>
      <c r="AA53" s="21">
        <f>EXP(-LN(2)/25)*AA52+(1-EXP(-LN(2)/25))/(LN(2)/25)*Calculateur!V53*Calculateur!X53*VLOOKUP('Données projet'!$B$9,Paramètres!$A$1:$I$89,3,0)*0.475*44/12</f>
        <v>12.93616997732234</v>
      </c>
      <c r="AB53" s="21">
        <f>EXP(-LN(2)/2)*AB52+(1-EXP(-LN(2)/2))/(LN(2)/2)*V53*Y53*VLOOKUP('Données projet'!$B$9,Paramètres!$A$1:$I$89,3,0)*0.475*44/12</f>
        <v>1.8901739634963721E-2</v>
      </c>
      <c r="AC53" s="22">
        <f t="shared" si="3"/>
        <v>84.714567698038962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121</v>
      </c>
      <c r="AG53" s="12">
        <f>VLOOKUP(A53,'Données projet'!$A$61:$I$81,9,0)</f>
        <v>5.6</v>
      </c>
      <c r="AH53" s="12">
        <f t="array" ref="AH53">INDEX(AG:AG,MIN(IF(ISNUMBER(AG53:AG249),ROW(AG53:AG249),"")))</f>
        <v>5.6</v>
      </c>
      <c r="AI53" s="13">
        <f>IF('Données projet'!$A$62&gt;35,AI52+AH53-AQ52,IF(A53&lt;'Données projet'!$A$62,$AF$205^A53,IF(A53='Données projet'!$A$62,'Données projet'!$B$62,AI52+AH53-AQ52)))</f>
        <v>120.99999999999996</v>
      </c>
      <c r="AJ53" s="13">
        <f>AI53*VLOOKUP('Données projet'!$B$10,Paramètres!$A$1:$I$89,3,0)*VLOOKUP('Données projet'!$B$10,Paramètres!$A$1:$I$89,5,0)</f>
        <v>132.13199999999995</v>
      </c>
      <c r="AK53" s="13">
        <f t="shared" si="35"/>
        <v>34.488534562859115</v>
      </c>
      <c r="AL53" s="20">
        <f t="shared" si="4"/>
        <v>290.19743103031283</v>
      </c>
      <c r="AM53" s="59">
        <f t="shared" si="5"/>
        <v>583.53076436364609</v>
      </c>
      <c r="AN53" s="59">
        <f ca="1">AVERAGE(OFFSET($AM$3,0,0,'Données projet'!$E$10+1,1))-AVERAGE(OFFSET($H$3,0,0,'Données projet'!$E$10+1,1))</f>
        <v>223.92539057016376</v>
      </c>
      <c r="AO53" s="59">
        <f t="shared" si="36"/>
        <v>94.125825809616856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14</v>
      </c>
      <c r="AR53" s="16">
        <f>IF(ISNA(VLOOKUP(A53,'Données projet'!$A$61:$I$81,5,0)),0%,VLOOKUP(A53,'Données projet'!$A$61:$I$81,5,0)*VLOOKUP('Données projet'!$B$10,Paramètres!$A$1:$I$89,7,0))</f>
        <v>8.6000000000000007E-2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3.9621552622160339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3.9621552622160339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121</v>
      </c>
      <c r="BB53" s="12">
        <f>VLOOKUP(A53,'Données projet'!$A$87:$I$107,9,0)</f>
        <v>5.6</v>
      </c>
      <c r="BC53" s="12">
        <f t="array" ref="BC53">INDEX(BB:BB,MIN(IF(ISNUMBER(BB53:BB249),ROW(BB53:BB249),"")))</f>
        <v>5.6</v>
      </c>
      <c r="BD53" s="12">
        <f>IF('Données projet'!$A$88&gt;35,BD52+BC53-BL52,IF(A53&lt;'Données projet'!$A$88,$BA$205^A53,IF(A53='Données projet'!$A$88,'Données projet'!$B$88,BD52+BC53-BL52)))</f>
        <v>120.99999999999996</v>
      </c>
      <c r="BE53" s="13">
        <f>BD53*VLOOKUP('Données projet'!$B$11,Paramètres!$A$1:$I$89,3,0)*VLOOKUP('Données projet'!$B$11,Paramètres!$A$1:$I$89,5,0)</f>
        <v>137.79479999999995</v>
      </c>
      <c r="BF53" s="13">
        <f t="shared" si="37"/>
        <v>35.79135928840963</v>
      </c>
      <c r="BG53" s="20">
        <f t="shared" si="7"/>
        <v>302.32922742731336</v>
      </c>
      <c r="BH53" s="59">
        <f t="shared" si="8"/>
        <v>595.66256076064667</v>
      </c>
      <c r="BI53" s="59">
        <f ca="1">AVERAGE(OFFSET($BH$3,0,0,'Données projet'!$E$11+1,1))-AVERAGE(OFFSET($H$3,0,0,'Données projet'!$E$11+1,1))</f>
        <v>236.39682613502913</v>
      </c>
      <c r="BJ53" s="59">
        <f t="shared" si="38"/>
        <v>99.639724892155641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14</v>
      </c>
      <c r="BM53" s="16">
        <f>IF(ISNA(VLOOKUP(A53,'Données projet'!$A$87:$I$107,5,0)),0%,VLOOKUP(A53,'Données projet'!$A$87:$I$107,5,0)*VLOOKUP('Données projet'!$B$11,Paramètres!$A$1:$I$89,7,0))</f>
        <v>8.6000000000000007E-2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4.1319619163110071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4.1319619163110071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121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120.99999999999996</v>
      </c>
      <c r="CU53" s="17">
        <f>CT53*VLOOKUP('Données projet'!$B$13,Paramètres!$A$1:$I$89,3,0)*VLOOKUP('Données projet'!$B$13,Paramètres!$A$1:$I$89,5,0)</f>
        <v>101.93039999999996</v>
      </c>
      <c r="CV53" s="13">
        <f t="shared" si="41"/>
        <v>27.421375718582158</v>
      </c>
      <c r="CW53" s="20">
        <f t="shared" si="13"/>
        <v>225.28767604319719</v>
      </c>
      <c r="CX53" s="59">
        <f t="shared" si="14"/>
        <v>518.62100937653054</v>
      </c>
      <c r="CY53" s="59">
        <f ca="1">AVERAGE(OFFSET($CX$3,0,0,'Données projet'!$E$13+1,1))-AVERAGE(OFFSET($H$3,0,0,'Données projet'!$E$13+1,1))</f>
        <v>157.20393815370375</v>
      </c>
      <c r="CZ53" s="59">
        <f t="shared" si="42"/>
        <v>64.616965816756363</v>
      </c>
      <c r="DA53" s="15">
        <f>IF(ISNA(VLOOKUP(A53,'Données projet'!$A$139:$I$159,3,0)),0,VLOOKUP(A53,'Données projet'!$A$139:$I$159,3,0))</f>
        <v>6</v>
      </c>
      <c r="DB53" s="15">
        <f>IF(ISNA(VLOOKUP(A53,'Données projet'!$A$139:$I$159,4,0)),0,VLOOKUP(A53,'Données projet'!$A$139:$I$159,4,0))</f>
        <v>14</v>
      </c>
      <c r="DC53" s="16">
        <f>IF(ISNA(VLOOKUP(A53,'Données projet'!$A$139:$I$159,5,0)),0%,VLOOKUP(A53,'Données projet'!$A$139:$I$159,5,0)*VLOOKUP('Données projet'!$B$13,Paramètres!$A$1:$I$89,7,0))</f>
        <v>8.6000000000000007E-2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3.0565197737095122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3.0565197737095122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261</v>
      </c>
      <c r="DM53" s="12">
        <f>VLOOKUP(A53,'Données projet'!$A$165:$I$185,9,0)</f>
        <v>8.6</v>
      </c>
      <c r="DN53" s="12">
        <f t="array" ref="DN53">INDEX(DM:DM,MIN(IF(ISNUMBER(DM53:DM249),ROW(DM53:DM249),"")))</f>
        <v>8.6</v>
      </c>
      <c r="DO53" s="12">
        <f>IF('Données projet'!$A$166&gt;35,DO52+DN53-DW52,IF(A53&lt;'Données projet'!$A$166,$DL$205^A53,IF(A53='Données projet'!$A$166,'Données projet'!$B$166,DO52+DN53-DW52)))</f>
        <v>261.00000000000006</v>
      </c>
      <c r="DP53" s="17">
        <f>DO53*VLOOKUP('Données projet'!$B$14,Paramètres!$A$1:$I$89,3,0)*VLOOKUP('Données projet'!$B$14,Paramètres!$A$1:$I$89,5,0)</f>
        <v>211.72320000000005</v>
      </c>
      <c r="DQ53" s="13">
        <f t="shared" si="43"/>
        <v>52.31196896421207</v>
      </c>
      <c r="DR53" s="20">
        <f t="shared" si="16"/>
        <v>459.86125261266943</v>
      </c>
      <c r="DS53" s="59">
        <f t="shared" si="17"/>
        <v>753.19458594600269</v>
      </c>
      <c r="DT53" s="59">
        <f ca="1">AVERAGE(OFFSET($DS$3,0,0,'Données projet'!$E$14+1,1))-AVERAGE(OFFSET($H$3,0,0,'Données projet'!$E$14+1,1))</f>
        <v>221.78186926953776</v>
      </c>
      <c r="DU53" s="59">
        <f t="shared" si="44"/>
        <v>276.69392352410654</v>
      </c>
      <c r="DV53" s="15">
        <f>IF(ISNA(VLOOKUP(A53,'Données projet'!$A$165:$I$185,3,0)),0,VLOOKUP(A53,'Données projet'!$A$165:$I$185,3,0))</f>
        <v>9</v>
      </c>
      <c r="DW53" s="15">
        <f>IF(ISNA(VLOOKUP(A53,'Données projet'!$A$165:$I$185,4,0)),0,VLOOKUP(A53,'Données projet'!$A$165:$I$185,4,0))</f>
        <v>19</v>
      </c>
      <c r="DX53" s="16">
        <f>IF(ISNA(VLOOKUP(A53,'Données projet'!$A$165:$I$185,5,0)),0%,VLOOKUP(A53,'Données projet'!$A$165:$I$185,5,0)*VLOOKUP('Données projet'!$B$14,Paramètres!$A$1:$I$89,7,0))</f>
        <v>0.25800000000000001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20.393675356569631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20.393675356569631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121</v>
      </c>
      <c r="EH53" s="12">
        <f>VLOOKUP(A53,'Données projet'!$A$191:$I$211,9,0)</f>
        <v>5.6</v>
      </c>
      <c r="EI53" s="12">
        <f t="array" ref="EI53">INDEX(EH:EH,MIN(IF(ISNUMBER(EH53:EH249),ROW(EH53:EH249),"")))</f>
        <v>5.6</v>
      </c>
      <c r="EJ53" s="12">
        <f>IF('Données projet'!$A$192&gt;35,EJ52+EI53-ER52,IF(A53&lt;'Données projet'!$A$192,$EG$205^A53,IF(A53='Données projet'!$A$192,'Données projet'!$B$192,EJ52+EI53-ER52)))</f>
        <v>120.99999999999996</v>
      </c>
      <c r="EK53" s="17">
        <f>EJ53*VLOOKUP('Données projet'!$B$15,Paramètres!$A$1:$I$89,3,0)*VLOOKUP('Données projet'!$B$15,Paramètres!$A$1:$I$89,5,0)</f>
        <v>130.24439999999996</v>
      </c>
      <c r="EL53" s="13">
        <f t="shared" si="45"/>
        <v>34.052826821785409</v>
      </c>
      <c r="EM53" s="20">
        <f t="shared" si="19"/>
        <v>286.1510033812761</v>
      </c>
      <c r="EN53" s="59">
        <f t="shared" si="20"/>
        <v>579.48433671460941</v>
      </c>
      <c r="EO53" s="59">
        <f ca="1">AVERAGE(OFFSET($EN$3,0,0,'Données projet'!$E$15+1,1))-AVERAGE(OFFSET($H$3,0,0,'Données projet'!$E$15+1,1))</f>
        <v>219.76574638403434</v>
      </c>
      <c r="EP53" s="59">
        <f t="shared" si="46"/>
        <v>92.286636088269972</v>
      </c>
      <c r="EQ53" s="15">
        <f>IF(ISNA(VLOOKUP(A53,'Données projet'!$A$191:$I$211,3,0)),0,VLOOKUP(A53,'Données projet'!$A$191:$I$211,3,0))</f>
        <v>6</v>
      </c>
      <c r="ER53" s="15">
        <f>IF(ISNA(VLOOKUP(A53,'Données projet'!$A$191:$I$211,4,0)),0,VLOOKUP(A53,'Données projet'!$A$191:$I$211,4,0))</f>
        <v>14</v>
      </c>
      <c r="ES53" s="16">
        <f>IF(ISNA(VLOOKUP(A53,'Données projet'!$A$191:$I$211,5,0)),0%,VLOOKUP(A53,'Données projet'!$A$191:$I$211,5,0)*VLOOKUP('Données projet'!$B$15,Paramètres!$A$1:$I$89,7,0))</f>
        <v>8.6000000000000007E-2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3.9055530441843764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3.9055530441843764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255</v>
      </c>
      <c r="FC53" s="12">
        <f>VLOOKUP(A53,'Données projet'!$A$217:$I$237,9,0)</f>
        <v>10.5</v>
      </c>
      <c r="FD53" s="12">
        <f t="array" ref="FD53">INDEX(FC:FC,MIN(IF(ISNUMBER(FC53:FC249),ROW(FC53:FC249),"")))</f>
        <v>10.5</v>
      </c>
      <c r="FE53" s="12">
        <f>IF('Données projet'!$A$218&gt;35,FE52+FD53-FM52,IF(A53&lt;'Données projet'!$A$218,$FB$205^A53,IF(A53='Données projet'!$A$218,'Données projet'!$B$218,FE52+FD53-FM52)))</f>
        <v>255</v>
      </c>
      <c r="FF53" s="17">
        <f>FE53*VLOOKUP('Données projet'!$B$16,Paramètres!$A$1:$I$89,3,0)*VLOOKUP('Données projet'!$B$16,Paramètres!$A$1:$I$89,5,0)</f>
        <v>119.34</v>
      </c>
      <c r="FG53" s="13">
        <f t="shared" si="47"/>
        <v>31.521015757082463</v>
      </c>
      <c r="FH53" s="20">
        <f t="shared" si="22"/>
        <v>262.74960244358527</v>
      </c>
      <c r="FI53" s="59">
        <f t="shared" si="23"/>
        <v>556.08293577691859</v>
      </c>
      <c r="FJ53" s="59">
        <f ca="1">AVERAGE(OFFSET($FI$3,0,0,'Données projet'!$E$16+1,1))-AVERAGE(OFFSET($H$3,0,0,'Données projet'!$E$16+1,1))</f>
        <v>86.164294406232727</v>
      </c>
      <c r="FK53" s="59">
        <f t="shared" si="48"/>
        <v>138.91188401562334</v>
      </c>
      <c r="FL53" s="15">
        <f>IF(ISNA(VLOOKUP(A53,'Données projet'!$A$217:$I$237,3,0)),0,VLOOKUP(A53,'Données projet'!$A$217:$I$237,3,0))</f>
        <v>3</v>
      </c>
      <c r="FM53" s="15">
        <f>IF(ISNA(VLOOKUP(A53,'Données projet'!$A$217:$I$237,4,0)),0,VLOOKUP(A53,'Données projet'!$A$217:$I$237,4,0))</f>
        <v>50</v>
      </c>
      <c r="FN53" s="16">
        <f>IF(ISNA(VLOOKUP(A53,'Données projet'!$A$217:$I$237,5,0)),0%,VLOOKUP(A53,'Données projet'!$A$217:$I$237,5,0)*VLOOKUP('Données projet'!$B$16,Paramètres!$A$1:$I$89,7,0))</f>
        <v>0.22000000000000003</v>
      </c>
      <c r="FO53" s="16">
        <f>IF(ISNA(VLOOKUP(A53,'Données projet'!$A$217:$I$237,6,0)),0%,VLOOKUP(A53,'Données projet'!$A$217:$I$237,6,0)*VLOOKUP('Données projet'!$B$16,Paramètres!$A$1:$I$89,7,0))</f>
        <v>0.18700000000000003</v>
      </c>
      <c r="FP53" s="16">
        <f>IF(ISNA(VLOOKUP(A53,'Données projet'!$A$217:$I$237,7,0)),0%,VLOOKUP(A53,'Données projet'!$A$217:$I$237,7,0))</f>
        <v>0.26</v>
      </c>
      <c r="FQ53" s="21">
        <f>EXP(-LN(2)/35)*FQ52+(1-EXP(-LN(2)/35))/(LN(2)/35)*FM53*FN53*VLOOKUP('Données projet'!$B$16,Paramètres!$A$1:$I$89,3,0)*0.475*44/12</f>
        <v>14.247776865181628</v>
      </c>
      <c r="FR53" s="21">
        <f>EXP(-LN(2)/25)*FR52+(1-EXP(-LN(2)/25))/(LN(2)/25)*Calculateur!FM53*Calculateur!FO53*VLOOKUP('Données projet'!$B$16,Paramètres!$A$1:$I$89,3,0)*0.475*44/12</f>
        <v>16.961527504027032</v>
      </c>
      <c r="FS53" s="21">
        <f>EXP(-LN(2)/2)*FS52+(1-EXP(-LN(2)/2))/(LN(2)/2)*FM53*FP53*VLOOKUP('Données projet'!$B$16,Paramètres!$A$1:$I$89,3,0)*0.475*44/12</f>
        <v>7.1578421128811556</v>
      </c>
      <c r="FT53" s="22">
        <f t="shared" si="24"/>
        <v>38.367146482089815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150.21793637331223</v>
      </c>
      <c r="T54" s="59">
        <f t="shared" si="34"/>
        <v>364.59164590134486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70.352336033863367</v>
      </c>
      <c r="AA54" s="21">
        <f>EXP(-LN(2)/25)*AA53+(1-EXP(-LN(2)/25))/(LN(2)/25)*Calculateur!V54*Calculateur!X54*VLOOKUP('Données projet'!$B$9,Paramètres!$A$1:$I$89,3,0)*0.475*44/12</f>
        <v>12.582429729008847</v>
      </c>
      <c r="AB54" s="21">
        <f>EXP(-LN(2)/2)*AB53+(1-EXP(-LN(2)/2))/(LN(2)/2)*V54*Y54*VLOOKUP('Données projet'!$B$9,Paramètres!$A$1:$I$89,3,0)*0.475*44/12</f>
        <v>1.3365548272105385E-2</v>
      </c>
      <c r="AC54" s="22">
        <f t="shared" si="3"/>
        <v>82.948131311144323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5.6</v>
      </c>
      <c r="AI54" s="13">
        <f>IF('Données projet'!$A$62&gt;35,AI53+AH54-AQ53,IF(A54&lt;'Données projet'!$A$62,$AF$205^A54,IF(A54='Données projet'!$A$62,'Données projet'!$B$62,AI53+AH54-AQ53)))</f>
        <v>112.59999999999995</v>
      </c>
      <c r="AJ54" s="13">
        <f>AI54*VLOOKUP('Données projet'!$B$10,Paramètres!$A$1:$I$89,3,0)*VLOOKUP('Données projet'!$B$10,Paramètres!$A$1:$I$89,5,0)</f>
        <v>122.95919999999995</v>
      </c>
      <c r="AK54" s="13">
        <f t="shared" si="35"/>
        <v>32.364202510408994</v>
      </c>
      <c r="AL54" s="20">
        <f t="shared" si="4"/>
        <v>270.5215927056289</v>
      </c>
      <c r="AM54" s="59">
        <f t="shared" si="5"/>
        <v>563.85492603896228</v>
      </c>
      <c r="AN54" s="59">
        <f ca="1">AVERAGE(OFFSET($AM$3,0,0,'Données projet'!$E$10+1,1))-AVERAGE(OFFSET($H$3,0,0,'Données projet'!$E$10+1,1))</f>
        <v>223.92539057016376</v>
      </c>
      <c r="AO54" s="59">
        <f t="shared" si="36"/>
        <v>94.125825809616856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3.8844598142000604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3.8844598142000604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5.6</v>
      </c>
      <c r="BD54" s="12">
        <f>IF('Données projet'!$A$88&gt;35,BD53+BC54-BL53,IF(A54&lt;'Données projet'!$A$88,$BA$205^A54,IF(A54='Données projet'!$A$88,'Données projet'!$B$88,BD53+BC54-BL53)))</f>
        <v>112.59999999999995</v>
      </c>
      <c r="BE54" s="13">
        <f>BD54*VLOOKUP('Données projet'!$B$11,Paramètres!$A$1:$I$89,3,0)*VLOOKUP('Données projet'!$B$11,Paramètres!$A$1:$I$89,5,0)</f>
        <v>128.22887999999995</v>
      </c>
      <c r="BF54" s="13">
        <f t="shared" si="37"/>
        <v>33.586779340295337</v>
      </c>
      <c r="BG54" s="20">
        <f t="shared" si="7"/>
        <v>281.82894001768091</v>
      </c>
      <c r="BH54" s="59">
        <f t="shared" si="8"/>
        <v>575.16227335101416</v>
      </c>
      <c r="BI54" s="59">
        <f ca="1">AVERAGE(OFFSET($BH$3,0,0,'Données projet'!$E$11+1,1))-AVERAGE(OFFSET($H$3,0,0,'Données projet'!$E$11+1,1))</f>
        <v>236.39682613502913</v>
      </c>
      <c r="BJ54" s="59">
        <f t="shared" si="38"/>
        <v>99.639724892155641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4.050936663380063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4.050936663380063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5.6</v>
      </c>
      <c r="CT54" s="12">
        <f>IF('Données projet'!$A$140&gt;35,CT53+CS54-DB53,IF(A54&lt;'Données projet'!$A$140,$CQ$205^A54,IF(A54='Données projet'!$A$140,'Données projet'!$B$140,CT53+CS54-DB53)))</f>
        <v>112.59999999999995</v>
      </c>
      <c r="CU54" s="17">
        <f>CT54*VLOOKUP('Données projet'!$B$13,Paramètres!$A$1:$I$89,3,0)*VLOOKUP('Données projet'!$B$13,Paramètres!$A$1:$I$89,5,0)</f>
        <v>94.854239999999976</v>
      </c>
      <c r="CV54" s="13">
        <f t="shared" si="41"/>
        <v>25.732347521252095</v>
      </c>
      <c r="CW54" s="20">
        <f t="shared" si="13"/>
        <v>210.02163993284736</v>
      </c>
      <c r="CX54" s="59">
        <f t="shared" si="14"/>
        <v>503.35497326618065</v>
      </c>
      <c r="CY54" s="59">
        <f ca="1">AVERAGE(OFFSET($CX$3,0,0,'Données projet'!$E$13+1,1))-AVERAGE(OFFSET($H$3,0,0,'Données projet'!$E$13+1,1))</f>
        <v>157.20393815370375</v>
      </c>
      <c r="CZ54" s="59">
        <f t="shared" si="42"/>
        <v>64.616965816756363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2.9965832852400469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2.9965832852400469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7.4</v>
      </c>
      <c r="DO54" s="12">
        <f>IF('Données projet'!$A$166&gt;35,DO53+DN54-DW53,IF(A54&lt;'Données projet'!$A$166,$DL$205^A54,IF(A54='Données projet'!$A$166,'Données projet'!$B$166,DO53+DN54-DW53)))</f>
        <v>249.40000000000003</v>
      </c>
      <c r="DP54" s="17">
        <f>DO54*VLOOKUP('Données projet'!$B$14,Paramètres!$A$1:$I$89,3,0)*VLOOKUP('Données projet'!$B$14,Paramètres!$A$1:$I$89,5,0)</f>
        <v>202.31328000000002</v>
      </c>
      <c r="DQ54" s="13">
        <f t="shared" si="43"/>
        <v>50.25221588808207</v>
      </c>
      <c r="DR54" s="20">
        <f t="shared" si="16"/>
        <v>439.88490533840962</v>
      </c>
      <c r="DS54" s="59">
        <f t="shared" si="17"/>
        <v>733.21823867174294</v>
      </c>
      <c r="DT54" s="59">
        <f ca="1">AVERAGE(OFFSET($DS$3,0,0,'Données projet'!$E$14+1,1))-AVERAGE(OFFSET($H$3,0,0,'Données projet'!$E$14+1,1))</f>
        <v>221.78186926953776</v>
      </c>
      <c r="DU54" s="59">
        <f t="shared" si="44"/>
        <v>276.69392352410654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19.993767821741027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19.993767821741027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5.6</v>
      </c>
      <c r="EJ54" s="12">
        <f>IF('Données projet'!$A$192&gt;35,EJ53+EI54-ER53,IF(A54&lt;'Données projet'!$A$192,$EG$205^A54,IF(A54='Données projet'!$A$192,'Données projet'!$B$192,EJ53+EI54-ER53)))</f>
        <v>112.59999999999995</v>
      </c>
      <c r="EK54" s="17">
        <f>EJ54*VLOOKUP('Données projet'!$B$15,Paramètres!$A$1:$I$89,3,0)*VLOOKUP('Données projet'!$B$15,Paramètres!$A$1:$I$89,5,0)</f>
        <v>121.20263999999995</v>
      </c>
      <c r="EL54" s="13">
        <f t="shared" si="45"/>
        <v>31.955332323658638</v>
      </c>
      <c r="EM54" s="20">
        <f t="shared" si="19"/>
        <v>266.75013513037203</v>
      </c>
      <c r="EN54" s="59">
        <f t="shared" si="20"/>
        <v>560.08346846370534</v>
      </c>
      <c r="EO54" s="59">
        <f ca="1">AVERAGE(OFFSET($EN$3,0,0,'Données projet'!$E$15+1,1))-AVERAGE(OFFSET($H$3,0,0,'Données projet'!$E$15+1,1))</f>
        <v>219.76574638403434</v>
      </c>
      <c r="EP54" s="59">
        <f t="shared" si="46"/>
        <v>92.286636088269972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3.8289675311400599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3.8289675311400599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9.5</v>
      </c>
      <c r="FE54" s="12">
        <f>IF('Données projet'!$A$218&gt;35,FE53+FD54-FM53,IF(A54&lt;'Données projet'!$A$218,$FB$205^A54,IF(A54='Données projet'!$A$218,'Données projet'!$B$218,FE53+FD54-FM53)))</f>
        <v>214.5</v>
      </c>
      <c r="FF54" s="17">
        <f>FE54*VLOOKUP('Données projet'!$B$16,Paramètres!$A$1:$I$89,3,0)*VLOOKUP('Données projet'!$B$16,Paramètres!$A$1:$I$89,5,0)</f>
        <v>100.386</v>
      </c>
      <c r="FG54" s="13">
        <f t="shared" si="47"/>
        <v>27.05393609634266</v>
      </c>
      <c r="FH54" s="20">
        <f t="shared" si="22"/>
        <v>221.95788870113009</v>
      </c>
      <c r="FI54" s="59">
        <f t="shared" si="23"/>
        <v>515.29122203446343</v>
      </c>
      <c r="FJ54" s="59">
        <f ca="1">AVERAGE(OFFSET($FI$3,0,0,'Données projet'!$E$16+1,1))-AVERAGE(OFFSET($H$3,0,0,'Données projet'!$E$16+1,1))</f>
        <v>86.164294406232727</v>
      </c>
      <c r="FK54" s="59">
        <f t="shared" si="48"/>
        <v>138.91188401562334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13.968386651141209</v>
      </c>
      <c r="FR54" s="21">
        <f>EXP(-LN(2)/25)*FR53+(1-EXP(-LN(2)/25))/(LN(2)/25)*Calculateur!FM54*Calculateur!FO54*VLOOKUP('Données projet'!$B$16,Paramètres!$A$1:$I$89,3,0)*0.475*44/12</f>
        <v>16.497713642461449</v>
      </c>
      <c r="FS54" s="21">
        <f>EXP(-LN(2)/2)*FS53+(1-EXP(-LN(2)/2))/(LN(2)/2)*FM54*FP54*VLOOKUP('Données projet'!$B$16,Paramètres!$A$1:$I$89,3,0)*0.475*44/12</f>
        <v>5.0613586966809105</v>
      </c>
      <c r="FT54" s="22">
        <f t="shared" si="24"/>
        <v>35.52745899028357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150.21793637331223</v>
      </c>
      <c r="T55" s="59">
        <f t="shared" si="34"/>
        <v>364.59164590134486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68.972769634927204</v>
      </c>
      <c r="AA55" s="21">
        <f>EXP(-LN(2)/25)*AA54+(1-EXP(-LN(2)/25))/(LN(2)/25)*Calculateur!V55*Calculateur!X55*VLOOKUP('Données projet'!$B$9,Paramètres!$A$1:$I$89,3,0)*0.475*44/12</f>
        <v>12.238362526387878</v>
      </c>
      <c r="AB55" s="21">
        <f>EXP(-LN(2)/2)*AB54+(1-EXP(-LN(2)/2))/(LN(2)/2)*V55*Y55*VLOOKUP('Données projet'!$B$9,Paramètres!$A$1:$I$89,3,0)*0.475*44/12</f>
        <v>9.4508698174818606E-3</v>
      </c>
      <c r="AC55" s="22">
        <f t="shared" si="3"/>
        <v>81.220583031132563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5.6</v>
      </c>
      <c r="AI55" s="13">
        <f>IF('Données projet'!$A$62&gt;35,AI54+AH55-AQ54,IF(A55&lt;'Données projet'!$A$62,$AF$205^A55,IF(A55='Données projet'!$A$62,'Données projet'!$B$62,AI54+AH55-AQ54)))</f>
        <v>118.19999999999995</v>
      </c>
      <c r="AJ55" s="13">
        <f>AI55*VLOOKUP('Données projet'!$B$10,Paramètres!$A$1:$I$89,3,0)*VLOOKUP('Données projet'!$B$10,Paramètres!$A$1:$I$89,5,0)</f>
        <v>129.07439999999994</v>
      </c>
      <c r="AK55" s="13">
        <f t="shared" si="35"/>
        <v>33.782391484889324</v>
      </c>
      <c r="AL55" s="20">
        <f t="shared" si="4"/>
        <v>283.64224516951543</v>
      </c>
      <c r="AM55" s="59">
        <f t="shared" si="5"/>
        <v>576.97557850284875</v>
      </c>
      <c r="AN55" s="59">
        <f ca="1">AVERAGE(OFFSET($AM$3,0,0,'Données projet'!$E$10+1,1))-AVERAGE(OFFSET($H$3,0,0,'Données projet'!$E$10+1,1))</f>
        <v>223.92539057016376</v>
      </c>
      <c r="AO55" s="59">
        <f t="shared" si="36"/>
        <v>94.125825809616856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3.8082879265301361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3.8082879265301361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5.6</v>
      </c>
      <c r="BD55" s="12">
        <f>IF('Données projet'!$A$88&gt;35,BD54+BC55-BL54,IF(A55&lt;'Données projet'!$A$88,$BA$205^A55,IF(A55='Données projet'!$A$88,'Données projet'!$B$88,BD54+BC55-BL54)))</f>
        <v>118.19999999999995</v>
      </c>
      <c r="BE55" s="13">
        <f>BD55*VLOOKUP('Données projet'!$B$11,Paramètres!$A$1:$I$89,3,0)*VLOOKUP('Données projet'!$B$11,Paramètres!$A$1:$I$89,5,0)</f>
        <v>134.60615999999993</v>
      </c>
      <c r="BF55" s="13">
        <f t="shared" si="37"/>
        <v>35.058541239368552</v>
      </c>
      <c r="BG55" s="20">
        <f t="shared" si="7"/>
        <v>295.49935465856674</v>
      </c>
      <c r="BH55" s="59">
        <f t="shared" si="8"/>
        <v>588.8326879919</v>
      </c>
      <c r="BI55" s="59">
        <f ca="1">AVERAGE(OFFSET($BH$3,0,0,'Données projet'!$E$11+1,1))-AVERAGE(OFFSET($H$3,0,0,'Données projet'!$E$11+1,1))</f>
        <v>236.39682613502913</v>
      </c>
      <c r="BJ55" s="59">
        <f t="shared" si="38"/>
        <v>99.639724892155641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3.9715002662385706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3.9715002662385706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5.6</v>
      </c>
      <c r="CT55" s="12">
        <f>IF('Données projet'!$A$140&gt;35,CT54+CS55-DB54,IF(A55&lt;'Données projet'!$A$140,$CQ$205^A55,IF(A55='Données projet'!$A$140,'Données projet'!$B$140,CT54+CS55-DB54)))</f>
        <v>118.19999999999995</v>
      </c>
      <c r="CU55" s="17">
        <f>CT55*VLOOKUP('Données projet'!$B$13,Paramètres!$A$1:$I$89,3,0)*VLOOKUP('Données projet'!$B$13,Paramètres!$A$1:$I$89,5,0)</f>
        <v>99.571679999999958</v>
      </c>
      <c r="CV55" s="13">
        <f t="shared" si="41"/>
        <v>26.859930737010252</v>
      </c>
      <c r="CW55" s="20">
        <f t="shared" si="13"/>
        <v>220.20172203362608</v>
      </c>
      <c r="CX55" s="59">
        <f t="shared" si="14"/>
        <v>513.53505536695934</v>
      </c>
      <c r="CY55" s="59">
        <f ca="1">AVERAGE(OFFSET($CX$3,0,0,'Données projet'!$E$13+1,1))-AVERAGE(OFFSET($H$3,0,0,'Données projet'!$E$13+1,1))</f>
        <v>157.20393815370375</v>
      </c>
      <c r="CZ55" s="59">
        <f t="shared" si="42"/>
        <v>64.616965816756363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2.9378221147518198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2.9378221147518198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7.4</v>
      </c>
      <c r="DO55" s="12">
        <f>IF('Données projet'!$A$166&gt;35,DO54+DN55-DW54,IF(A55&lt;'Données projet'!$A$166,$DL$205^A55,IF(A55='Données projet'!$A$166,'Données projet'!$B$166,DO54+DN55-DW54)))</f>
        <v>256.8</v>
      </c>
      <c r="DP55" s="17">
        <f>DO55*VLOOKUP('Données projet'!$B$14,Paramètres!$A$1:$I$89,3,0)*VLOOKUP('Données projet'!$B$14,Paramètres!$A$1:$I$89,5,0)</f>
        <v>208.31616</v>
      </c>
      <c r="DQ55" s="13">
        <f t="shared" si="43"/>
        <v>51.567452064520282</v>
      </c>
      <c r="DR55" s="20">
        <f t="shared" si="16"/>
        <v>452.63062434570611</v>
      </c>
      <c r="DS55" s="59">
        <f t="shared" si="17"/>
        <v>745.96395767903937</v>
      </c>
      <c r="DT55" s="59">
        <f ca="1">AVERAGE(OFFSET($DS$3,0,0,'Données projet'!$E$14+1,1))-AVERAGE(OFFSET($H$3,0,0,'Données projet'!$E$14+1,1))</f>
        <v>221.78186926953776</v>
      </c>
      <c r="DU55" s="59">
        <f t="shared" si="44"/>
        <v>276.69392352410654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19.601702229750902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19.601702229750902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5.6</v>
      </c>
      <c r="EJ55" s="12">
        <f>IF('Données projet'!$A$192&gt;35,EJ54+EI55-ER54,IF(A55&lt;'Données projet'!$A$192,$EG$205^A55,IF(A55='Données projet'!$A$192,'Données projet'!$B$192,EJ54+EI55-ER54)))</f>
        <v>118.19999999999995</v>
      </c>
      <c r="EK55" s="17">
        <f>EJ55*VLOOKUP('Données projet'!$B$15,Paramètres!$A$1:$I$89,3,0)*VLOOKUP('Données projet'!$B$15,Paramètres!$A$1:$I$89,5,0)</f>
        <v>127.23047999999993</v>
      </c>
      <c r="EL55" s="13">
        <f t="shared" si="45"/>
        <v>33.355604737684331</v>
      </c>
      <c r="EM55" s="20">
        <f t="shared" si="19"/>
        <v>279.68743091813337</v>
      </c>
      <c r="EN55" s="59">
        <f t="shared" si="20"/>
        <v>573.02076425146674</v>
      </c>
      <c r="EO55" s="59">
        <f ca="1">AVERAGE(OFFSET($EN$3,0,0,'Données projet'!$E$15+1,1))-AVERAGE(OFFSET($H$3,0,0,'Données projet'!$E$15+1,1))</f>
        <v>219.76574638403434</v>
      </c>
      <c r="EP55" s="59">
        <f t="shared" si="46"/>
        <v>92.286636088269972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3.7538838132939918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3.7538838132939918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9.5</v>
      </c>
      <c r="FE55" s="12">
        <f>IF('Données projet'!$A$218&gt;35,FE54+FD55-FM54,IF(A55&lt;'Données projet'!$A$218,$FB$205^A55,IF(A55='Données projet'!$A$218,'Données projet'!$B$218,FE54+FD55-FM54)))</f>
        <v>224</v>
      </c>
      <c r="FF55" s="17">
        <f>FE55*VLOOKUP('Données projet'!$B$16,Paramètres!$A$1:$I$89,3,0)*VLOOKUP('Données projet'!$B$16,Paramètres!$A$1:$I$89,5,0)</f>
        <v>104.83200000000001</v>
      </c>
      <c r="FG55" s="13">
        <f t="shared" si="47"/>
        <v>28.109974371137717</v>
      </c>
      <c r="FH55" s="20">
        <f t="shared" si="22"/>
        <v>231.54060536306486</v>
      </c>
      <c r="FI55" s="59">
        <f t="shared" si="23"/>
        <v>524.87393869639823</v>
      </c>
      <c r="FJ55" s="59">
        <f ca="1">AVERAGE(OFFSET($FI$3,0,0,'Données projet'!$E$16+1,1))-AVERAGE(OFFSET($H$3,0,0,'Données projet'!$E$16+1,1))</f>
        <v>86.164294406232727</v>
      </c>
      <c r="FK55" s="59">
        <f t="shared" si="48"/>
        <v>138.91188401562334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13.69447510878692</v>
      </c>
      <c r="FR55" s="21">
        <f>EXP(-LN(2)/25)*FR54+(1-EXP(-LN(2)/25))/(LN(2)/25)*Calculateur!FM55*Calculateur!FO55*VLOOKUP('Données projet'!$B$16,Paramètres!$A$1:$I$89,3,0)*0.475*44/12</f>
        <v>16.046582795331286</v>
      </c>
      <c r="FS55" s="21">
        <f>EXP(-LN(2)/2)*FS54+(1-EXP(-LN(2)/2))/(LN(2)/2)*FM55*FP55*VLOOKUP('Données projet'!$B$16,Paramètres!$A$1:$I$89,3,0)*0.475*44/12</f>
        <v>3.5789210564405782</v>
      </c>
      <c r="FT55" s="22">
        <f t="shared" si="24"/>
        <v>33.319978960558785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150.21793637331223</v>
      </c>
      <c r="T56" s="59">
        <f t="shared" si="34"/>
        <v>364.59164590134486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67.620255691621765</v>
      </c>
      <c r="AA56" s="21">
        <f>EXP(-LN(2)/25)*AA55+(1-EXP(-LN(2)/25))/(LN(2)/25)*Calculateur!V56*Calculateur!X56*VLOOKUP('Données projet'!$B$9,Paramètres!$A$1:$I$89,3,0)*0.475*44/12</f>
        <v>11.903703859516288</v>
      </c>
      <c r="AB56" s="21">
        <f>EXP(-LN(2)/2)*AB55+(1-EXP(-LN(2)/2))/(LN(2)/2)*V56*Y56*VLOOKUP('Données projet'!$B$9,Paramètres!$A$1:$I$89,3,0)*0.475*44/12</f>
        <v>6.6827741360526924E-3</v>
      </c>
      <c r="AC56" s="22">
        <f t="shared" si="3"/>
        <v>79.530642325274101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5.6</v>
      </c>
      <c r="AI56" s="13">
        <f>IF('Données projet'!$A$62&gt;35,AI55+AH56-AQ55,IF(A56&lt;'Données projet'!$A$62,$AF$205^A56,IF(A56='Données projet'!$A$62,'Données projet'!$B$62,AI55+AH56-AQ55)))</f>
        <v>123.79999999999994</v>
      </c>
      <c r="AJ56" s="13">
        <f>AI56*VLOOKUP('Données projet'!$B$10,Paramètres!$A$1:$I$89,3,0)*VLOOKUP('Données projet'!$B$10,Paramètres!$A$1:$I$89,5,0)</f>
        <v>135.18959999999993</v>
      </c>
      <c r="AK56" s="13">
        <f t="shared" si="35"/>
        <v>35.192777986644984</v>
      </c>
      <c r="AL56" s="20">
        <f t="shared" si="4"/>
        <v>296.74930832673988</v>
      </c>
      <c r="AM56" s="59">
        <f t="shared" si="5"/>
        <v>590.08264166007325</v>
      </c>
      <c r="AN56" s="59">
        <f ca="1">AVERAGE(OFFSET($AM$3,0,0,'Données projet'!$E$10+1,1))-AVERAGE(OFFSET($H$3,0,0,'Données projet'!$E$10+1,1))</f>
        <v>223.92539057016376</v>
      </c>
      <c r="AO56" s="59">
        <f t="shared" si="36"/>
        <v>94.125825809616856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3.7336097231171554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3.7336097231171554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5.6</v>
      </c>
      <c r="BD56" s="12">
        <f>IF('Données projet'!$A$88&gt;35,BD55+BC56-BL55,IF(A56&lt;'Données projet'!$A$88,$BA$205^A56,IF(A56='Données projet'!$A$88,'Données projet'!$B$88,BD55+BC56-BL55)))</f>
        <v>123.79999999999994</v>
      </c>
      <c r="BE56" s="13">
        <f>BD56*VLOOKUP('Données projet'!$B$11,Paramètres!$A$1:$I$89,3,0)*VLOOKUP('Données projet'!$B$11,Paramètres!$A$1:$I$89,5,0)</f>
        <v>140.98343999999994</v>
      </c>
      <c r="BF56" s="13">
        <f t="shared" si="37"/>
        <v>36.522205922710093</v>
      </c>
      <c r="BG56" s="20">
        <f t="shared" si="7"/>
        <v>309.15566664872</v>
      </c>
      <c r="BH56" s="59">
        <f t="shared" si="8"/>
        <v>602.48899998205331</v>
      </c>
      <c r="BI56" s="59">
        <f ca="1">AVERAGE(OFFSET($BH$3,0,0,'Données projet'!$E$11+1,1))-AVERAGE(OFFSET($H$3,0,0,'Données projet'!$E$11+1,1))</f>
        <v>236.39682613502913</v>
      </c>
      <c r="BJ56" s="59">
        <f t="shared" si="38"/>
        <v>99.639724892155641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3.8936215683936046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3.8936215683936046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5.6</v>
      </c>
      <c r="CT56" s="12">
        <f>IF('Données projet'!$A$140&gt;35,CT55+CS56-DB55,IF(A56&lt;'Données projet'!$A$140,$CQ$205^A56,IF(A56='Données projet'!$A$140,'Données projet'!$B$140,CT55+CS56-DB55)))</f>
        <v>123.79999999999994</v>
      </c>
      <c r="CU56" s="17">
        <f>CT56*VLOOKUP('Données projet'!$B$13,Paramètres!$A$1:$I$89,3,0)*VLOOKUP('Données projet'!$B$13,Paramètres!$A$1:$I$89,5,0)</f>
        <v>104.28911999999997</v>
      </c>
      <c r="CV56" s="13">
        <f t="shared" si="41"/>
        <v>27.981310310345545</v>
      </c>
      <c r="CW56" s="20">
        <f t="shared" si="13"/>
        <v>230.37099945718512</v>
      </c>
      <c r="CX56" s="59">
        <f t="shared" si="14"/>
        <v>523.70433279051849</v>
      </c>
      <c r="CY56" s="59">
        <f ca="1">AVERAGE(OFFSET($CX$3,0,0,'Données projet'!$E$13+1,1))-AVERAGE(OFFSET($H$3,0,0,'Données projet'!$E$13+1,1))</f>
        <v>157.20393815370375</v>
      </c>
      <c r="CZ56" s="59">
        <f t="shared" si="42"/>
        <v>64.616965816756363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2.8802132149760915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2.8802132149760915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7.4</v>
      </c>
      <c r="DO56" s="12">
        <f>IF('Données projet'!$A$166&gt;35,DO55+DN56-DW55,IF(A56&lt;'Données projet'!$A$166,$DL$205^A56,IF(A56='Données projet'!$A$166,'Données projet'!$B$166,DO55+DN56-DW55)))</f>
        <v>264.2</v>
      </c>
      <c r="DP56" s="17">
        <f>DO56*VLOOKUP('Données projet'!$B$14,Paramètres!$A$1:$I$89,3,0)*VLOOKUP('Données projet'!$B$14,Paramètres!$A$1:$I$89,5,0)</f>
        <v>214.31903999999997</v>
      </c>
      <c r="DQ56" s="13">
        <f t="shared" si="43"/>
        <v>52.878283414659698</v>
      </c>
      <c r="DR56" s="20">
        <f t="shared" si="16"/>
        <v>465.3686716138655</v>
      </c>
      <c r="DS56" s="59">
        <f t="shared" si="17"/>
        <v>758.70200494719882</v>
      </c>
      <c r="DT56" s="59">
        <f ca="1">AVERAGE(OFFSET($DS$3,0,0,'Données projet'!$E$14+1,1))-AVERAGE(OFFSET($H$3,0,0,'Données projet'!$E$14+1,1))</f>
        <v>221.78186926953776</v>
      </c>
      <c r="DU56" s="59">
        <f t="shared" si="44"/>
        <v>276.69392352410654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19.217324804883305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19.217324804883305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5.6</v>
      </c>
      <c r="EJ56" s="12">
        <f>IF('Données projet'!$A$192&gt;35,EJ55+EI56-ER55,IF(A56&lt;'Données projet'!$A$192,$EG$205^A56,IF(A56='Données projet'!$A$192,'Données projet'!$B$192,EJ55+EI56-ER55)))</f>
        <v>123.79999999999994</v>
      </c>
      <c r="EK56" s="17">
        <f>EJ56*VLOOKUP('Données projet'!$B$15,Paramètres!$A$1:$I$89,3,0)*VLOOKUP('Données projet'!$B$15,Paramètres!$A$1:$I$89,5,0)</f>
        <v>133.25831999999994</v>
      </c>
      <c r="EL56" s="13">
        <f t="shared" si="45"/>
        <v>34.748173250809565</v>
      </c>
      <c r="EM56" s="20">
        <f t="shared" si="19"/>
        <v>292.61130907849321</v>
      </c>
      <c r="EN56" s="59">
        <f t="shared" si="20"/>
        <v>585.94464241182652</v>
      </c>
      <c r="EO56" s="59">
        <f ca="1">AVERAGE(OFFSET($EN$3,0,0,'Données projet'!$E$15+1,1))-AVERAGE(OFFSET($H$3,0,0,'Données projet'!$E$15+1,1))</f>
        <v>219.76574638403434</v>
      </c>
      <c r="EP56" s="59">
        <f t="shared" si="46"/>
        <v>92.286636088269972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3.6802724413583392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3.6802724413583392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9.5</v>
      </c>
      <c r="FE56" s="12">
        <f>IF('Données projet'!$A$218&gt;35,FE55+FD56-FM55,IF(A56&lt;'Données projet'!$A$218,$FB$205^A56,IF(A56='Données projet'!$A$218,'Données projet'!$B$218,FE55+FD56-FM55)))</f>
        <v>233.5</v>
      </c>
      <c r="FF56" s="17">
        <f>FE56*VLOOKUP('Données projet'!$B$16,Paramètres!$A$1:$I$89,3,0)*VLOOKUP('Données projet'!$B$16,Paramètres!$A$1:$I$89,5,0)</f>
        <v>109.27800000000001</v>
      </c>
      <c r="FG56" s="13">
        <f t="shared" si="47"/>
        <v>29.160810599699261</v>
      </c>
      <c r="FH56" s="20">
        <f t="shared" si="22"/>
        <v>241.11426179447619</v>
      </c>
      <c r="FI56" s="59">
        <f t="shared" si="23"/>
        <v>534.44759512780956</v>
      </c>
      <c r="FJ56" s="59">
        <f ca="1">AVERAGE(OFFSET($FI$3,0,0,'Données projet'!$E$16+1,1))-AVERAGE(OFFSET($H$3,0,0,'Données projet'!$E$16+1,1))</f>
        <v>86.164294406232727</v>
      </c>
      <c r="FK56" s="59">
        <f t="shared" si="48"/>
        <v>138.91188401562334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13.425934804708653</v>
      </c>
      <c r="FR56" s="21">
        <f>EXP(-LN(2)/25)*FR55+(1-EXP(-LN(2)/25))/(LN(2)/25)*Calculateur!FM56*Calculateur!FO56*VLOOKUP('Données projet'!$B$16,Paramètres!$A$1:$I$89,3,0)*0.475*44/12</f>
        <v>15.607788144939837</v>
      </c>
      <c r="FS56" s="21">
        <f>EXP(-LN(2)/2)*FS55+(1-EXP(-LN(2)/2))/(LN(2)/2)*FM56*FP56*VLOOKUP('Données projet'!$B$16,Paramètres!$A$1:$I$89,3,0)*0.475*44/12</f>
        <v>2.5306793483404557</v>
      </c>
      <c r="FT56" s="22">
        <f t="shared" si="24"/>
        <v>31.564402297988948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150.21793637331223</v>
      </c>
      <c r="T57" s="59">
        <f t="shared" si="34"/>
        <v>364.59164590134486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66.294263721792504</v>
      </c>
      <c r="AA57" s="21">
        <f>EXP(-LN(2)/25)*AA56+(1-EXP(-LN(2)/25))/(LN(2)/25)*Calculateur!V57*Calculateur!X57*VLOOKUP('Données projet'!$B$9,Paramètres!$A$1:$I$89,3,0)*0.475*44/12</f>
        <v>11.578196451489235</v>
      </c>
      <c r="AB57" s="21">
        <f>EXP(-LN(2)/2)*AB56+(1-EXP(-LN(2)/2))/(LN(2)/2)*V57*Y57*VLOOKUP('Données projet'!$B$9,Paramètres!$A$1:$I$89,3,0)*0.475*44/12</f>
        <v>4.7254349087409303E-3</v>
      </c>
      <c r="AC57" s="22">
        <f t="shared" si="3"/>
        <v>77.877185608190473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5.6</v>
      </c>
      <c r="AI57" s="13">
        <f>IF('Données projet'!$A$62&gt;35,AI56+AH57-AQ56,IF(A57&lt;'Données projet'!$A$62,$AF$205^A57,IF(A57='Données projet'!$A$62,'Données projet'!$B$62,AI56+AH57-AQ56)))</f>
        <v>129.39999999999995</v>
      </c>
      <c r="AJ57" s="13">
        <f>AI57*VLOOKUP('Données projet'!$B$10,Paramètres!$A$1:$I$89,3,0)*VLOOKUP('Données projet'!$B$10,Paramètres!$A$1:$I$89,5,0)</f>
        <v>141.30479999999994</v>
      </c>
      <c r="AK57" s="13">
        <f t="shared" si="35"/>
        <v>36.595755275288994</v>
      </c>
      <c r="AL57" s="20">
        <f t="shared" si="4"/>
        <v>309.84346710446152</v>
      </c>
      <c r="AM57" s="59">
        <f t="shared" si="5"/>
        <v>603.17680043779478</v>
      </c>
      <c r="AN57" s="59">
        <f ca="1">AVERAGE(OFFSET($AM$3,0,0,'Données projet'!$E$10+1,1))-AVERAGE(OFFSET($H$3,0,0,'Données projet'!$E$10+1,1))</f>
        <v>223.92539057016376</v>
      </c>
      <c r="AO57" s="59">
        <f t="shared" si="36"/>
        <v>94.125825809616856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3.6603959137238968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3.6603959137238968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5.6</v>
      </c>
      <c r="BD57" s="12">
        <f>IF('Données projet'!$A$88&gt;35,BD56+BC57-BL56,IF(A57&lt;'Données projet'!$A$88,$BA$205^A57,IF(A57='Données projet'!$A$88,'Données projet'!$B$88,BD56+BC57-BL56)))</f>
        <v>129.39999999999995</v>
      </c>
      <c r="BE57" s="13">
        <f>BD57*VLOOKUP('Données projet'!$B$11,Paramètres!$A$1:$I$89,3,0)*VLOOKUP('Données projet'!$B$11,Paramètres!$A$1:$I$89,5,0)</f>
        <v>147.36071999999993</v>
      </c>
      <c r="BF57" s="13">
        <f t="shared" si="37"/>
        <v>37.978181505546587</v>
      </c>
      <c r="BG57" s="20">
        <f t="shared" si="7"/>
        <v>322.79858678882687</v>
      </c>
      <c r="BH57" s="59">
        <f t="shared" si="8"/>
        <v>616.13192012216018</v>
      </c>
      <c r="BI57" s="59">
        <f ca="1">AVERAGE(OFFSET($BH$3,0,0,'Données projet'!$E$11+1,1))-AVERAGE(OFFSET($H$3,0,0,'Données projet'!$E$11+1,1))</f>
        <v>236.39682613502913</v>
      </c>
      <c r="BJ57" s="59">
        <f t="shared" si="38"/>
        <v>99.639724892155641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3.8172700243120632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3.8172700243120632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5.6</v>
      </c>
      <c r="CT57" s="12">
        <f>IF('Données projet'!$A$140&gt;35,CT56+CS57-DB56,IF(A57&lt;'Données projet'!$A$140,$CQ$205^A57,IF(A57='Données projet'!$A$140,'Données projet'!$B$140,CT56+CS57-DB56)))</f>
        <v>129.39999999999995</v>
      </c>
      <c r="CU57" s="17">
        <f>CT57*VLOOKUP('Données projet'!$B$13,Paramètres!$A$1:$I$89,3,0)*VLOOKUP('Données projet'!$B$13,Paramètres!$A$1:$I$89,5,0)</f>
        <v>109.00655999999996</v>
      </c>
      <c r="CV57" s="13">
        <f t="shared" si="41"/>
        <v>29.096798916752597</v>
      </c>
      <c r="CW57" s="20">
        <f t="shared" si="13"/>
        <v>240.5300167800107</v>
      </c>
      <c r="CX57" s="59">
        <f t="shared" si="14"/>
        <v>533.86335011334404</v>
      </c>
      <c r="CY57" s="59">
        <f ca="1">AVERAGE(OFFSET($CX$3,0,0,'Données projet'!$E$13+1,1))-AVERAGE(OFFSET($H$3,0,0,'Données projet'!$E$13+1,1))</f>
        <v>157.20393815370375</v>
      </c>
      <c r="CZ57" s="59">
        <f t="shared" si="42"/>
        <v>64.616965816756363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2.823733990587006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2.823733990587006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7.4</v>
      </c>
      <c r="DO57" s="12">
        <f>IF('Données projet'!$A$166&gt;35,DO56+DN57-DW56,IF(A57&lt;'Données projet'!$A$166,$DL$205^A57,IF(A57='Données projet'!$A$166,'Données projet'!$B$166,DO56+DN57-DW56)))</f>
        <v>271.59999999999997</v>
      </c>
      <c r="DP57" s="17">
        <f>DO57*VLOOKUP('Données projet'!$B$14,Paramètres!$A$1:$I$89,3,0)*VLOOKUP('Données projet'!$B$14,Paramètres!$A$1:$I$89,5,0)</f>
        <v>220.32192000000001</v>
      </c>
      <c r="DQ57" s="13">
        <f t="shared" si="43"/>
        <v>54.18484748666976</v>
      </c>
      <c r="DR57" s="20">
        <f t="shared" si="16"/>
        <v>478.09928670594991</v>
      </c>
      <c r="DS57" s="59">
        <f t="shared" si="17"/>
        <v>771.43262003928317</v>
      </c>
      <c r="DT57" s="59">
        <f ca="1">AVERAGE(OFFSET($DS$3,0,0,'Données projet'!$E$14+1,1))-AVERAGE(OFFSET($H$3,0,0,'Données projet'!$E$14+1,1))</f>
        <v>221.78186926953776</v>
      </c>
      <c r="DU57" s="59">
        <f t="shared" si="44"/>
        <v>276.69392352410654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18.840484786870281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18.840484786870281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5.6</v>
      </c>
      <c r="EJ57" s="12">
        <f>IF('Données projet'!$A$192&gt;35,EJ56+EI57-ER56,IF(A57&lt;'Données projet'!$A$192,$EG$205^A57,IF(A57='Données projet'!$A$192,'Données projet'!$B$192,EJ56+EI57-ER56)))</f>
        <v>129.39999999999995</v>
      </c>
      <c r="EK57" s="17">
        <f>EJ57*VLOOKUP('Données projet'!$B$15,Paramètres!$A$1:$I$89,3,0)*VLOOKUP('Données projet'!$B$15,Paramètres!$A$1:$I$89,5,0)</f>
        <v>139.28615999999994</v>
      </c>
      <c r="EL57" s="13">
        <f t="shared" si="45"/>
        <v>36.133426154438062</v>
      </c>
      <c r="EM57" s="20">
        <f t="shared" si="19"/>
        <v>305.52244588564616</v>
      </c>
      <c r="EN57" s="59">
        <f t="shared" si="20"/>
        <v>598.85577921897948</v>
      </c>
      <c r="EO57" s="59">
        <f ca="1">AVERAGE(OFFSET($EN$3,0,0,'Données projet'!$E$15+1,1))-AVERAGE(OFFSET($H$3,0,0,'Données projet'!$E$15+1,1))</f>
        <v>219.76574638403434</v>
      </c>
      <c r="EP57" s="59">
        <f t="shared" si="46"/>
        <v>92.286636088269972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3.6081045435278414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3.6081045435278414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9.5</v>
      </c>
      <c r="FE57" s="12">
        <f>IF('Données projet'!$A$218&gt;35,FE56+FD57-FM56,IF(A57&lt;'Données projet'!$A$218,$FB$205^A57,IF(A57='Données projet'!$A$218,'Données projet'!$B$218,FE56+FD57-FM56)))</f>
        <v>243</v>
      </c>
      <c r="FF57" s="17">
        <f>FE57*VLOOKUP('Données projet'!$B$16,Paramètres!$A$1:$I$89,3,0)*VLOOKUP('Données projet'!$B$16,Paramètres!$A$1:$I$89,5,0)</f>
        <v>113.72399999999999</v>
      </c>
      <c r="FG57" s="13">
        <f t="shared" si="47"/>
        <v>30.206680638130489</v>
      </c>
      <c r="FH57" s="20">
        <f t="shared" si="22"/>
        <v>250.67926877807722</v>
      </c>
      <c r="FI57" s="59">
        <f t="shared" si="23"/>
        <v>544.0126021114105</v>
      </c>
      <c r="FJ57" s="59">
        <f ca="1">AVERAGE(OFFSET($FI$3,0,0,'Données projet'!$E$16+1,1))-AVERAGE(OFFSET($H$3,0,0,'Données projet'!$E$16+1,1))</f>
        <v>86.164294406232727</v>
      </c>
      <c r="FK57" s="59">
        <f t="shared" si="48"/>
        <v>138.91188401562334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13.16266041219995</v>
      </c>
      <c r="FR57" s="21">
        <f>EXP(-LN(2)/25)*FR56+(1-EXP(-LN(2)/25))/(LN(2)/25)*Calculateur!FM57*Calculateur!FO57*VLOOKUP('Données projet'!$B$16,Paramètres!$A$1:$I$89,3,0)*0.475*44/12</f>
        <v>15.180992357338551</v>
      </c>
      <c r="FS57" s="21">
        <f>EXP(-LN(2)/2)*FS56+(1-EXP(-LN(2)/2))/(LN(2)/2)*FM57*FP57*VLOOKUP('Données projet'!$B$16,Paramètres!$A$1:$I$89,3,0)*0.475*44/12</f>
        <v>1.7894605282202893</v>
      </c>
      <c r="FT57" s="22">
        <f t="shared" si="24"/>
        <v>30.13311329775879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150.21793637331223</v>
      </c>
      <c r="T58" s="59">
        <f t="shared" si="34"/>
        <v>364.59164590134486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64.994273645716348</v>
      </c>
      <c r="AA58" s="21">
        <f>EXP(-LN(2)/25)*AA57+(1-EXP(-LN(2)/25))/(LN(2)/25)*Calculateur!V58*Calculateur!X58*VLOOKUP('Données projet'!$B$9,Paramètres!$A$1:$I$89,3,0)*0.475*44/12</f>
        <v>11.261590060652374</v>
      </c>
      <c r="AB58" s="21">
        <f>EXP(-LN(2)/2)*AB57+(1-EXP(-LN(2)/2))/(LN(2)/2)*V58*Y58*VLOOKUP('Données projet'!$B$9,Paramètres!$A$1:$I$89,3,0)*0.475*44/12</f>
        <v>3.3413870680263462E-3</v>
      </c>
      <c r="AC58" s="22">
        <f t="shared" si="3"/>
        <v>76.259205093436762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135</v>
      </c>
      <c r="AG58" s="12">
        <f>VLOOKUP(A58,'Données projet'!$A$61:$I$81,9,0)</f>
        <v>5.6</v>
      </c>
      <c r="AH58" s="12">
        <f t="array" ref="AH58">INDEX(AG:AG,MIN(IF(ISNUMBER(AG58:AG254),ROW(AG58:AG254),"")))</f>
        <v>5.6</v>
      </c>
      <c r="AI58" s="13">
        <f>IF('Données projet'!$A$62&gt;35,AI57+AH58-AQ57,IF(A58&lt;'Données projet'!$A$62,$AF$205^A58,IF(A58='Données projet'!$A$62,'Données projet'!$B$62,AI57+AH58-AQ57)))</f>
        <v>134.99999999999994</v>
      </c>
      <c r="AJ58" s="13">
        <f>AI58*VLOOKUP('Données projet'!$B$10,Paramètres!$A$1:$I$89,3,0)*VLOOKUP('Données projet'!$B$10,Paramètres!$A$1:$I$89,5,0)</f>
        <v>147.41999999999993</v>
      </c>
      <c r="AK58" s="13">
        <f t="shared" si="35"/>
        <v>37.991680647570291</v>
      </c>
      <c r="AL58" s="20">
        <f t="shared" si="4"/>
        <v>322.92534379451814</v>
      </c>
      <c r="AM58" s="59">
        <f t="shared" si="5"/>
        <v>616.25867712785146</v>
      </c>
      <c r="AN58" s="59">
        <f ca="1">AVERAGE(OFFSET($AM$3,0,0,'Données projet'!$E$10+1,1))-AVERAGE(OFFSET($H$3,0,0,'Données projet'!$E$10+1,1))</f>
        <v>223.92539057016376</v>
      </c>
      <c r="AO58" s="59">
        <f t="shared" si="36"/>
        <v>94.125825809616856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14</v>
      </c>
      <c r="AR58" s="16">
        <f>IF(ISNA(VLOOKUP(A58,'Données projet'!$A$61:$I$81,5,0)),0%,VLOOKUP(A58,'Données projet'!$A$61:$I$81,5,0)*VLOOKUP('Données projet'!$B$10,Paramètres!$A$1:$I$89,7,0))</f>
        <v>0.129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5.7687734024134922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5.7687734024134922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135</v>
      </c>
      <c r="BB58" s="12">
        <f>VLOOKUP(A58,'Données projet'!$A$87:$I$107,9,0)</f>
        <v>5.6</v>
      </c>
      <c r="BC58" s="12">
        <f t="array" ref="BC58">INDEX(BB:BB,MIN(IF(ISNUMBER(BB58:BB254),ROW(BB58:BB254),"")))</f>
        <v>5.6</v>
      </c>
      <c r="BD58" s="12">
        <f>IF('Données projet'!$A$88&gt;35,BD57+BC58-BL57,IF(A58&lt;'Données projet'!$A$88,$BA$205^A58,IF(A58='Données projet'!$A$88,'Données projet'!$B$88,BD57+BC58-BL57)))</f>
        <v>134.99999999999994</v>
      </c>
      <c r="BE58" s="13">
        <f>BD58*VLOOKUP('Données projet'!$B$11,Paramètres!$A$1:$I$89,3,0)*VLOOKUP('Données projet'!$B$11,Paramètres!$A$1:$I$89,5,0)</f>
        <v>153.73799999999994</v>
      </c>
      <c r="BF58" s="13">
        <f t="shared" si="37"/>
        <v>39.426838781722438</v>
      </c>
      <c r="BG58" s="20">
        <f t="shared" si="7"/>
        <v>336.42876087816643</v>
      </c>
      <c r="BH58" s="59">
        <f t="shared" si="8"/>
        <v>629.76209421149974</v>
      </c>
      <c r="BI58" s="59">
        <f ca="1">AVERAGE(OFFSET($BH$3,0,0,'Données projet'!$E$11+1,1))-AVERAGE(OFFSET($H$3,0,0,'Données projet'!$E$11+1,1))</f>
        <v>236.39682613502913</v>
      </c>
      <c r="BJ58" s="59">
        <f t="shared" si="38"/>
        <v>99.639724892155641</v>
      </c>
      <c r="BK58" s="15">
        <f>IF(ISNA(VLOOKUP(A58,'Données projet'!$A$87:$I$107,3,0)),0,VLOOKUP(A58,'Données projet'!$A$87:$I$107,3,0))</f>
        <v>7</v>
      </c>
      <c r="BL58" s="15">
        <f>IF(ISNA(VLOOKUP(A58,'Données projet'!$A$87:$I$107,4,0)),0,VLOOKUP(A58,'Données projet'!$A$87:$I$107,4,0))</f>
        <v>14</v>
      </c>
      <c r="BM58" s="16">
        <f>IF(ISNA(VLOOKUP(A58,'Données projet'!$A$87:$I$107,5,0)),0%,VLOOKUP(A58,'Données projet'!$A$87:$I$107,5,0)*VLOOKUP('Données projet'!$B$11,Paramètres!$A$1:$I$89,7,0))</f>
        <v>0.129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6.0160065482312124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6.0160065482312124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135</v>
      </c>
      <c r="CR58" s="12">
        <f>VLOOKUP(A58,'Données projet'!$A$139:$I$159,9,0)</f>
        <v>5.6</v>
      </c>
      <c r="CS58" s="12">
        <f t="array" ref="CS58">INDEX(CR:CR,MIN(IF(ISNUMBER(CR58:CR254),ROW(CR58:CR254),"")))</f>
        <v>5.6</v>
      </c>
      <c r="CT58" s="12">
        <f>IF('Données projet'!$A$140&gt;35,CT57+CS58-DB57,IF(A58&lt;'Données projet'!$A$140,$CQ$205^A58,IF(A58='Données projet'!$A$140,'Données projet'!$B$140,CT57+CS58-DB57)))</f>
        <v>134.99999999999994</v>
      </c>
      <c r="CU58" s="17">
        <f>CT58*VLOOKUP('Données projet'!$B$13,Paramètres!$A$1:$I$89,3,0)*VLOOKUP('Données projet'!$B$13,Paramètres!$A$1:$I$89,5,0)</f>
        <v>113.72399999999998</v>
      </c>
      <c r="CV58" s="13">
        <f t="shared" si="41"/>
        <v>30.206680638130489</v>
      </c>
      <c r="CW58" s="20">
        <f t="shared" si="13"/>
        <v>250.67926877807722</v>
      </c>
      <c r="CX58" s="59">
        <f t="shared" si="14"/>
        <v>544.0126021114105</v>
      </c>
      <c r="CY58" s="59">
        <f ca="1">AVERAGE(OFFSET($CX$3,0,0,'Données projet'!$E$13+1,1))-AVERAGE(OFFSET($H$3,0,0,'Données projet'!$E$13+1,1))</f>
        <v>157.20393815370375</v>
      </c>
      <c r="CZ58" s="59">
        <f t="shared" si="42"/>
        <v>64.616965816756363</v>
      </c>
      <c r="DA58" s="15">
        <f>IF(ISNA(VLOOKUP(A58,'Données projet'!$A$139:$I$159,3,0)),0,VLOOKUP(A58,'Données projet'!$A$139:$I$159,3,0))</f>
        <v>7</v>
      </c>
      <c r="DB58" s="15">
        <f>IF(ISNA(VLOOKUP(A58,'Données projet'!$A$139:$I$159,4,0)),0,VLOOKUP(A58,'Données projet'!$A$139:$I$159,4,0))</f>
        <v>14</v>
      </c>
      <c r="DC58" s="16">
        <f>IF(ISNA(VLOOKUP(A58,'Données projet'!$A$139:$I$159,5,0)),0%,VLOOKUP(A58,'Données projet'!$A$139:$I$159,5,0)*VLOOKUP('Données projet'!$B$13,Paramètres!$A$1:$I$89,7,0))</f>
        <v>0.129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4.4501966247189797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4.4501966247189797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279</v>
      </c>
      <c r="DM58" s="12">
        <f>VLOOKUP(A58,'Données projet'!$A$165:$I$185,9,0)</f>
        <v>7.4</v>
      </c>
      <c r="DN58" s="12">
        <f t="array" ref="DN58">INDEX(DM:DM,MIN(IF(ISNUMBER(DM58:DM254),ROW(DM58:DM254),"")))</f>
        <v>7.4</v>
      </c>
      <c r="DO58" s="12">
        <f>IF('Données projet'!$A$166&gt;35,DO57+DN58-DW57,IF(A58&lt;'Données projet'!$A$166,$DL$205^A58,IF(A58='Données projet'!$A$166,'Données projet'!$B$166,DO57+DN58-DW57)))</f>
        <v>278.99999999999994</v>
      </c>
      <c r="DP58" s="17">
        <f>DO58*VLOOKUP('Données projet'!$B$14,Paramètres!$A$1:$I$89,3,0)*VLOOKUP('Données projet'!$B$14,Paramètres!$A$1:$I$89,5,0)</f>
        <v>226.32479999999998</v>
      </c>
      <c r="DQ58" s="13">
        <f t="shared" si="43"/>
        <v>55.48727390683667</v>
      </c>
      <c r="DR58" s="20">
        <f t="shared" si="16"/>
        <v>490.82269538774045</v>
      </c>
      <c r="DS58" s="59">
        <f t="shared" si="17"/>
        <v>784.15602872107377</v>
      </c>
      <c r="DT58" s="59">
        <f ca="1">AVERAGE(OFFSET($DS$3,0,0,'Données projet'!$E$14+1,1))-AVERAGE(OFFSET($H$3,0,0,'Données projet'!$E$14+1,1))</f>
        <v>221.78186926953776</v>
      </c>
      <c r="DU58" s="59">
        <f t="shared" si="44"/>
        <v>276.69392352410654</v>
      </c>
      <c r="DV58" s="15">
        <f>IF(ISNA(VLOOKUP(A58,'Données projet'!$A$165:$I$185,3,0)),0,VLOOKUP(A58,'Données projet'!$A$165:$I$185,3,0))</f>
        <v>10</v>
      </c>
      <c r="DW58" s="15">
        <f>IF(ISNA(VLOOKUP(A58,'Données projet'!$A$165:$I$185,4,0)),0,VLOOKUP(A58,'Données projet'!$A$165:$I$185,4,0))</f>
        <v>16</v>
      </c>
      <c r="DX58" s="16">
        <f>IF(ISNA(VLOOKUP(A58,'Données projet'!$A$165:$I$185,5,0)),0%,VLOOKUP(A58,'Données projet'!$A$165:$I$185,5,0)*VLOOKUP('Données projet'!$B$14,Paramètres!$A$1:$I$89,7,0))</f>
        <v>0.25800000000000001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22.172849628469564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22.172849628469564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135</v>
      </c>
      <c r="EH58" s="12">
        <f>VLOOKUP(A58,'Données projet'!$A$191:$I$211,9,0)</f>
        <v>5.6</v>
      </c>
      <c r="EI58" s="12">
        <f t="array" ref="EI58">INDEX(EH:EH,MIN(IF(ISNUMBER(EH58:EH254),ROW(EH58:EH254),"")))</f>
        <v>5.6</v>
      </c>
      <c r="EJ58" s="12">
        <f>IF('Données projet'!$A$192&gt;35,EJ57+EI58-ER57,IF(A58&lt;'Données projet'!$A$192,$EG$205^A58,IF(A58='Données projet'!$A$192,'Données projet'!$B$192,EJ57+EI58-ER57)))</f>
        <v>134.99999999999994</v>
      </c>
      <c r="EK58" s="17">
        <f>EJ58*VLOOKUP('Données projet'!$B$15,Paramètres!$A$1:$I$89,3,0)*VLOOKUP('Données projet'!$B$15,Paramètres!$A$1:$I$89,5,0)</f>
        <v>145.31399999999994</v>
      </c>
      <c r="EL58" s="13">
        <f t="shared" si="45"/>
        <v>37.511716231443025</v>
      </c>
      <c r="EM58" s="20">
        <f t="shared" si="19"/>
        <v>318.42145576976316</v>
      </c>
      <c r="EN58" s="59">
        <f t="shared" si="20"/>
        <v>611.75478910309653</v>
      </c>
      <c r="EO58" s="59">
        <f ca="1">AVERAGE(OFFSET($EN$3,0,0,'Données projet'!$E$15+1,1))-AVERAGE(OFFSET($H$3,0,0,'Données projet'!$E$15+1,1))</f>
        <v>219.76574638403434</v>
      </c>
      <c r="EP58" s="59">
        <f t="shared" si="46"/>
        <v>92.286636088269972</v>
      </c>
      <c r="EQ58" s="15">
        <f>IF(ISNA(VLOOKUP(A58,'Données projet'!$A$191:$I$211,3,0)),0,VLOOKUP(A58,'Données projet'!$A$191:$I$211,3,0))</f>
        <v>7</v>
      </c>
      <c r="ER58" s="15">
        <f>IF(ISNA(VLOOKUP(A58,'Données projet'!$A$191:$I$211,4,0)),0,VLOOKUP(A58,'Données projet'!$A$191:$I$211,4,0))</f>
        <v>14</v>
      </c>
      <c r="ES58" s="16">
        <f>IF(ISNA(VLOOKUP(A58,'Données projet'!$A$191:$I$211,5,0)),0%,VLOOKUP(A58,'Données projet'!$A$191:$I$211,5,0)*VLOOKUP('Données projet'!$B$15,Paramètres!$A$1:$I$89,7,0))</f>
        <v>0.129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5.6863623538075849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5.6863623538075849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9.5</v>
      </c>
      <c r="FE58" s="12">
        <f>IF('Données projet'!$A$218&gt;35,FE57+FD58-FM57,IF(A58&lt;'Données projet'!$A$218,$FB$205^A58,IF(A58='Données projet'!$A$218,'Données projet'!$B$218,FE57+FD58-FM57)))</f>
        <v>252.5</v>
      </c>
      <c r="FF58" s="17">
        <f>FE58*VLOOKUP('Données projet'!$B$16,Paramètres!$A$1:$I$89,3,0)*VLOOKUP('Données projet'!$B$16,Paramètres!$A$1:$I$89,5,0)</f>
        <v>118.16999999999999</v>
      </c>
      <c r="FG58" s="13">
        <f t="shared" si="47"/>
        <v>31.247800856969125</v>
      </c>
      <c r="FH58" s="20">
        <f t="shared" si="22"/>
        <v>260.23600315922118</v>
      </c>
      <c r="FI58" s="59">
        <f t="shared" si="23"/>
        <v>553.5693364925545</v>
      </c>
      <c r="FJ58" s="59">
        <f ca="1">AVERAGE(OFFSET($FI$3,0,0,'Données projet'!$E$16+1,1))-AVERAGE(OFFSET($H$3,0,0,'Données projet'!$E$16+1,1))</f>
        <v>86.164294406232727</v>
      </c>
      <c r="FK58" s="59">
        <f t="shared" si="48"/>
        <v>138.91188401562334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12.904548669946818</v>
      </c>
      <c r="FR58" s="21">
        <f>EXP(-LN(2)/25)*FR57+(1-EXP(-LN(2)/25))/(LN(2)/25)*Calculateur!FM58*Calculateur!FO58*VLOOKUP('Données projet'!$B$16,Paramètres!$A$1:$I$89,3,0)*0.475*44/12</f>
        <v>14.765867322993437</v>
      </c>
      <c r="FS58" s="21">
        <f>EXP(-LN(2)/2)*FS57+(1-EXP(-LN(2)/2))/(LN(2)/2)*FM58*FP58*VLOOKUP('Données projet'!$B$16,Paramètres!$A$1:$I$89,3,0)*0.475*44/12</f>
        <v>1.2653396741702281</v>
      </c>
      <c r="FT58" s="22">
        <f t="shared" si="24"/>
        <v>28.935755667110485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150.21793637331223</v>
      </c>
      <c r="T59" s="59">
        <f t="shared" si="34"/>
        <v>364.59164590134486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63.719775582116391</v>
      </c>
      <c r="AA59" s="21">
        <f>EXP(-LN(2)/25)*AA58+(1-EXP(-LN(2)/25))/(LN(2)/25)*Calculateur!V59*Calculateur!X59*VLOOKUP('Données projet'!$B$9,Paramètres!$A$1:$I$89,3,0)*0.475*44/12</f>
        <v>10.953641288222553</v>
      </c>
      <c r="AB59" s="21">
        <f>EXP(-LN(2)/2)*AB58+(1-EXP(-LN(2)/2))/(LN(2)/2)*V59*Y59*VLOOKUP('Données projet'!$B$9,Paramètres!$A$1:$I$89,3,0)*0.475*44/12</f>
        <v>2.3627174543704652E-3</v>
      </c>
      <c r="AC59" s="22">
        <f t="shared" si="3"/>
        <v>74.675779587793315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5.4</v>
      </c>
      <c r="AI59" s="13">
        <f>IF('Données projet'!$A$62&gt;35,AI58+AH59-AQ58,IF(A59&lt;'Données projet'!$A$62,$AF$205^A59,IF(A59='Données projet'!$A$62,'Données projet'!$B$62,AI58+AH59-AQ58)))</f>
        <v>126.39999999999995</v>
      </c>
      <c r="AJ59" s="13">
        <f>AI59*VLOOKUP('Données projet'!$B$10,Paramètres!$A$1:$I$89,3,0)*VLOOKUP('Données projet'!$B$10,Paramètres!$A$1:$I$89,5,0)</f>
        <v>138.02879999999993</v>
      </c>
      <c r="AK59" s="13">
        <f t="shared" si="35"/>
        <v>35.845059256813073</v>
      </c>
      <c r="AL59" s="20">
        <f t="shared" si="4"/>
        <v>302.83030487228262</v>
      </c>
      <c r="AM59" s="59">
        <f t="shared" si="5"/>
        <v>596.16363820561594</v>
      </c>
      <c r="AN59" s="59">
        <f ca="1">AVERAGE(OFFSET($AM$3,0,0,'Données projet'!$E$10+1,1))-AVERAGE(OFFSET($H$3,0,0,'Données projet'!$E$10+1,1))</f>
        <v>223.92539057016376</v>
      </c>
      <c r="AO59" s="59">
        <f t="shared" si="36"/>
        <v>94.125825809616856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5.6556512745965062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5.6556512745965062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5.4</v>
      </c>
      <c r="BD59" s="12">
        <f>IF('Données projet'!$A$88&gt;35,BD58+BC59-BL58,IF(A59&lt;'Données projet'!$A$88,$BA$205^A59,IF(A59='Données projet'!$A$88,'Données projet'!$B$88,BD58+BC59-BL58)))</f>
        <v>126.39999999999995</v>
      </c>
      <c r="BE59" s="13">
        <f>BD59*VLOOKUP('Données projet'!$B$11,Paramètres!$A$1:$I$89,3,0)*VLOOKUP('Données projet'!$B$11,Paramètres!$A$1:$I$89,5,0)</f>
        <v>143.94431999999995</v>
      </c>
      <c r="BF59" s="13">
        <f t="shared" si="37"/>
        <v>37.199127502405936</v>
      </c>
      <c r="BG59" s="20">
        <f t="shared" si="7"/>
        <v>315.49150440002353</v>
      </c>
      <c r="BH59" s="59">
        <f t="shared" si="8"/>
        <v>608.82483773335684</v>
      </c>
      <c r="BI59" s="59">
        <f ca="1">AVERAGE(OFFSET($BH$3,0,0,'Données projet'!$E$11+1,1))-AVERAGE(OFFSET($H$3,0,0,'Données projet'!$E$11+1,1))</f>
        <v>236.39682613502913</v>
      </c>
      <c r="BJ59" s="59">
        <f t="shared" si="38"/>
        <v>99.639724892155641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5.8980363292220694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5.8980363292220694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5.4</v>
      </c>
      <c r="CT59" s="12">
        <f>IF('Données projet'!$A$140&gt;35,CT58+CS59-DB58,IF(A59&lt;'Données projet'!$A$140,$CQ$205^A59,IF(A59='Données projet'!$A$140,'Données projet'!$B$140,CT58+CS59-DB58)))</f>
        <v>126.39999999999995</v>
      </c>
      <c r="CU59" s="17">
        <f>CT59*VLOOKUP('Données projet'!$B$13,Paramètres!$A$1:$I$89,3,0)*VLOOKUP('Données projet'!$B$13,Paramètres!$A$1:$I$89,5,0)</f>
        <v>106.47935999999996</v>
      </c>
      <c r="CV59" s="13">
        <f t="shared" si="41"/>
        <v>28.499930483982478</v>
      </c>
      <c r="CW59" s="20">
        <f t="shared" si="13"/>
        <v>235.0889309262694</v>
      </c>
      <c r="CX59" s="59">
        <f t="shared" si="14"/>
        <v>528.42226425960268</v>
      </c>
      <c r="CY59" s="59">
        <f ca="1">AVERAGE(OFFSET($CX$3,0,0,'Données projet'!$E$13+1,1))-AVERAGE(OFFSET($H$3,0,0,'Données projet'!$E$13+1,1))</f>
        <v>157.20393815370375</v>
      </c>
      <c r="CZ59" s="59">
        <f t="shared" si="42"/>
        <v>64.616965816756363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4.3629309832601617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4.3629309832601617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6.2</v>
      </c>
      <c r="DO59" s="12">
        <f>IF('Données projet'!$A$166&gt;35,DO58+DN59-DW58,IF(A59&lt;'Données projet'!$A$166,$DL$205^A59,IF(A59='Données projet'!$A$166,'Données projet'!$B$166,DO58+DN59-DW58)))</f>
        <v>269.19999999999993</v>
      </c>
      <c r="DP59" s="17">
        <f>DO59*VLOOKUP('Données projet'!$B$14,Paramètres!$A$1:$I$89,3,0)*VLOOKUP('Données projet'!$B$14,Paramètres!$A$1:$I$89,5,0)</f>
        <v>218.37503999999998</v>
      </c>
      <c r="DQ59" s="13">
        <f t="shared" si="43"/>
        <v>53.761556452013281</v>
      </c>
      <c r="DR59" s="20">
        <f t="shared" si="16"/>
        <v>473.97123882058969</v>
      </c>
      <c r="DS59" s="59">
        <f t="shared" si="17"/>
        <v>767.304572153923</v>
      </c>
      <c r="DT59" s="59">
        <f ca="1">AVERAGE(OFFSET($DS$3,0,0,'Données projet'!$E$14+1,1))-AVERAGE(OFFSET($H$3,0,0,'Données projet'!$E$14+1,1))</f>
        <v>221.78186926953776</v>
      </c>
      <c r="DU59" s="59">
        <f t="shared" si="44"/>
        <v>276.69392352410654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21.738053571358154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21.738053571358154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5.4</v>
      </c>
      <c r="EJ59" s="12">
        <f>IF('Données projet'!$A$192&gt;35,EJ58+EI59-ER58,IF(A59&lt;'Données projet'!$A$192,$EG$205^A59,IF(A59='Données projet'!$A$192,'Données projet'!$B$192,EJ58+EI59-ER58)))</f>
        <v>126.39999999999995</v>
      </c>
      <c r="EK59" s="17">
        <f>EJ59*VLOOKUP('Données projet'!$B$15,Paramètres!$A$1:$I$89,3,0)*VLOOKUP('Données projet'!$B$15,Paramètres!$A$1:$I$89,5,0)</f>
        <v>136.05695999999992</v>
      </c>
      <c r="EL59" s="13">
        <f t="shared" si="45"/>
        <v>35.392213985322201</v>
      </c>
      <c r="EM59" s="20">
        <f t="shared" si="19"/>
        <v>298.60731135776933</v>
      </c>
      <c r="EN59" s="59">
        <f t="shared" si="20"/>
        <v>591.94064469110265</v>
      </c>
      <c r="EO59" s="59">
        <f ca="1">AVERAGE(OFFSET($EN$3,0,0,'Données projet'!$E$15+1,1))-AVERAGE(OFFSET($H$3,0,0,'Données projet'!$E$15+1,1))</f>
        <v>219.76574638403434</v>
      </c>
      <c r="EP59" s="59">
        <f t="shared" si="46"/>
        <v>92.286636088269972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5.5748562563879842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5.5748562563879842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9.5</v>
      </c>
      <c r="FE59" s="12">
        <f>IF('Données projet'!$A$218&gt;35,FE58+FD59-FM58,IF(A59&lt;'Données projet'!$A$218,$FB$205^A59,IF(A59='Données projet'!$A$218,'Données projet'!$B$218,FE58+FD59-FM58)))</f>
        <v>262</v>
      </c>
      <c r="FF59" s="17">
        <f>FE59*VLOOKUP('Données projet'!$B$16,Paramètres!$A$1:$I$89,3,0)*VLOOKUP('Données projet'!$B$16,Paramètres!$A$1:$I$89,5,0)</f>
        <v>122.616</v>
      </c>
      <c r="FG59" s="13">
        <f t="shared" si="47"/>
        <v>32.284370423104164</v>
      </c>
      <c r="FH59" s="20">
        <f t="shared" si="22"/>
        <v>269.78481182023978</v>
      </c>
      <c r="FI59" s="59">
        <f t="shared" si="23"/>
        <v>563.1181451535731</v>
      </c>
      <c r="FJ59" s="59">
        <f ca="1">AVERAGE(OFFSET($FI$3,0,0,'Données projet'!$E$16+1,1))-AVERAGE(OFFSET($H$3,0,0,'Données projet'!$E$16+1,1))</f>
        <v>86.164294406232727</v>
      </c>
      <c r="FK59" s="59">
        <f t="shared" si="48"/>
        <v>138.91188401562334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12.651498341526652</v>
      </c>
      <c r="FR59" s="21">
        <f>EXP(-LN(2)/25)*FR58+(1-EXP(-LN(2)/25))/(LN(2)/25)*Calculateur!FM59*Calculateur!FO59*VLOOKUP('Données projet'!$B$16,Paramètres!$A$1:$I$89,3,0)*0.475*44/12</f>
        <v>14.362093904542967</v>
      </c>
      <c r="FS59" s="21">
        <f>EXP(-LN(2)/2)*FS58+(1-EXP(-LN(2)/2))/(LN(2)/2)*FM59*FP59*VLOOKUP('Données projet'!$B$16,Paramètres!$A$1:$I$89,3,0)*0.475*44/12</f>
        <v>0.89473026411014489</v>
      </c>
      <c r="FT59" s="22">
        <f t="shared" si="24"/>
        <v>27.908322510179765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150.21793637331223</v>
      </c>
      <c r="T60" s="59">
        <f t="shared" si="34"/>
        <v>364.59164590134486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62.470269648176568</v>
      </c>
      <c r="AA60" s="21">
        <f>EXP(-LN(2)/25)*AA59+(1-EXP(-LN(2)/25))/(LN(2)/25)*Calculateur!V60*Calculateur!X60*VLOOKUP('Données projet'!$B$9,Paramètres!$A$1:$I$89,3,0)*0.475*44/12</f>
        <v>10.654113391169146</v>
      </c>
      <c r="AB60" s="21">
        <f>EXP(-LN(2)/2)*AB59+(1-EXP(-LN(2)/2))/(LN(2)/2)*V60*Y60*VLOOKUP('Données projet'!$B$9,Paramètres!$A$1:$I$89,3,0)*0.475*44/12</f>
        <v>1.6706935340131731E-3</v>
      </c>
      <c r="AC60" s="22">
        <f t="shared" si="3"/>
        <v>73.126053732879726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5.4</v>
      </c>
      <c r="AI60" s="13">
        <f>IF('Données projet'!$A$62&gt;35,AI59+AH60-AQ59,IF(A60&lt;'Données projet'!$A$62,$AF$205^A60,IF(A60='Données projet'!$A$62,'Données projet'!$B$62,AI59+AH60-AQ59)))</f>
        <v>131.79999999999995</v>
      </c>
      <c r="AJ60" s="13">
        <f>AI60*VLOOKUP('Données projet'!$B$10,Paramètres!$A$1:$I$89,3,0)*VLOOKUP('Données projet'!$B$10,Paramètres!$A$1:$I$89,5,0)</f>
        <v>143.92559999999995</v>
      </c>
      <c r="AK60" s="13">
        <f t="shared" si="35"/>
        <v>37.194852827810294</v>
      </c>
      <c r="AL60" s="20">
        <f t="shared" si="4"/>
        <v>315.45145534176953</v>
      </c>
      <c r="AM60" s="59">
        <f t="shared" si="5"/>
        <v>608.78478867510285</v>
      </c>
      <c r="AN60" s="59">
        <f ca="1">AVERAGE(OFFSET($AM$3,0,0,'Données projet'!$E$10+1,1))-AVERAGE(OFFSET($H$3,0,0,'Données projet'!$E$10+1,1))</f>
        <v>223.92539057016376</v>
      </c>
      <c r="AO60" s="59">
        <f t="shared" si="36"/>
        <v>94.125825809616856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5.5447474027083254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5.5447474027083254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5.4</v>
      </c>
      <c r="BD60" s="12">
        <f>IF('Données projet'!$A$88&gt;35,BD59+BC60-BL59,IF(A60&lt;'Données projet'!$A$88,$BA$205^A60,IF(A60='Données projet'!$A$88,'Données projet'!$B$88,BD59+BC60-BL59)))</f>
        <v>131.79999999999995</v>
      </c>
      <c r="BE60" s="13">
        <f>BD60*VLOOKUP('Données projet'!$B$11,Paramètres!$A$1:$I$89,3,0)*VLOOKUP('Données projet'!$B$11,Paramètres!$A$1:$I$89,5,0)</f>
        <v>150.09383999999997</v>
      </c>
      <c r="BF60" s="13">
        <f t="shared" si="37"/>
        <v>38.599910321307526</v>
      </c>
      <c r="BG60" s="20">
        <f t="shared" si="7"/>
        <v>328.64161514294386</v>
      </c>
      <c r="BH60" s="59">
        <f t="shared" si="8"/>
        <v>621.97494847627718</v>
      </c>
      <c r="BI60" s="59">
        <f ca="1">AVERAGE(OFFSET($BH$3,0,0,'Données projet'!$E$11+1,1))-AVERAGE(OFFSET($H$3,0,0,'Données projet'!$E$11+1,1))</f>
        <v>236.39682613502913</v>
      </c>
      <c r="BJ60" s="59">
        <f t="shared" si="38"/>
        <v>99.639724892155641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5.7823794342529675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5.7823794342529675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5.4</v>
      </c>
      <c r="CT60" s="12">
        <f>IF('Données projet'!$A$140&gt;35,CT59+CS60-DB59,IF(A60&lt;'Données projet'!$A$140,$CQ$205^A60,IF(A60='Données projet'!$A$140,'Données projet'!$B$140,CT59+CS60-DB59)))</f>
        <v>131.79999999999995</v>
      </c>
      <c r="CU60" s="17">
        <f>CT60*VLOOKUP('Données projet'!$B$13,Paramètres!$A$1:$I$89,3,0)*VLOOKUP('Données projet'!$B$13,Paramètres!$A$1:$I$89,5,0)</f>
        <v>111.02831999999998</v>
      </c>
      <c r="CV60" s="13">
        <f t="shared" si="41"/>
        <v>29.573133422929669</v>
      </c>
      <c r="CW60" s="20">
        <f t="shared" si="13"/>
        <v>244.88086471160247</v>
      </c>
      <c r="CX60" s="59">
        <f t="shared" si="14"/>
        <v>538.21419804493576</v>
      </c>
      <c r="CY60" s="59">
        <f ca="1">AVERAGE(OFFSET($CX$3,0,0,'Données projet'!$E$13+1,1))-AVERAGE(OFFSET($H$3,0,0,'Données projet'!$E$13+1,1))</f>
        <v>157.20393815370375</v>
      </c>
      <c r="CZ60" s="59">
        <f t="shared" si="42"/>
        <v>64.616965816756363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4.2773765678035653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4.2773765678035653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6.2</v>
      </c>
      <c r="DO60" s="12">
        <f>IF('Données projet'!$A$166&gt;35,DO59+DN60-DW59,IF(A60&lt;'Données projet'!$A$166,$DL$205^A60,IF(A60='Données projet'!$A$166,'Données projet'!$B$166,DO59+DN60-DW59)))</f>
        <v>275.39999999999992</v>
      </c>
      <c r="DP60" s="17">
        <f>DO60*VLOOKUP('Données projet'!$B$14,Paramètres!$A$1:$I$89,3,0)*VLOOKUP('Données projet'!$B$14,Paramètres!$A$1:$I$89,5,0)</f>
        <v>223.40447999999995</v>
      </c>
      <c r="DQ60" s="13">
        <f t="shared" si="43"/>
        <v>54.854170008795911</v>
      </c>
      <c r="DR60" s="20">
        <f t="shared" si="16"/>
        <v>484.63381543198619</v>
      </c>
      <c r="DS60" s="59">
        <f t="shared" si="17"/>
        <v>777.96714876531951</v>
      </c>
      <c r="DT60" s="59">
        <f ca="1">AVERAGE(OFFSET($DS$3,0,0,'Données projet'!$E$14+1,1))-AVERAGE(OFFSET($H$3,0,0,'Données projet'!$E$14+1,1))</f>
        <v>221.78186926953776</v>
      </c>
      <c r="DU60" s="59">
        <f t="shared" si="44"/>
        <v>276.69392352410654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21.311783599727292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21.311783599727292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5.4</v>
      </c>
      <c r="EJ60" s="12">
        <f>IF('Données projet'!$A$192&gt;35,EJ59+EI60-ER59,IF(A60&lt;'Données projet'!$A$192,$EG$205^A60,IF(A60='Données projet'!$A$192,'Données projet'!$B$192,EJ59+EI60-ER59)))</f>
        <v>131.79999999999995</v>
      </c>
      <c r="EK60" s="17">
        <f>EJ60*VLOOKUP('Données projet'!$B$15,Paramètres!$A$1:$I$89,3,0)*VLOOKUP('Données projet'!$B$15,Paramètres!$A$1:$I$89,5,0)</f>
        <v>141.86951999999994</v>
      </c>
      <c r="EL60" s="13">
        <f t="shared" si="45"/>
        <v>36.724955062927357</v>
      </c>
      <c r="EM60" s="20">
        <f t="shared" si="19"/>
        <v>311.05204406793172</v>
      </c>
      <c r="EN60" s="59">
        <f t="shared" si="20"/>
        <v>604.38537740126503</v>
      </c>
      <c r="EO60" s="59">
        <f ca="1">AVERAGE(OFFSET($EN$3,0,0,'Données projet'!$E$15+1,1))-AVERAGE(OFFSET($H$3,0,0,'Données projet'!$E$15+1,1))</f>
        <v>219.76574638403434</v>
      </c>
      <c r="EP60" s="59">
        <f t="shared" si="46"/>
        <v>92.286636088269972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5.4655367255267775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5.4655367255267775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9.5</v>
      </c>
      <c r="FE60" s="12">
        <f>IF('Données projet'!$A$218&gt;35,FE59+FD60-FM59,IF(A60&lt;'Données projet'!$A$218,$FB$205^A60,IF(A60='Données projet'!$A$218,'Données projet'!$B$218,FE59+FD60-FM59)))</f>
        <v>271.5</v>
      </c>
      <c r="FF60" s="17">
        <f>FE60*VLOOKUP('Données projet'!$B$16,Paramètres!$A$1:$I$89,3,0)*VLOOKUP('Données projet'!$B$16,Paramètres!$A$1:$I$89,5,0)</f>
        <v>127.062</v>
      </c>
      <c r="FG60" s="13">
        <f t="shared" si="47"/>
        <v>33.316573241426198</v>
      </c>
      <c r="FH60" s="20">
        <f t="shared" si="22"/>
        <v>279.32601506215059</v>
      </c>
      <c r="FI60" s="59">
        <f t="shared" si="23"/>
        <v>572.6593483954839</v>
      </c>
      <c r="FJ60" s="59">
        <f ca="1">AVERAGE(OFFSET($FI$3,0,0,'Données projet'!$E$16+1,1))-AVERAGE(OFFSET($H$3,0,0,'Données projet'!$E$16+1,1))</f>
        <v>86.164294406232727</v>
      </c>
      <c r="FK60" s="59">
        <f t="shared" si="48"/>
        <v>138.91188401562334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12.403410175701348</v>
      </c>
      <c r="FR60" s="21">
        <f>EXP(-LN(2)/25)*FR59+(1-EXP(-LN(2)/25))/(LN(2)/25)*Calculateur!FM60*Calculateur!FO60*VLOOKUP('Données projet'!$B$16,Paramètres!$A$1:$I$89,3,0)*0.475*44/12</f>
        <v>13.969361691453546</v>
      </c>
      <c r="FS60" s="21">
        <f>EXP(-LN(2)/2)*FS59+(1-EXP(-LN(2)/2))/(LN(2)/2)*FM60*FP60*VLOOKUP('Données projet'!$B$16,Paramètres!$A$1:$I$89,3,0)*0.475*44/12</f>
        <v>0.63266983708511415</v>
      </c>
      <c r="FT60" s="22">
        <f t="shared" si="24"/>
        <v>27.00544170424001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150.21793637331223</v>
      </c>
      <c r="T61" s="59">
        <f t="shared" si="34"/>
        <v>364.59164590134486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61.245265763477946</v>
      </c>
      <c r="AA61" s="21">
        <f>EXP(-LN(2)/25)*AA60+(1-EXP(-LN(2)/25))/(LN(2)/25)*Calculateur!V61*Calculateur!X61*VLOOKUP('Données projet'!$B$9,Paramètres!$A$1:$I$89,3,0)*0.475*44/12</f>
        <v>10.362776100212152</v>
      </c>
      <c r="AB61" s="21">
        <f>EXP(-LN(2)/2)*AB60+(1-EXP(-LN(2)/2))/(LN(2)/2)*V61*Y61*VLOOKUP('Données projet'!$B$9,Paramètres!$A$1:$I$89,3,0)*0.475*44/12</f>
        <v>1.1813587271852326E-3</v>
      </c>
      <c r="AC61" s="22">
        <f t="shared" si="3"/>
        <v>71.60922322241727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5.4</v>
      </c>
      <c r="AI61" s="13">
        <f>IF('Données projet'!$A$62&gt;35,AI60+AH61-AQ60,IF(A61&lt;'Données projet'!$A$62,$AF$205^A61,IF(A61='Données projet'!$A$62,'Données projet'!$B$62,AI60+AH61-AQ60)))</f>
        <v>137.19999999999996</v>
      </c>
      <c r="AJ61" s="13">
        <f>AI61*VLOOKUP('Données projet'!$B$10,Paramètres!$A$1:$I$89,3,0)*VLOOKUP('Données projet'!$B$10,Paramètres!$A$1:$I$89,5,0)</f>
        <v>149.82239999999996</v>
      </c>
      <c r="AK61" s="13">
        <f t="shared" si="35"/>
        <v>38.538222601158559</v>
      </c>
      <c r="AL61" s="20">
        <f t="shared" si="4"/>
        <v>328.06141769701776</v>
      </c>
      <c r="AM61" s="59">
        <f t="shared" si="5"/>
        <v>621.39475103035102</v>
      </c>
      <c r="AN61" s="59">
        <f ca="1">AVERAGE(OFFSET($AM$3,0,0,'Données projet'!$E$10+1,1))-AVERAGE(OFFSET($H$3,0,0,'Données projet'!$E$10+1,1))</f>
        <v>223.92539057016376</v>
      </c>
      <c r="AO61" s="59">
        <f t="shared" si="36"/>
        <v>94.125825809616856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5.43601828810319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5.43601828810319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5.4</v>
      </c>
      <c r="BD61" s="12">
        <f>IF('Données projet'!$A$88&gt;35,BD60+BC61-BL60,IF(A61&lt;'Données projet'!$A$88,$BA$205^A61,IF(A61='Données projet'!$A$88,'Données projet'!$B$88,BD60+BC61-BL60)))</f>
        <v>137.19999999999996</v>
      </c>
      <c r="BE61" s="13">
        <f>BD61*VLOOKUP('Données projet'!$B$11,Paramètres!$A$1:$I$89,3,0)*VLOOKUP('Données projet'!$B$11,Paramètres!$A$1:$I$89,5,0)</f>
        <v>156.24335999999994</v>
      </c>
      <c r="BF61" s="13">
        <f t="shared" si="37"/>
        <v>39.994026679816884</v>
      </c>
      <c r="BG61" s="20">
        <f t="shared" si="7"/>
        <v>341.7801151340143</v>
      </c>
      <c r="BH61" s="59">
        <f t="shared" si="8"/>
        <v>635.11344846734755</v>
      </c>
      <c r="BI61" s="59">
        <f ca="1">AVERAGE(OFFSET($BH$3,0,0,'Données projet'!$E$11+1,1))-AVERAGE(OFFSET($H$3,0,0,'Données projet'!$E$11+1,1))</f>
        <v>236.39682613502913</v>
      </c>
      <c r="BJ61" s="59">
        <f t="shared" si="38"/>
        <v>99.639724892155641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5.6689905004504686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5.6689905004504686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5.4</v>
      </c>
      <c r="CT61" s="12">
        <f>IF('Données projet'!$A$140&gt;35,CT60+CS61-DB60,IF(A61&lt;'Données projet'!$A$140,$CQ$205^A61,IF(A61='Données projet'!$A$140,'Données projet'!$B$140,CT60+CS61-DB60)))</f>
        <v>137.19999999999996</v>
      </c>
      <c r="CU61" s="17">
        <f>CT61*VLOOKUP('Données projet'!$B$13,Paramètres!$A$1:$I$89,3,0)*VLOOKUP('Données projet'!$B$13,Paramètres!$A$1:$I$89,5,0)</f>
        <v>115.57727999999997</v>
      </c>
      <c r="CV61" s="13">
        <f t="shared" si="41"/>
        <v>30.64122888569365</v>
      </c>
      <c r="CW61" s="20">
        <f t="shared" si="13"/>
        <v>254.66390297591636</v>
      </c>
      <c r="CX61" s="59">
        <f t="shared" si="14"/>
        <v>547.99723630924973</v>
      </c>
      <c r="CY61" s="59">
        <f ca="1">AVERAGE(OFFSET($CX$3,0,0,'Données projet'!$E$13+1,1))-AVERAGE(OFFSET($H$3,0,0,'Données projet'!$E$13+1,1))</f>
        <v>157.20393815370375</v>
      </c>
      <c r="CZ61" s="59">
        <f t="shared" si="42"/>
        <v>64.616965816756363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4.1934998222510318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4.1934998222510318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6.2</v>
      </c>
      <c r="DO61" s="12">
        <f>IF('Données projet'!$A$166&gt;35,DO60+DN61-DW60,IF(A61&lt;'Données projet'!$A$166,$DL$205^A61,IF(A61='Données projet'!$A$166,'Données projet'!$B$166,DO60+DN61-DW60)))</f>
        <v>281.59999999999991</v>
      </c>
      <c r="DP61" s="17">
        <f>DO61*VLOOKUP('Données projet'!$B$14,Paramètres!$A$1:$I$89,3,0)*VLOOKUP('Données projet'!$B$14,Paramètres!$A$1:$I$89,5,0)</f>
        <v>228.43391999999994</v>
      </c>
      <c r="DQ61" s="13">
        <f t="shared" si="43"/>
        <v>55.943923887219448</v>
      </c>
      <c r="DR61" s="20">
        <f t="shared" si="16"/>
        <v>495.29141143690708</v>
      </c>
      <c r="DS61" s="59">
        <f t="shared" si="17"/>
        <v>788.62474477024034</v>
      </c>
      <c r="DT61" s="59">
        <f ca="1">AVERAGE(OFFSET($DS$3,0,0,'Données projet'!$E$14+1,1))-AVERAGE(OFFSET($H$3,0,0,'Données projet'!$E$14+1,1))</f>
        <v>221.78186926953776</v>
      </c>
      <c r="DU61" s="59">
        <f t="shared" si="44"/>
        <v>276.69392352410654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20.8938725222411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20.8938725222411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5.4</v>
      </c>
      <c r="EJ61" s="12">
        <f>IF('Données projet'!$A$192&gt;35,EJ60+EI61-ER60,IF(A61&lt;'Données projet'!$A$192,$EG$205^A61,IF(A61='Données projet'!$A$192,'Données projet'!$B$192,EJ60+EI61-ER60)))</f>
        <v>137.19999999999996</v>
      </c>
      <c r="EK61" s="17">
        <f>EJ61*VLOOKUP('Données projet'!$B$15,Paramètres!$A$1:$I$89,3,0)*VLOOKUP('Données projet'!$B$15,Paramètres!$A$1:$I$89,5,0)</f>
        <v>147.68207999999996</v>
      </c>
      <c r="EL61" s="13">
        <f t="shared" si="45"/>
        <v>38.051353497342525</v>
      </c>
      <c r="EM61" s="20">
        <f t="shared" si="19"/>
        <v>323.48573000787144</v>
      </c>
      <c r="EN61" s="59">
        <f t="shared" si="20"/>
        <v>616.81906334120481</v>
      </c>
      <c r="EO61" s="59">
        <f ca="1">AVERAGE(OFFSET($EN$3,0,0,'Données projet'!$E$15+1,1))-AVERAGE(OFFSET($H$3,0,0,'Données projet'!$E$15+1,1))</f>
        <v>219.76574638403434</v>
      </c>
      <c r="EP61" s="59">
        <f t="shared" si="46"/>
        <v>92.286636088269972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5.3583608839874293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5.3583608839874293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9.5</v>
      </c>
      <c r="FE61" s="12">
        <f>IF('Données projet'!$A$218&gt;35,FE60+FD61-FM60,IF(A61&lt;'Données projet'!$A$218,$FB$205^A61,IF(A61='Données projet'!$A$218,'Données projet'!$B$218,FE60+FD61-FM60)))</f>
        <v>281</v>
      </c>
      <c r="FF61" s="17">
        <f>FE61*VLOOKUP('Données projet'!$B$16,Paramètres!$A$1:$I$89,3,0)*VLOOKUP('Données projet'!$B$16,Paramètres!$A$1:$I$89,5,0)</f>
        <v>131.50800000000001</v>
      </c>
      <c r="FG61" s="13">
        <f t="shared" si="47"/>
        <v>34.344579617082509</v>
      </c>
      <c r="FH61" s="20">
        <f t="shared" si="22"/>
        <v>288.85990949975201</v>
      </c>
      <c r="FI61" s="59">
        <f t="shared" si="23"/>
        <v>582.19324283308538</v>
      </c>
      <c r="FJ61" s="59">
        <f ca="1">AVERAGE(OFFSET($FI$3,0,0,'Données projet'!$E$16+1,1))-AVERAGE(OFFSET($H$3,0,0,'Données projet'!$E$16+1,1))</f>
        <v>86.164294406232727</v>
      </c>
      <c r="FK61" s="59">
        <f t="shared" si="48"/>
        <v>138.91188401562334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12.160186867489037</v>
      </c>
      <c r="FR61" s="21">
        <f>EXP(-LN(2)/25)*FR60+(1-EXP(-LN(2)/25))/(LN(2)/25)*Calculateur!FM61*Calculateur!FO61*VLOOKUP('Données projet'!$B$16,Paramètres!$A$1:$I$89,3,0)*0.475*44/12</f>
        <v>13.587368761383946</v>
      </c>
      <c r="FS61" s="21">
        <f>EXP(-LN(2)/2)*FS60+(1-EXP(-LN(2)/2))/(LN(2)/2)*FM61*FP61*VLOOKUP('Données projet'!$B$16,Paramètres!$A$1:$I$89,3,0)*0.475*44/12</f>
        <v>0.4473651320550725</v>
      </c>
      <c r="FT61" s="22">
        <f t="shared" si="24"/>
        <v>26.194920760928053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150.21793637331223</v>
      </c>
      <c r="T62" s="59">
        <f t="shared" si="34"/>
        <v>364.59164590134486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60.04428345777967</v>
      </c>
      <c r="AA62" s="21">
        <f>EXP(-LN(2)/25)*AA61+(1-EXP(-LN(2)/25))/(LN(2)/25)*Calculateur!V62*Calculateur!X62*VLOOKUP('Données projet'!$B$9,Paramètres!$A$1:$I$89,3,0)*0.475*44/12</f>
        <v>10.079405442797139</v>
      </c>
      <c r="AB62" s="21">
        <f>EXP(-LN(2)/2)*AB61+(1-EXP(-LN(2)/2))/(LN(2)/2)*V62*Y62*VLOOKUP('Données projet'!$B$9,Paramètres!$A$1:$I$89,3,0)*0.475*44/12</f>
        <v>8.3534676700658655E-4</v>
      </c>
      <c r="AC62" s="22">
        <f t="shared" si="3"/>
        <v>70.124524247343814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5.4</v>
      </c>
      <c r="AI62" s="13">
        <f>IF('Données projet'!$A$62&gt;35,AI61+AH62-AQ61,IF(A62&lt;'Données projet'!$A$62,$AF$205^A62,IF(A62='Données projet'!$A$62,'Données projet'!$B$62,AI61+AH62-AQ61)))</f>
        <v>142.59999999999997</v>
      </c>
      <c r="AJ62" s="13">
        <f>AI62*VLOOKUP('Données projet'!$B$10,Paramètres!$A$1:$I$89,3,0)*VLOOKUP('Données projet'!$B$10,Paramètres!$A$1:$I$89,5,0)</f>
        <v>155.71919999999994</v>
      </c>
      <c r="AK62" s="13">
        <f t="shared" si="35"/>
        <v>39.875450340770094</v>
      </c>
      <c r="AL62" s="20">
        <f t="shared" si="4"/>
        <v>340.66068267684113</v>
      </c>
      <c r="AM62" s="59">
        <f t="shared" si="5"/>
        <v>633.99401601017439</v>
      </c>
      <c r="AN62" s="59">
        <f ca="1">AVERAGE(OFFSET($AM$3,0,0,'Données projet'!$E$10+1,1))-AVERAGE(OFFSET($H$3,0,0,'Données projet'!$E$10+1,1))</f>
        <v>223.92539057016376</v>
      </c>
      <c r="AO62" s="59">
        <f t="shared" si="36"/>
        <v>94.125825809616856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5.3294212851172498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5.3294212851172498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5.4</v>
      </c>
      <c r="BD62" s="12">
        <f>IF('Données projet'!$A$88&gt;35,BD61+BC62-BL61,IF(A62&lt;'Données projet'!$A$88,$BA$205^A62,IF(A62='Données projet'!$A$88,'Données projet'!$B$88,BD61+BC62-BL61)))</f>
        <v>142.59999999999997</v>
      </c>
      <c r="BE62" s="13">
        <f>BD62*VLOOKUP('Données projet'!$B$11,Paramètres!$A$1:$I$89,3,0)*VLOOKUP('Données projet'!$B$11,Paramètres!$A$1:$I$89,5,0)</f>
        <v>162.39287999999996</v>
      </c>
      <c r="BF62" s="13">
        <f t="shared" si="37"/>
        <v>41.381768985644122</v>
      </c>
      <c r="BG62" s="20">
        <f t="shared" si="7"/>
        <v>354.90751364999682</v>
      </c>
      <c r="BH62" s="59">
        <f t="shared" si="8"/>
        <v>648.24084698333013</v>
      </c>
      <c r="BI62" s="59">
        <f ca="1">AVERAGE(OFFSET($BH$3,0,0,'Données projet'!$E$11+1,1))-AVERAGE(OFFSET($H$3,0,0,'Données projet'!$E$11+1,1))</f>
        <v>236.39682613502913</v>
      </c>
      <c r="BJ62" s="59">
        <f t="shared" si="38"/>
        <v>99.639724892155641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5.5578250544794168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5.5578250544794168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5.4</v>
      </c>
      <c r="CT62" s="12">
        <f>IF('Données projet'!$A$140&gt;35,CT61+CS62-DB61,IF(A62&lt;'Données projet'!$A$140,$CQ$205^A62,IF(A62='Données projet'!$A$140,'Données projet'!$B$140,CT61+CS62-DB61)))</f>
        <v>142.59999999999997</v>
      </c>
      <c r="CU62" s="17">
        <f>CT62*VLOOKUP('Données projet'!$B$13,Paramètres!$A$1:$I$89,3,0)*VLOOKUP('Données projet'!$B$13,Paramètres!$A$1:$I$89,5,0)</f>
        <v>120.12624</v>
      </c>
      <c r="CV62" s="13">
        <f t="shared" si="41"/>
        <v>31.704440899018444</v>
      </c>
      <c r="CW62" s="20">
        <f t="shared" si="13"/>
        <v>264.43843589912376</v>
      </c>
      <c r="CX62" s="59">
        <f t="shared" si="14"/>
        <v>557.77176923245702</v>
      </c>
      <c r="CY62" s="59">
        <f ca="1">AVERAGE(OFFSET($CX$3,0,0,'Données projet'!$E$13+1,1))-AVERAGE(OFFSET($H$3,0,0,'Données projet'!$E$13+1,1))</f>
        <v>157.20393815370375</v>
      </c>
      <c r="CZ62" s="59">
        <f t="shared" si="42"/>
        <v>64.616965816756363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4.1112678485190202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4.1112678485190202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6.2</v>
      </c>
      <c r="DO62" s="12">
        <f>IF('Données projet'!$A$166&gt;35,DO61+DN62-DW61,IF(A62&lt;'Données projet'!$A$166,$DL$205^A62,IF(A62='Données projet'!$A$166,'Données projet'!$B$166,DO61+DN62-DW61)))</f>
        <v>287.7999999999999</v>
      </c>
      <c r="DP62" s="17">
        <f>DO62*VLOOKUP('Données projet'!$B$14,Paramètres!$A$1:$I$89,3,0)*VLOOKUP('Données projet'!$B$14,Paramètres!$A$1:$I$89,5,0)</f>
        <v>233.46335999999994</v>
      </c>
      <c r="DQ62" s="13">
        <f t="shared" si="43"/>
        <v>57.030888299157333</v>
      </c>
      <c r="DR62" s="20">
        <f t="shared" si="16"/>
        <v>505.94414912103224</v>
      </c>
      <c r="DS62" s="59">
        <f t="shared" si="17"/>
        <v>799.27748245436555</v>
      </c>
      <c r="DT62" s="59">
        <f ca="1">AVERAGE(OFFSET($DS$3,0,0,'Données projet'!$E$14+1,1))-AVERAGE(OFFSET($H$3,0,0,'Données projet'!$E$14+1,1))</f>
        <v>221.78186926953776</v>
      </c>
      <c r="DU62" s="59">
        <f t="shared" si="44"/>
        <v>276.69392352410654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20.484156426083825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20.484156426083825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5.4</v>
      </c>
      <c r="EJ62" s="12">
        <f>IF('Données projet'!$A$192&gt;35,EJ61+EI62-ER61,IF(A62&lt;'Données projet'!$A$192,$EG$205^A62,IF(A62='Données projet'!$A$192,'Données projet'!$B$192,EJ61+EI62-ER61)))</f>
        <v>142.59999999999997</v>
      </c>
      <c r="EK62" s="17">
        <f>EJ62*VLOOKUP('Données projet'!$B$15,Paramètres!$A$1:$I$89,3,0)*VLOOKUP('Données projet'!$B$15,Paramètres!$A$1:$I$89,5,0)</f>
        <v>153.49463999999995</v>
      </c>
      <c r="EL62" s="13">
        <f t="shared" si="45"/>
        <v>39.371687492841346</v>
      </c>
      <c r="EM62" s="20">
        <f t="shared" si="19"/>
        <v>335.90885371669856</v>
      </c>
      <c r="EN62" s="59">
        <f t="shared" si="20"/>
        <v>629.24218705003182</v>
      </c>
      <c r="EO62" s="59">
        <f ca="1">AVERAGE(OFFSET($EN$3,0,0,'Données projet'!$E$15+1,1))-AVERAGE(OFFSET($H$3,0,0,'Données projet'!$E$15+1,1))</f>
        <v>219.76574638403434</v>
      </c>
      <c r="EP62" s="59">
        <f t="shared" si="46"/>
        <v>92.286636088269972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5.2532866953298596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5.2532866953298596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9.5</v>
      </c>
      <c r="FE62" s="12">
        <f>IF('Données projet'!$A$218&gt;35,FE61+FD62-FM61,IF(A62&lt;'Données projet'!$A$218,$FB$205^A62,IF(A62='Données projet'!$A$218,'Données projet'!$B$218,FE61+FD62-FM61)))</f>
        <v>290.5</v>
      </c>
      <c r="FF62" s="17">
        <f>FE62*VLOOKUP('Données projet'!$B$16,Paramètres!$A$1:$I$89,3,0)*VLOOKUP('Données projet'!$B$16,Paramètres!$A$1:$I$89,5,0)</f>
        <v>135.95400000000001</v>
      </c>
      <c r="FG62" s="13">
        <f t="shared" si="47"/>
        <v>35.368547686628148</v>
      </c>
      <c r="FH62" s="20">
        <f t="shared" si="22"/>
        <v>298.38677055421067</v>
      </c>
      <c r="FI62" s="59">
        <f t="shared" si="23"/>
        <v>591.72010388754393</v>
      </c>
      <c r="FJ62" s="59">
        <f ca="1">AVERAGE(OFFSET($FI$3,0,0,'Données projet'!$E$16+1,1))-AVERAGE(OFFSET($H$3,0,0,'Données projet'!$E$16+1,1))</f>
        <v>86.164294406232727</v>
      </c>
      <c r="FK62" s="59">
        <f t="shared" si="48"/>
        <v>138.91188401562334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11.9217330199992</v>
      </c>
      <c r="FR62" s="21">
        <f>EXP(-LN(2)/25)*FR61+(1-EXP(-LN(2)/25))/(LN(2)/25)*Calculateur!FM62*Calculateur!FO62*VLOOKUP('Données projet'!$B$16,Paramètres!$A$1:$I$89,3,0)*0.475*44/12</f>
        <v>13.215821448075234</v>
      </c>
      <c r="FS62" s="21">
        <f>EXP(-LN(2)/2)*FS61+(1-EXP(-LN(2)/2))/(LN(2)/2)*FM62*FP62*VLOOKUP('Données projet'!$B$16,Paramètres!$A$1:$I$89,3,0)*0.475*44/12</f>
        <v>0.31633491854255713</v>
      </c>
      <c r="FT62" s="22">
        <f t="shared" si="24"/>
        <v>25.453889386616993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150.21793637331223</v>
      </c>
      <c r="T63" s="59">
        <f t="shared" si="34"/>
        <v>364.59164590134486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58.866851682569262</v>
      </c>
      <c r="AA63" s="21">
        <f>EXP(-LN(2)/25)*AA62+(1-EXP(-LN(2)/25))/(LN(2)/25)*Calculateur!V63*Calculateur!X63*VLOOKUP('Données projet'!$B$9,Paramètres!$A$1:$I$89,3,0)*0.475*44/12</f>
        <v>9.8037835709109551</v>
      </c>
      <c r="AB63" s="21">
        <f>EXP(-LN(2)/2)*AB62+(1-EXP(-LN(2)/2))/(LN(2)/2)*V63*Y63*VLOOKUP('Données projet'!$B$9,Paramètres!$A$1:$I$89,3,0)*0.475*44/12</f>
        <v>5.9067936359261629E-4</v>
      </c>
      <c r="AC63" s="22">
        <f t="shared" si="3"/>
        <v>68.671225932843811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148</v>
      </c>
      <c r="AG63" s="12">
        <f>VLOOKUP(A63,'Données projet'!$A$61:$I$81,9,0)</f>
        <v>5.4</v>
      </c>
      <c r="AH63" s="12">
        <f t="array" ref="AH63">INDEX(AG:AG,MIN(IF(ISNUMBER(AG63:AG259),ROW(AG63:AG259),"")))</f>
        <v>5.4</v>
      </c>
      <c r="AI63" s="13">
        <f>IF('Données projet'!$A$62&gt;35,AI62+AH63-AQ62,IF(A63&lt;'Données projet'!$A$62,$AF$205^A63,IF(A63='Données projet'!$A$62,'Données projet'!$B$62,AI62+AH63-AQ62)))</f>
        <v>147.99999999999997</v>
      </c>
      <c r="AJ63" s="13">
        <f>AI63*VLOOKUP('Données projet'!$B$10,Paramètres!$A$1:$I$89,3,0)*VLOOKUP('Données projet'!$B$10,Paramètres!$A$1:$I$89,5,0)</f>
        <v>161.61599999999999</v>
      </c>
      <c r="AK63" s="13">
        <f t="shared" si="35"/>
        <v>41.20679526204917</v>
      </c>
      <c r="AL63" s="20">
        <f t="shared" si="4"/>
        <v>353.24970174806896</v>
      </c>
      <c r="AM63" s="59">
        <f t="shared" si="5"/>
        <v>646.58303508140227</v>
      </c>
      <c r="AN63" s="59">
        <f ca="1">AVERAGE(OFFSET($AM$3,0,0,'Données projet'!$E$10+1,1))-AVERAGE(OFFSET($H$3,0,0,'Données projet'!$E$10+1,1))</f>
        <v>223.92539057016376</v>
      </c>
      <c r="AO63" s="59">
        <f t="shared" si="36"/>
        <v>94.125825809616856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14</v>
      </c>
      <c r="AR63" s="16">
        <f>IF(ISNA(VLOOKUP(A63,'Données projet'!$A$61:$I$81,5,0)),0%,VLOOKUP(A63,'Données projet'!$A$61:$I$81,5,0)*VLOOKUP('Données projet'!$B$10,Paramètres!$A$1:$I$89,7,0))</f>
        <v>0.129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7.4050702042787782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7.4050702042787782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148</v>
      </c>
      <c r="BB63" s="12">
        <f>VLOOKUP(A63,'Données projet'!$A$87:$I$107,9,0)</f>
        <v>5.4</v>
      </c>
      <c r="BC63" s="12">
        <f t="array" ref="BC63">INDEX(BB:BB,MIN(IF(ISNUMBER(BB63:BB259),ROW(BB63:BB259),"")))</f>
        <v>5.4</v>
      </c>
      <c r="BD63" s="12">
        <f>IF('Données projet'!$A$88&gt;35,BD62+BC63-BL62,IF(A63&lt;'Données projet'!$A$88,$BA$205^A63,IF(A63='Données projet'!$A$88,'Données projet'!$B$88,BD62+BC63-BL62)))</f>
        <v>147.99999999999997</v>
      </c>
      <c r="BE63" s="13">
        <f>BD63*VLOOKUP('Données projet'!$B$11,Paramètres!$A$1:$I$89,3,0)*VLOOKUP('Données projet'!$B$11,Paramètres!$A$1:$I$89,5,0)</f>
        <v>168.54239999999996</v>
      </c>
      <c r="BF63" s="13">
        <f t="shared" si="37"/>
        <v>42.763406246208213</v>
      </c>
      <c r="BG63" s="20">
        <f t="shared" si="7"/>
        <v>368.02427921214581</v>
      </c>
      <c r="BH63" s="59">
        <f t="shared" si="8"/>
        <v>661.35761254547913</v>
      </c>
      <c r="BI63" s="59">
        <f ca="1">AVERAGE(OFFSET($BH$3,0,0,'Données projet'!$E$11+1,1))-AVERAGE(OFFSET($H$3,0,0,'Données projet'!$E$11+1,1))</f>
        <v>236.39682613502913</v>
      </c>
      <c r="BJ63" s="59">
        <f t="shared" si="38"/>
        <v>99.639724892155641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0.129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7.7224303558907259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7.7224303558907259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148</v>
      </c>
      <c r="CR63" s="12">
        <f>VLOOKUP(A63,'Données projet'!$A$139:$I$159,9,0)</f>
        <v>5.4</v>
      </c>
      <c r="CS63" s="12">
        <f t="array" ref="CS63">INDEX(CR:CR,MIN(IF(ISNUMBER(CR63:CR259),ROW(CR63:CR259),"")))</f>
        <v>5.4</v>
      </c>
      <c r="CT63" s="12">
        <f>IF('Données projet'!$A$140&gt;35,CT62+CS63-DB62,IF(A63&lt;'Données projet'!$A$140,$CQ$205^A63,IF(A63='Données projet'!$A$140,'Données projet'!$B$140,CT62+CS63-DB62)))</f>
        <v>147.99999999999997</v>
      </c>
      <c r="CU63" s="17">
        <f>CT63*VLOOKUP('Données projet'!$B$13,Paramètres!$A$1:$I$89,3,0)*VLOOKUP('Données projet'!$B$13,Paramètres!$A$1:$I$89,5,0)</f>
        <v>124.67519999999999</v>
      </c>
      <c r="CV63" s="13">
        <f t="shared" si="41"/>
        <v>32.762975561628714</v>
      </c>
      <c r="CW63" s="20">
        <f t="shared" si="13"/>
        <v>274.20482243650332</v>
      </c>
      <c r="CX63" s="59">
        <f t="shared" si="14"/>
        <v>567.53815576983664</v>
      </c>
      <c r="CY63" s="59">
        <f ca="1">AVERAGE(OFFSET($CX$3,0,0,'Données projet'!$E$13+1,1))-AVERAGE(OFFSET($H$3,0,0,'Données projet'!$E$13+1,1))</f>
        <v>157.20393815370375</v>
      </c>
      <c r="CZ63" s="59">
        <f t="shared" si="42"/>
        <v>64.616965816756363</v>
      </c>
      <c r="DA63" s="15">
        <f>IF(ISNA(VLOOKUP(A63,'Données projet'!$A$139:$I$159,3,0)),0,VLOOKUP(A63,'Données projet'!$A$139:$I$159,3,0))</f>
        <v>8</v>
      </c>
      <c r="DB63" s="15">
        <f>IF(ISNA(VLOOKUP(A63,'Données projet'!$A$139:$I$159,4,0)),0,VLOOKUP(A63,'Données projet'!$A$139:$I$159,4,0))</f>
        <v>14</v>
      </c>
      <c r="DC63" s="16">
        <f>IF(ISNA(VLOOKUP(A63,'Données projet'!$A$139:$I$159,5,0)),0%,VLOOKUP(A63,'Données projet'!$A$139:$I$159,5,0)*VLOOKUP('Données projet'!$B$13,Paramètres!$A$1:$I$89,7,0))</f>
        <v>0.129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5.7124827290150568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5.7124827290150568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294</v>
      </c>
      <c r="DM63" s="12">
        <f>VLOOKUP(A63,'Données projet'!$A$165:$I$185,9,0)</f>
        <v>6.2</v>
      </c>
      <c r="DN63" s="12">
        <f t="array" ref="DN63">INDEX(DM:DM,MIN(IF(ISNUMBER(DM63:DM259),ROW(DM63:DM259),"")))</f>
        <v>6.2</v>
      </c>
      <c r="DO63" s="12">
        <f>IF('Données projet'!$A$166&gt;35,DO62+DN63-DW62,IF(A63&lt;'Données projet'!$A$166,$DL$205^A63,IF(A63='Données projet'!$A$166,'Données projet'!$B$166,DO62+DN63-DW62)))</f>
        <v>293.99999999999989</v>
      </c>
      <c r="DP63" s="17">
        <f>DO63*VLOOKUP('Données projet'!$B$14,Paramètres!$A$1:$I$89,3,0)*VLOOKUP('Données projet'!$B$14,Paramètres!$A$1:$I$89,5,0)</f>
        <v>238.4927999999999</v>
      </c>
      <c r="DQ63" s="13">
        <f t="shared" si="43"/>
        <v>58.115130258576542</v>
      </c>
      <c r="DR63" s="20">
        <f t="shared" si="16"/>
        <v>516.59214520035403</v>
      </c>
      <c r="DS63" s="59">
        <f t="shared" si="17"/>
        <v>809.92547853368728</v>
      </c>
      <c r="DT63" s="59">
        <f ca="1">AVERAGE(OFFSET($DS$3,0,0,'Données projet'!$E$14+1,1))-AVERAGE(OFFSET($H$3,0,0,'Données projet'!$E$14+1,1))</f>
        <v>221.78186926953776</v>
      </c>
      <c r="DU63" s="59">
        <f t="shared" si="44"/>
        <v>276.69392352410654</v>
      </c>
      <c r="DV63" s="15">
        <f>IF(ISNA(VLOOKUP(A63,'Données projet'!$A$165:$I$185,3,0)),0,VLOOKUP(A63,'Données projet'!$A$165:$I$185,3,0))</f>
        <v>11</v>
      </c>
      <c r="DW63" s="15">
        <f>IF(ISNA(VLOOKUP(A63,'Données projet'!$A$165:$I$185,4,0)),0,VLOOKUP(A63,'Données projet'!$A$165:$I$185,4,0))</f>
        <v>294</v>
      </c>
      <c r="DX63" s="16">
        <f>IF(ISNA(VLOOKUP(A63,'Données projet'!$A$165:$I$185,5,0)),0%,VLOOKUP(A63,'Données projet'!$A$165:$I$185,5,0)*VLOOKUP('Données projet'!$B$14,Paramètres!$A$1:$I$89,7,0))</f>
        <v>0.30099999999999999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99.440139178364731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99.440139178364731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148</v>
      </c>
      <c r="EH63" s="12">
        <f>VLOOKUP(A63,'Données projet'!$A$191:$I$211,9,0)</f>
        <v>5.4</v>
      </c>
      <c r="EI63" s="12">
        <f t="array" ref="EI63">INDEX(EH:EH,MIN(IF(ISNUMBER(EH63:EH259),ROW(EH63:EH259),"")))</f>
        <v>5.4</v>
      </c>
      <c r="EJ63" s="12">
        <f>IF('Données projet'!$A$192&gt;35,EJ62+EI63-ER62,IF(A63&lt;'Données projet'!$A$192,$EG$205^A63,IF(A63='Données projet'!$A$192,'Données projet'!$B$192,EJ62+EI63-ER62)))</f>
        <v>147.99999999999997</v>
      </c>
      <c r="EK63" s="17">
        <f>EJ63*VLOOKUP('Données projet'!$B$15,Paramètres!$A$1:$I$89,3,0)*VLOOKUP('Données projet'!$B$15,Paramètres!$A$1:$I$89,5,0)</f>
        <v>159.30719999999997</v>
      </c>
      <c r="EL63" s="13">
        <f t="shared" si="45"/>
        <v>40.686212990054052</v>
      </c>
      <c r="EM63" s="20">
        <f t="shared" si="19"/>
        <v>348.32186095767742</v>
      </c>
      <c r="EN63" s="59">
        <f t="shared" si="20"/>
        <v>641.65519429101073</v>
      </c>
      <c r="EO63" s="59">
        <f ca="1">AVERAGE(OFFSET($EN$3,0,0,'Données projet'!$E$15+1,1))-AVERAGE(OFFSET($H$3,0,0,'Données projet'!$E$15+1,1))</f>
        <v>219.76574638403434</v>
      </c>
      <c r="EP63" s="59">
        <f t="shared" si="46"/>
        <v>92.286636088269972</v>
      </c>
      <c r="EQ63" s="15">
        <f>IF(ISNA(VLOOKUP(A63,'Données projet'!$A$191:$I$211,3,0)),0,VLOOKUP(A63,'Données projet'!$A$191:$I$211,3,0))</f>
        <v>8</v>
      </c>
      <c r="ER63" s="15">
        <f>IF(ISNA(VLOOKUP(A63,'Données projet'!$A$191:$I$211,4,0)),0,VLOOKUP(A63,'Données projet'!$A$191:$I$211,4,0))</f>
        <v>14</v>
      </c>
      <c r="ES63" s="16">
        <f>IF(ISNA(VLOOKUP(A63,'Données projet'!$A$191:$I$211,5,0)),0%,VLOOKUP(A63,'Données projet'!$A$191:$I$211,5,0)*VLOOKUP('Données projet'!$B$15,Paramètres!$A$1:$I$89,7,0))</f>
        <v>0.129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7.2992834870747938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7.2992834870747938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300</v>
      </c>
      <c r="FC63" s="12">
        <f>VLOOKUP(A63,'Données projet'!$A$217:$I$237,9,0)</f>
        <v>9.5</v>
      </c>
      <c r="FD63" s="12">
        <f t="array" ref="FD63">INDEX(FC:FC,MIN(IF(ISNUMBER(FC63:FC259),ROW(FC63:FC259),"")))</f>
        <v>9.5</v>
      </c>
      <c r="FE63" s="12">
        <f>IF('Données projet'!$A$218&gt;35,FE62+FD63-FM62,IF(A63&lt;'Données projet'!$A$218,$FB$205^A63,IF(A63='Données projet'!$A$218,'Données projet'!$B$218,FE62+FD63-FM62)))</f>
        <v>300</v>
      </c>
      <c r="FF63" s="17">
        <f>FE63*VLOOKUP('Données projet'!$B$16,Paramètres!$A$1:$I$89,3,0)*VLOOKUP('Données projet'!$B$16,Paramètres!$A$1:$I$89,5,0)</f>
        <v>140.4</v>
      </c>
      <c r="FG63" s="13">
        <f t="shared" si="47"/>
        <v>36.388624656711201</v>
      </c>
      <c r="FH63" s="20">
        <f t="shared" si="22"/>
        <v>307.90685461043864</v>
      </c>
      <c r="FI63" s="59">
        <f t="shared" si="23"/>
        <v>601.24018794377196</v>
      </c>
      <c r="FJ63" s="59">
        <f ca="1">AVERAGE(OFFSET($FI$3,0,0,'Données projet'!$E$16+1,1))-AVERAGE(OFFSET($H$3,0,0,'Données projet'!$E$16+1,1))</f>
        <v>86.164294406232727</v>
      </c>
      <c r="FK63" s="59">
        <f t="shared" si="48"/>
        <v>138.91188401562334</v>
      </c>
      <c r="FL63" s="15">
        <f>IF(ISNA(VLOOKUP(A63,'Données projet'!$A$217:$I$237,3,0)),0,VLOOKUP(A63,'Données projet'!$A$217:$I$237,3,0))</f>
        <v>4</v>
      </c>
      <c r="FM63" s="15">
        <f>IF(ISNA(VLOOKUP(A63,'Données projet'!$A$217:$I$237,4,0)),0,VLOOKUP(A63,'Données projet'!$A$217:$I$237,4,0))</f>
        <v>300</v>
      </c>
      <c r="FN63" s="16">
        <f>IF(ISNA(VLOOKUP(A63,'Données projet'!$A$217:$I$237,5,0)),0%,VLOOKUP(A63,'Données projet'!$A$217:$I$237,5,0)*VLOOKUP('Données projet'!$B$16,Paramètres!$A$1:$I$89,7,0))</f>
        <v>0.27500000000000002</v>
      </c>
      <c r="FO63" s="16">
        <f>IF(ISNA(VLOOKUP(A63,'Données projet'!$A$217:$I$237,6,0)),0%,VLOOKUP(A63,'Données projet'!$A$217:$I$237,6,0)*VLOOKUP('Données projet'!$B$16,Paramètres!$A$1:$I$89,7,0))</f>
        <v>0.15400000000000003</v>
      </c>
      <c r="FP63" s="16">
        <f>IF(ISNA(VLOOKUP(A63,'Données projet'!$A$217:$I$237,7,0)),0%,VLOOKUP(A63,'Données projet'!$A$217:$I$237,7,0))</f>
        <v>0.22</v>
      </c>
      <c r="FQ63" s="21">
        <f>EXP(-LN(2)/35)*FQ62+(1-EXP(-LN(2)/35))/(LN(2)/35)*FM63*FN63*VLOOKUP('Données projet'!$B$16,Paramètres!$A$1:$I$89,3,0)*0.475*44/12</f>
        <v>62.906608731536799</v>
      </c>
      <c r="FR63" s="21">
        <f>EXP(-LN(2)/25)*FR62+(1-EXP(-LN(2)/25))/(LN(2)/25)*Calculateur!FM63*Calculateur!FO63*VLOOKUP('Données projet'!$B$16,Paramètres!$A$1:$I$89,3,0)*0.475*44/12</f>
        <v>41.423946426431527</v>
      </c>
      <c r="FS63" s="21">
        <f>EXP(-LN(2)/2)*FS62+(1-EXP(-LN(2)/2))/(LN(2)/2)*FM63*FP63*VLOOKUP('Données projet'!$B$16,Paramètres!$A$1:$I$89,3,0)*0.475*44/12</f>
        <v>35.196073772025009</v>
      </c>
      <c r="FT63" s="22">
        <f t="shared" si="24"/>
        <v>139.52662892999334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150.21793637331223</v>
      </c>
      <c r="T64" s="59">
        <f t="shared" si="34"/>
        <v>364.59164590134486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57.712508626308257</v>
      </c>
      <c r="AA64" s="21">
        <f>EXP(-LN(2)/25)*AA63+(1-EXP(-LN(2)/25))/(LN(2)/25)*Calculateur!V64*Calculateur!X64*VLOOKUP('Données projet'!$B$9,Paramètres!$A$1:$I$89,3,0)*0.475*44/12</f>
        <v>9.5356985936058241</v>
      </c>
      <c r="AB64" s="21">
        <f>EXP(-LN(2)/2)*AB63+(1-EXP(-LN(2)/2))/(LN(2)/2)*V64*Y64*VLOOKUP('Données projet'!$B$9,Paramètres!$A$1:$I$89,3,0)*0.475*44/12</f>
        <v>4.1767338350329327E-4</v>
      </c>
      <c r="AC64" s="22">
        <f t="shared" si="3"/>
        <v>67.248624893297588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5.4</v>
      </c>
      <c r="AI64" s="13">
        <f>IF('Données projet'!$A$62&gt;35,AI63+AH64-AQ63,IF(A64&lt;'Données projet'!$A$62,$AF$205^A64,IF(A64='Données projet'!$A$62,'Données projet'!$B$62,AI63+AH64-AQ63)))</f>
        <v>139.39999999999998</v>
      </c>
      <c r="AJ64" s="13">
        <f>AI64*VLOOKUP('Données projet'!$B$10,Paramètres!$A$1:$I$89,3,0)*VLOOKUP('Données projet'!$B$10,Paramètres!$A$1:$I$89,5,0)</f>
        <v>152.22479999999999</v>
      </c>
      <c r="AK64" s="13">
        <f t="shared" si="35"/>
        <v>39.08374535455718</v>
      </c>
      <c r="AL64" s="20">
        <f t="shared" si="4"/>
        <v>333.19571649252038</v>
      </c>
      <c r="AM64" s="59">
        <f t="shared" si="5"/>
        <v>626.52904982585369</v>
      </c>
      <c r="AN64" s="59">
        <f ca="1">AVERAGE(OFFSET($AM$3,0,0,'Données projet'!$E$10+1,1))-AVERAGE(OFFSET($H$3,0,0,'Données projet'!$E$10+1,1))</f>
        <v>223.92539057016376</v>
      </c>
      <c r="AO64" s="59">
        <f t="shared" si="36"/>
        <v>94.125825809616856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7.2598612942197143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7.2598612942197143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5.4</v>
      </c>
      <c r="BD64" s="12">
        <f>IF('Données projet'!$A$88&gt;35,BD63+BC64-BL63,IF(A64&lt;'Données projet'!$A$88,$BA$205^A64,IF(A64='Données projet'!$A$88,'Données projet'!$B$88,BD63+BC64-BL63)))</f>
        <v>139.39999999999998</v>
      </c>
      <c r="BE64" s="13">
        <f>BD64*VLOOKUP('Données projet'!$B$11,Paramètres!$A$1:$I$89,3,0)*VLOOKUP('Données projet'!$B$11,Paramètres!$A$1:$I$89,5,0)</f>
        <v>158.74871999999999</v>
      </c>
      <c r="BF64" s="13">
        <f t="shared" si="37"/>
        <v>40.560156876833695</v>
      </c>
      <c r="BG64" s="20">
        <f t="shared" si="7"/>
        <v>347.12962722715201</v>
      </c>
      <c r="BH64" s="59">
        <f t="shared" si="8"/>
        <v>640.46296056048527</v>
      </c>
      <c r="BI64" s="59">
        <f ca="1">AVERAGE(OFFSET($BH$3,0,0,'Données projet'!$E$11+1,1))-AVERAGE(OFFSET($H$3,0,0,'Données projet'!$E$11+1,1))</f>
        <v>236.39682613502913</v>
      </c>
      <c r="BJ64" s="59">
        <f t="shared" si="38"/>
        <v>99.639724892155641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7.5709982068291302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7.5709982068291302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5.4</v>
      </c>
      <c r="CT64" s="12">
        <f>IF('Données projet'!$A$140&gt;35,CT63+CS64-DB63,IF(A64&lt;'Données projet'!$A$140,$CQ$205^A64,IF(A64='Données projet'!$A$140,'Données projet'!$B$140,CT63+CS64-DB63)))</f>
        <v>139.39999999999998</v>
      </c>
      <c r="CU64" s="17">
        <f>CT64*VLOOKUP('Données projet'!$B$13,Paramètres!$A$1:$I$89,3,0)*VLOOKUP('Données projet'!$B$13,Paramètres!$A$1:$I$89,5,0)</f>
        <v>117.43056</v>
      </c>
      <c r="CV64" s="13">
        <f t="shared" si="41"/>
        <v>31.074966780724115</v>
      </c>
      <c r="CW64" s="20">
        <f t="shared" si="13"/>
        <v>258.64712580976118</v>
      </c>
      <c r="CX64" s="59">
        <f t="shared" si="14"/>
        <v>551.98045914309455</v>
      </c>
      <c r="CY64" s="59">
        <f ca="1">AVERAGE(OFFSET($CX$3,0,0,'Données projet'!$E$13+1,1))-AVERAGE(OFFSET($H$3,0,0,'Données projet'!$E$13+1,1))</f>
        <v>157.20393815370375</v>
      </c>
      <c r="CZ64" s="59">
        <f t="shared" si="42"/>
        <v>64.616965816756363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5.6004644269694932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5.6004644269694932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-1.1368683772161603E-13</v>
      </c>
      <c r="DP64" s="17">
        <f>DO64*VLOOKUP('Données projet'!$B$14,Paramètres!$A$1:$I$89,3,0)*VLOOKUP('Données projet'!$B$14,Paramètres!$A$1:$I$89,5,0)</f>
        <v>-9.2222762759774927E-14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221.78186926953776</v>
      </c>
      <c r="DU64" s="59">
        <f t="shared" si="44"/>
        <v>276.69392352410654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97.490178701572958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97.490178701572958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5.4</v>
      </c>
      <c r="EJ64" s="12">
        <f>IF('Données projet'!$A$192&gt;35,EJ63+EI64-ER63,IF(A64&lt;'Données projet'!$A$192,$EG$205^A64,IF(A64='Données projet'!$A$192,'Données projet'!$B$192,EJ63+EI64-ER63)))</f>
        <v>139.39999999999998</v>
      </c>
      <c r="EK64" s="17">
        <f>EJ64*VLOOKUP('Données projet'!$B$15,Paramètres!$A$1:$I$89,3,0)*VLOOKUP('Données projet'!$B$15,Paramètres!$A$1:$I$89,5,0)</f>
        <v>150.05015999999998</v>
      </c>
      <c r="EL64" s="13">
        <f t="shared" si="45"/>
        <v>38.589984439024569</v>
      </c>
      <c r="EM64" s="20">
        <f t="shared" si="19"/>
        <v>328.54825156463437</v>
      </c>
      <c r="EN64" s="59">
        <f t="shared" si="20"/>
        <v>621.88158489796774</v>
      </c>
      <c r="EO64" s="59">
        <f ca="1">AVERAGE(OFFSET($EN$3,0,0,'Données projet'!$E$15+1,1))-AVERAGE(OFFSET($H$3,0,0,'Données projet'!$E$15+1,1))</f>
        <v>219.76574638403434</v>
      </c>
      <c r="EP64" s="59">
        <f t="shared" si="46"/>
        <v>92.286636088269972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7.1561489900165736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7.1561489900165736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>
        <f>FE64*VLOOKUP('Données projet'!$B$16,Paramètres!$A$1:$I$89,3,0)*VLOOKUP('Données projet'!$B$16,Paramètres!$A$1:$I$89,5,0)</f>
        <v>0</v>
      </c>
      <c r="FG64" s="13" t="e">
        <f t="shared" si="47"/>
        <v>#NUM!</v>
      </c>
      <c r="FH64" s="20" t="e">
        <f t="shared" si="22"/>
        <v>#NUM!</v>
      </c>
      <c r="FI64" s="59" t="e">
        <f t="shared" si="23"/>
        <v>#NUM!</v>
      </c>
      <c r="FJ64" s="59">
        <f ca="1">AVERAGE(OFFSET($FI$3,0,0,'Données projet'!$E$16+1,1))-AVERAGE(OFFSET($H$3,0,0,'Données projet'!$E$16+1,1))</f>
        <v>86.164294406232727</v>
      </c>
      <c r="FK64" s="59">
        <f t="shared" si="48"/>
        <v>138.91188401562334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61.673048503554043</v>
      </c>
      <c r="FR64" s="21">
        <f>EXP(-LN(2)/25)*FR63+(1-EXP(-LN(2)/25))/(LN(2)/25)*Calculateur!FM64*Calculateur!FO64*VLOOKUP('Données projet'!$B$16,Paramètres!$A$1:$I$89,3,0)*0.475*44/12</f>
        <v>40.291206433010089</v>
      </c>
      <c r="FS64" s="21">
        <f>EXP(-LN(2)/2)*FS63+(1-EXP(-LN(2)/2))/(LN(2)/2)*FM64*FP64*VLOOKUP('Données projet'!$B$16,Paramètres!$A$1:$I$89,3,0)*0.475*44/12</f>
        <v>24.887382435340875</v>
      </c>
      <c r="FT64" s="22">
        <f t="shared" si="24"/>
        <v>126.85163737190501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150.21793637331223</v>
      </c>
      <c r="T65" s="59">
        <f t="shared" si="34"/>
        <v>364.59164590134486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56.580801533300786</v>
      </c>
      <c r="AA65" s="21">
        <f>EXP(-LN(2)/25)*AA64+(1-EXP(-LN(2)/25))/(LN(2)/25)*Calculateur!V65*Calculateur!X65*VLOOKUP('Données projet'!$B$9,Paramètres!$A$1:$I$89,3,0)*0.475*44/12</f>
        <v>9.2749444141030786</v>
      </c>
      <c r="AB65" s="21">
        <f>EXP(-LN(2)/2)*AB64+(1-EXP(-LN(2)/2))/(LN(2)/2)*V65*Y65*VLOOKUP('Données projet'!$B$9,Paramètres!$A$1:$I$89,3,0)*0.475*44/12</f>
        <v>2.9533968179630814E-4</v>
      </c>
      <c r="AC65" s="22">
        <f t="shared" si="3"/>
        <v>65.85604128708566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5.4</v>
      </c>
      <c r="AI65" s="13">
        <f>IF('Données projet'!$A$62&gt;35,AI64+AH65-AQ64,IF(A65&lt;'Données projet'!$A$62,$AF$205^A65,IF(A65='Données projet'!$A$62,'Données projet'!$B$62,AI64+AH65-AQ64)))</f>
        <v>144.79999999999998</v>
      </c>
      <c r="AJ65" s="13">
        <f>AI65*VLOOKUP('Données projet'!$B$10,Paramètres!$A$1:$I$89,3,0)*VLOOKUP('Données projet'!$B$10,Paramètres!$A$1:$I$89,5,0)</f>
        <v>158.12159999999997</v>
      </c>
      <c r="AK65" s="13">
        <f t="shared" si="35"/>
        <v>40.418546284954211</v>
      </c>
      <c r="AL65" s="20">
        <f t="shared" si="4"/>
        <v>345.79075477962851</v>
      </c>
      <c r="AM65" s="59">
        <f t="shared" si="5"/>
        <v>639.12408811296177</v>
      </c>
      <c r="AN65" s="59">
        <f ca="1">AVERAGE(OFFSET($AM$3,0,0,'Données projet'!$E$10+1,1))-AVERAGE(OFFSET($H$3,0,0,'Données projet'!$E$10+1,1))</f>
        <v>223.92539057016376</v>
      </c>
      <c r="AO65" s="59">
        <f t="shared" si="36"/>
        <v>94.125825809616856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7.1174998423182183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7.1174998423182183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5.4</v>
      </c>
      <c r="BD65" s="12">
        <f>IF('Données projet'!$A$88&gt;35,BD64+BC65-BL64,IF(A65&lt;'Données projet'!$A$88,$BA$205^A65,IF(A65='Données projet'!$A$88,'Données projet'!$B$88,BD64+BC65-BL64)))</f>
        <v>144.79999999999998</v>
      </c>
      <c r="BE65" s="13">
        <f>BD65*VLOOKUP('Données projet'!$B$11,Paramètres!$A$1:$I$89,3,0)*VLOOKUP('Données projet'!$B$11,Paramètres!$A$1:$I$89,5,0)</f>
        <v>164.89823999999999</v>
      </c>
      <c r="BF65" s="13">
        <f t="shared" si="37"/>
        <v>41.945380699297679</v>
      </c>
      <c r="BG65" s="20">
        <f t="shared" si="7"/>
        <v>360.25263938461012</v>
      </c>
      <c r="BH65" s="59">
        <f t="shared" si="8"/>
        <v>653.58597271794338</v>
      </c>
      <c r="BI65" s="59">
        <f ca="1">AVERAGE(OFFSET($BH$3,0,0,'Données projet'!$E$11+1,1))-AVERAGE(OFFSET($H$3,0,0,'Données projet'!$E$11+1,1))</f>
        <v>236.39682613502913</v>
      </c>
      <c r="BJ65" s="59">
        <f t="shared" si="38"/>
        <v>99.639724892155641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7.4225355498461418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7.4225355498461418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5.4</v>
      </c>
      <c r="CT65" s="12">
        <f>IF('Données projet'!$A$140&gt;35,CT64+CS65-DB64,IF(A65&lt;'Données projet'!$A$140,$CQ$205^A65,IF(A65='Données projet'!$A$140,'Données projet'!$B$140,CT64+CS65-DB64)))</f>
        <v>144.79999999999998</v>
      </c>
      <c r="CU65" s="17">
        <f>CT65*VLOOKUP('Données projet'!$B$13,Paramètres!$A$1:$I$89,3,0)*VLOOKUP('Données projet'!$B$13,Paramètres!$A$1:$I$89,5,0)</f>
        <v>121.97951999999999</v>
      </c>
      <c r="CV65" s="13">
        <f t="shared" si="41"/>
        <v>32.136249270277816</v>
      </c>
      <c r="CW65" s="20">
        <f t="shared" si="13"/>
        <v>268.41829814573384</v>
      </c>
      <c r="CX65" s="59">
        <f t="shared" si="14"/>
        <v>561.7516314790671</v>
      </c>
      <c r="CY65" s="59">
        <f ca="1">AVERAGE(OFFSET($CX$3,0,0,'Données projet'!$E$13+1,1))-AVERAGE(OFFSET($H$3,0,0,'Données projet'!$E$13+1,1))</f>
        <v>157.20393815370375</v>
      </c>
      <c r="CZ65" s="59">
        <f t="shared" si="42"/>
        <v>64.616965816756363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5.4906427355026253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5.4906427355026253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-1.1368683772161603E-13</v>
      </c>
      <c r="DP65" s="17">
        <f>DO65*VLOOKUP('Données projet'!$B$14,Paramètres!$A$1:$I$89,3,0)*VLOOKUP('Données projet'!$B$14,Paramètres!$A$1:$I$89,5,0)</f>
        <v>-9.2222762759774927E-14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221.78186926953776</v>
      </c>
      <c r="DU65" s="59">
        <f t="shared" si="44"/>
        <v>276.69392352410654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95.57845576037262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95.57845576037262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5.4</v>
      </c>
      <c r="EJ65" s="12">
        <f>IF('Données projet'!$A$192&gt;35,EJ64+EI65-ER64,IF(A65&lt;'Données projet'!$A$192,$EG$205^A65,IF(A65='Données projet'!$A$192,'Données projet'!$B$192,EJ64+EI65-ER64)))</f>
        <v>144.79999999999998</v>
      </c>
      <c r="EK65" s="17">
        <f>EJ65*VLOOKUP('Données projet'!$B$15,Paramètres!$A$1:$I$89,3,0)*VLOOKUP('Données projet'!$B$15,Paramètres!$A$1:$I$89,5,0)</f>
        <v>155.86271999999997</v>
      </c>
      <c r="EL65" s="13">
        <f t="shared" si="45"/>
        <v>39.907922284180763</v>
      </c>
      <c r="EM65" s="20">
        <f t="shared" si="19"/>
        <v>340.96720197828142</v>
      </c>
      <c r="EN65" s="59">
        <f t="shared" si="20"/>
        <v>634.30053531161479</v>
      </c>
      <c r="EO65" s="59">
        <f ca="1">AVERAGE(OFFSET($EN$3,0,0,'Données projet'!$E$15+1,1))-AVERAGE(OFFSET($H$3,0,0,'Données projet'!$E$15+1,1))</f>
        <v>219.76574638403434</v>
      </c>
      <c r="EP65" s="59">
        <f t="shared" si="46"/>
        <v>92.286636088269972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7.015821273142242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7.015821273142242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>
        <f>FE65*VLOOKUP('Données projet'!$B$16,Paramètres!$A$1:$I$89,3,0)*VLOOKUP('Données projet'!$B$16,Paramètres!$A$1:$I$89,5,0)</f>
        <v>0</v>
      </c>
      <c r="FG65" s="13" t="e">
        <f t="shared" si="47"/>
        <v>#NUM!</v>
      </c>
      <c r="FH65" s="20" t="e">
        <f t="shared" si="22"/>
        <v>#NUM!</v>
      </c>
      <c r="FI65" s="59" t="e">
        <f t="shared" si="23"/>
        <v>#NUM!</v>
      </c>
      <c r="FJ65" s="59">
        <f ca="1">AVERAGE(OFFSET($FI$3,0,0,'Données projet'!$E$16+1,1))-AVERAGE(OFFSET($H$3,0,0,'Données projet'!$E$16+1,1))</f>
        <v>86.164294406232727</v>
      </c>
      <c r="FK65" s="59">
        <f t="shared" si="48"/>
        <v>138.91188401562334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60.46367763924458</v>
      </c>
      <c r="FR65" s="21">
        <f>EXP(-LN(2)/25)*FR64+(1-EXP(-LN(2)/25))/(LN(2)/25)*Calculateur!FM65*Calculateur!FO65*VLOOKUP('Données projet'!$B$16,Paramètres!$A$1:$I$89,3,0)*0.475*44/12</f>
        <v>39.189441274276966</v>
      </c>
      <c r="FS65" s="21">
        <f>EXP(-LN(2)/2)*FS64+(1-EXP(-LN(2)/2))/(LN(2)/2)*FM65*FP65*VLOOKUP('Données projet'!$B$16,Paramètres!$A$1:$I$89,3,0)*0.475*44/12</f>
        <v>17.598036886012508</v>
      </c>
      <c r="FT65" s="22">
        <f t="shared" si="24"/>
        <v>117.25115579953406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150.21793637331223</v>
      </c>
      <c r="T66" s="59">
        <f t="shared" si="34"/>
        <v>364.59164590134486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55.471286526114028</v>
      </c>
      <c r="AA66" s="21">
        <f>EXP(-LN(2)/25)*AA65+(1-EXP(-LN(2)/25))/(LN(2)/25)*Calculateur!V66*Calculateur!X66*VLOOKUP('Données projet'!$B$9,Paramètres!$A$1:$I$89,3,0)*0.475*44/12</f>
        <v>9.0213205713513016</v>
      </c>
      <c r="AB66" s="21">
        <f>EXP(-LN(2)/2)*AB65+(1-EXP(-LN(2)/2))/(LN(2)/2)*V66*Y66*VLOOKUP('Données projet'!$B$9,Paramètres!$A$1:$I$89,3,0)*0.475*44/12</f>
        <v>2.0883669175164664E-4</v>
      </c>
      <c r="AC66" s="22">
        <f t="shared" si="3"/>
        <v>64.492815934157079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5.4</v>
      </c>
      <c r="AI66" s="13">
        <f>IF('Données projet'!$A$62&gt;35,AI65+AH66-AQ65,IF(A66&lt;'Données projet'!$A$62,$AF$205^A66,IF(A66='Données projet'!$A$62,'Données projet'!$B$62,AI65+AH66-AQ65)))</f>
        <v>150.19999999999999</v>
      </c>
      <c r="AJ66" s="13">
        <f>AI66*VLOOKUP('Données projet'!$B$10,Paramètres!$A$1:$I$89,3,0)*VLOOKUP('Données projet'!$B$10,Paramètres!$A$1:$I$89,5,0)</f>
        <v>164.01839999999999</v>
      </c>
      <c r="AK66" s="13">
        <f t="shared" si="35"/>
        <v>41.747564141322293</v>
      </c>
      <c r="AL66" s="20">
        <f t="shared" si="4"/>
        <v>358.37572087946961</v>
      </c>
      <c r="AM66" s="59">
        <f t="shared" si="5"/>
        <v>651.70905421280293</v>
      </c>
      <c r="AN66" s="59">
        <f ca="1">AVERAGE(OFFSET($AM$3,0,0,'Données projet'!$E$10+1,1))-AVERAGE(OFFSET($H$3,0,0,'Données projet'!$E$10+1,1))</f>
        <v>223.92539057016376</v>
      </c>
      <c r="AO66" s="59">
        <f t="shared" si="36"/>
        <v>94.125825809616856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6.977930011656599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6.977930011656599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5.4</v>
      </c>
      <c r="BD66" s="12">
        <f>IF('Données projet'!$A$88&gt;35,BD65+BC66-BL65,IF(A66&lt;'Données projet'!$A$88,$BA$205^A66,IF(A66='Données projet'!$A$88,'Données projet'!$B$88,BD65+BC66-BL65)))</f>
        <v>150.19999999999999</v>
      </c>
      <c r="BE66" s="13">
        <f>BD66*VLOOKUP('Données projet'!$B$11,Paramètres!$A$1:$I$89,3,0)*VLOOKUP('Données projet'!$B$11,Paramètres!$A$1:$I$89,5,0)</f>
        <v>171.04775999999998</v>
      </c>
      <c r="BF66" s="13">
        <f t="shared" si="37"/>
        <v>43.324602988701869</v>
      </c>
      <c r="BG66" s="20">
        <f t="shared" si="7"/>
        <v>373.36519887198909</v>
      </c>
      <c r="BH66" s="59">
        <f t="shared" si="8"/>
        <v>666.69853220532241</v>
      </c>
      <c r="BI66" s="59">
        <f ca="1">AVERAGE(OFFSET($BH$3,0,0,'Données projet'!$E$11+1,1))-AVERAGE(OFFSET($H$3,0,0,'Données projet'!$E$11+1,1))</f>
        <v>236.39682613502913</v>
      </c>
      <c r="BJ66" s="59">
        <f t="shared" si="38"/>
        <v>99.639724892155641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7.2769841550133103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7.2769841550133103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5.4</v>
      </c>
      <c r="CT66" s="12">
        <f>IF('Données projet'!$A$140&gt;35,CT65+CS66-DB65,IF(A66&lt;'Données projet'!$A$140,$CQ$205^A66,IF(A66='Données projet'!$A$140,'Données projet'!$B$140,CT65+CS66-DB65)))</f>
        <v>150.19999999999999</v>
      </c>
      <c r="CU66" s="17">
        <f>CT66*VLOOKUP('Données projet'!$B$13,Paramètres!$A$1:$I$89,3,0)*VLOOKUP('Données projet'!$B$13,Paramètres!$A$1:$I$89,5,0)</f>
        <v>126.52848000000002</v>
      </c>
      <c r="CV66" s="13">
        <f t="shared" si="41"/>
        <v>33.192933714487864</v>
      </c>
      <c r="CW66" s="20">
        <f t="shared" si="13"/>
        <v>278.18146221939975</v>
      </c>
      <c r="CX66" s="59">
        <f t="shared" si="14"/>
        <v>571.51479555273306</v>
      </c>
      <c r="CY66" s="59">
        <f ca="1">AVERAGE(OFFSET($CX$3,0,0,'Données projet'!$E$13+1,1))-AVERAGE(OFFSET($H$3,0,0,'Données projet'!$E$13+1,1))</f>
        <v>157.20393815370375</v>
      </c>
      <c r="CZ66" s="59">
        <f t="shared" si="42"/>
        <v>64.616965816756363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5.3829745804208047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5.3829745804208047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-1.1368683772161603E-13</v>
      </c>
      <c r="DP66" s="17">
        <f>DO66*VLOOKUP('Données projet'!$B$14,Paramètres!$A$1:$I$89,3,0)*VLOOKUP('Données projet'!$B$14,Paramètres!$A$1:$I$89,5,0)</f>
        <v>-9.2222762759774927E-14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221.78186926953776</v>
      </c>
      <c r="DU66" s="59">
        <f t="shared" si="44"/>
        <v>276.69392352410654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93.704220540013367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93.704220540013367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5.4</v>
      </c>
      <c r="EJ66" s="12">
        <f>IF('Données projet'!$A$192&gt;35,EJ65+EI66-ER65,IF(A66&lt;'Données projet'!$A$192,$EG$205^A66,IF(A66='Données projet'!$A$192,'Données projet'!$B$192,EJ65+EI66-ER65)))</f>
        <v>150.19999999999999</v>
      </c>
      <c r="EK66" s="17">
        <f>EJ66*VLOOKUP('Données projet'!$B$15,Paramètres!$A$1:$I$89,3,0)*VLOOKUP('Données projet'!$B$15,Paramètres!$A$1:$I$89,5,0)</f>
        <v>161.67527999999999</v>
      </c>
      <c r="EL66" s="13">
        <f t="shared" si="45"/>
        <v>41.22015011524379</v>
      </c>
      <c r="EM66" s="20">
        <f t="shared" si="19"/>
        <v>353.37620745071621</v>
      </c>
      <c r="EN66" s="59">
        <f t="shared" si="20"/>
        <v>646.70954078404952</v>
      </c>
      <c r="EO66" s="59">
        <f ca="1">AVERAGE(OFFSET($EN$3,0,0,'Données projet'!$E$15+1,1))-AVERAGE(OFFSET($H$3,0,0,'Données projet'!$E$15+1,1))</f>
        <v>219.76574638403434</v>
      </c>
      <c r="EP66" s="59">
        <f t="shared" si="46"/>
        <v>92.286636088269972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6.8782452972043604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6.8782452972043604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>
        <f>FE66*VLOOKUP('Données projet'!$B$16,Paramètres!$A$1:$I$89,3,0)*VLOOKUP('Données projet'!$B$16,Paramètres!$A$1:$I$89,5,0)</f>
        <v>0</v>
      </c>
      <c r="FG66" s="13" t="e">
        <f t="shared" si="47"/>
        <v>#NUM!</v>
      </c>
      <c r="FH66" s="20" t="e">
        <f t="shared" si="22"/>
        <v>#NUM!</v>
      </c>
      <c r="FI66" s="59" t="e">
        <f t="shared" si="23"/>
        <v>#NUM!</v>
      </c>
      <c r="FJ66" s="59">
        <f ca="1">AVERAGE(OFFSET($FI$3,0,0,'Données projet'!$E$16+1,1))-AVERAGE(OFFSET($H$3,0,0,'Données projet'!$E$16+1,1))</f>
        <v>86.164294406232727</v>
      </c>
      <c r="FK66" s="59">
        <f t="shared" si="48"/>
        <v>138.91188401562334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59.278021799940838</v>
      </c>
      <c r="FR66" s="21">
        <f>EXP(-LN(2)/25)*FR65+(1-EXP(-LN(2)/25))/(LN(2)/25)*Calculateur!FM66*Calculateur!FO66*VLOOKUP('Données projet'!$B$16,Paramètres!$A$1:$I$89,3,0)*0.475*44/12</f>
        <v>38.117803941748711</v>
      </c>
      <c r="FS66" s="21">
        <f>EXP(-LN(2)/2)*FS65+(1-EXP(-LN(2)/2))/(LN(2)/2)*FM66*FP66*VLOOKUP('Données projet'!$B$16,Paramètres!$A$1:$I$89,3,0)*0.475*44/12</f>
        <v>12.443691217670439</v>
      </c>
      <c r="FT66" s="22">
        <f t="shared" si="24"/>
        <v>109.83951695935998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150.21793637331223</v>
      </c>
      <c r="T67" s="59">
        <f t="shared" si="34"/>
        <v>364.59164590134486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54.383528431480869</v>
      </c>
      <c r="AA67" s="21">
        <f>EXP(-LN(2)/25)*AA66+(1-EXP(-LN(2)/25))/(LN(2)/25)*Calculateur!V67*Calculateur!X67*VLOOKUP('Données projet'!$B$9,Paramètres!$A$1:$I$89,3,0)*0.475*44/12</f>
        <v>8.7746320859170694</v>
      </c>
      <c r="AB67" s="21">
        <f>EXP(-LN(2)/2)*AB66+(1-EXP(-LN(2)/2))/(LN(2)/2)*V67*Y67*VLOOKUP('Données projet'!$B$9,Paramètres!$A$1:$I$89,3,0)*0.475*44/12</f>
        <v>1.4766984089815407E-4</v>
      </c>
      <c r="AC67" s="22">
        <f t="shared" si="3"/>
        <v>63.158308187238838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5.4</v>
      </c>
      <c r="AI67" s="13">
        <f>IF('Données projet'!$A$62&gt;35,AI66+AH67-AQ66,IF(A67&lt;'Données projet'!$A$62,$AF$205^A67,IF(A67='Données projet'!$A$62,'Données projet'!$B$62,AI66+AH67-AQ66)))</f>
        <v>155.6</v>
      </c>
      <c r="AJ67" s="13">
        <f>AI67*VLOOKUP('Données projet'!$B$10,Paramètres!$A$1:$I$89,3,0)*VLOOKUP('Données projet'!$B$10,Paramètres!$A$1:$I$89,5,0)</f>
        <v>169.9152</v>
      </c>
      <c r="AK67" s="13">
        <f t="shared" si="35"/>
        <v>43.071030654758822</v>
      </c>
      <c r="AL67" s="20">
        <f t="shared" si="4"/>
        <v>370.95101839037164</v>
      </c>
      <c r="AM67" s="59">
        <f t="shared" si="5"/>
        <v>664.28435172370496</v>
      </c>
      <c r="AN67" s="59">
        <f ca="1">AVERAGE(OFFSET($AM$3,0,0,'Données projet'!$E$10+1,1))-AVERAGE(OFFSET($H$3,0,0,'Données projet'!$E$10+1,1))</f>
        <v>223.92539057016376</v>
      </c>
      <c r="AO67" s="59">
        <f t="shared" si="36"/>
        <v>94.125825809616856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6.8410970602450636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6.8410970602450636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5.4</v>
      </c>
      <c r="BD67" s="12">
        <f>IF('Données projet'!$A$88&gt;35,BD66+BC67-BL66,IF(A67&lt;'Données projet'!$A$88,$BA$205^A67,IF(A67='Données projet'!$A$88,'Données projet'!$B$88,BD66+BC67-BL66)))</f>
        <v>155.6</v>
      </c>
      <c r="BE67" s="13">
        <f>BD67*VLOOKUP('Données projet'!$B$11,Paramètres!$A$1:$I$89,3,0)*VLOOKUP('Données projet'!$B$11,Paramètres!$A$1:$I$89,5,0)</f>
        <v>177.19728000000001</v>
      </c>
      <c r="BF67" s="13">
        <f t="shared" si="37"/>
        <v>44.69806422992248</v>
      </c>
      <c r="BG67" s="20">
        <f t="shared" si="7"/>
        <v>386.46772453378168</v>
      </c>
      <c r="BH67" s="59">
        <f t="shared" si="8"/>
        <v>679.80105786711499</v>
      </c>
      <c r="BI67" s="59">
        <f ca="1">AVERAGE(OFFSET($BH$3,0,0,'Données projet'!$E$11+1,1))-AVERAGE(OFFSET($H$3,0,0,'Données projet'!$E$11+1,1))</f>
        <v>236.39682613502913</v>
      </c>
      <c r="BJ67" s="59">
        <f t="shared" si="38"/>
        <v>99.639724892155641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7.1342869342555666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7.1342869342555666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5.4</v>
      </c>
      <c r="CT67" s="12">
        <f>IF('Données projet'!$A$140&gt;35,CT66+CS67-DB66,IF(A67&lt;'Données projet'!$A$140,$CQ$205^A67,IF(A67='Données projet'!$A$140,'Données projet'!$B$140,CT66+CS67-DB66)))</f>
        <v>155.6</v>
      </c>
      <c r="CU67" s="17">
        <f>CT67*VLOOKUP('Données projet'!$B$13,Paramètres!$A$1:$I$89,3,0)*VLOOKUP('Données projet'!$B$13,Paramètres!$A$1:$I$89,5,0)</f>
        <v>131.07744</v>
      </c>
      <c r="CV67" s="13">
        <f t="shared" si="41"/>
        <v>34.245204359671682</v>
      </c>
      <c r="CW67" s="20">
        <f t="shared" si="13"/>
        <v>287.93693892642813</v>
      </c>
      <c r="CX67" s="59">
        <f t="shared" si="14"/>
        <v>581.27027225976144</v>
      </c>
      <c r="CY67" s="59">
        <f ca="1">AVERAGE(OFFSET($CX$3,0,0,'Données projet'!$E$13+1,1))-AVERAGE(OFFSET($H$3,0,0,'Données projet'!$E$13+1,1))</f>
        <v>157.20393815370375</v>
      </c>
      <c r="CZ67" s="59">
        <f t="shared" si="42"/>
        <v>64.616965816756363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5.2774177321890487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5.2774177321890487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-1.1368683772161603E-13</v>
      </c>
      <c r="DP67" s="17">
        <f>DO67*VLOOKUP('Données projet'!$B$14,Paramètres!$A$1:$I$89,3,0)*VLOOKUP('Données projet'!$B$14,Paramètres!$A$1:$I$89,5,0)</f>
        <v>-9.2222762759774927E-14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221.78186926953776</v>
      </c>
      <c r="DU67" s="59">
        <f t="shared" si="44"/>
        <v>276.69392352410654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91.866737929154752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91.866737929154752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5.4</v>
      </c>
      <c r="EJ67" s="12">
        <f>IF('Données projet'!$A$192&gt;35,EJ66+EI67-ER66,IF(A67&lt;'Données projet'!$A$192,$EG$205^A67,IF(A67='Données projet'!$A$192,'Données projet'!$B$192,EJ66+EI67-ER66)))</f>
        <v>155.6</v>
      </c>
      <c r="EK67" s="17">
        <f>EJ67*VLOOKUP('Données projet'!$B$15,Paramètres!$A$1:$I$89,3,0)*VLOOKUP('Données projet'!$B$15,Paramètres!$A$1:$I$89,5,0)</f>
        <v>167.48783999999998</v>
      </c>
      <c r="EL67" s="13">
        <f t="shared" si="45"/>
        <v>42.526896735757454</v>
      </c>
      <c r="EM67" s="20">
        <f t="shared" si="19"/>
        <v>365.77566648144415</v>
      </c>
      <c r="EN67" s="59">
        <f t="shared" si="20"/>
        <v>659.10899981477746</v>
      </c>
      <c r="EO67" s="59">
        <f ca="1">AVERAGE(OFFSET($EN$3,0,0,'Données projet'!$E$15+1,1))-AVERAGE(OFFSET($H$3,0,0,'Données projet'!$E$15+1,1))</f>
        <v>219.76574638403434</v>
      </c>
      <c r="EP67" s="59">
        <f t="shared" si="46"/>
        <v>92.286636088269972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6.7433671022415611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6.7433671022415611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>
        <f>FE67*VLOOKUP('Données projet'!$B$16,Paramètres!$A$1:$I$89,3,0)*VLOOKUP('Données projet'!$B$16,Paramètres!$A$1:$I$89,5,0)</f>
        <v>0</v>
      </c>
      <c r="FG67" s="13" t="e">
        <f t="shared" si="47"/>
        <v>#NUM!</v>
      </c>
      <c r="FH67" s="20" t="e">
        <f t="shared" si="22"/>
        <v>#NUM!</v>
      </c>
      <c r="FI67" s="59" t="e">
        <f t="shared" si="23"/>
        <v>#NUM!</v>
      </c>
      <c r="FJ67" s="59">
        <f ca="1">AVERAGE(OFFSET($FI$3,0,0,'Données projet'!$E$16+1,1))-AVERAGE(OFFSET($H$3,0,0,'Données projet'!$E$16+1,1))</f>
        <v>86.164294406232727</v>
      </c>
      <c r="FK67" s="59">
        <f t="shared" si="48"/>
        <v>138.91188401562334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58.115615948467187</v>
      </c>
      <c r="FR67" s="21">
        <f>EXP(-LN(2)/25)*FR66+(1-EXP(-LN(2)/25))/(LN(2)/25)*Calculateur!FM67*Calculateur!FO67*VLOOKUP('Données projet'!$B$16,Paramètres!$A$1:$I$89,3,0)*0.475*44/12</f>
        <v>37.075470588433404</v>
      </c>
      <c r="FS67" s="21">
        <f>EXP(-LN(2)/2)*FS66+(1-EXP(-LN(2)/2))/(LN(2)/2)*FM67*FP67*VLOOKUP('Données projet'!$B$16,Paramètres!$A$1:$I$89,3,0)*0.475*44/12</f>
        <v>8.7990184430062559</v>
      </c>
      <c r="FT67" s="22">
        <f t="shared" si="24"/>
        <v>103.99010497990686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150.21793637331223</v>
      </c>
      <c r="T68" s="59">
        <f t="shared" si="34"/>
        <v>364.59164590134486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53.317100609616539</v>
      </c>
      <c r="AA68" s="21">
        <f>EXP(-LN(2)/25)*AA67+(1-EXP(-LN(2)/25))/(LN(2)/25)*Calculateur!V68*Calculateur!X68*VLOOKUP('Données projet'!$B$9,Paramètres!$A$1:$I$89,3,0)*0.475*44/12</f>
        <v>8.5346893100898207</v>
      </c>
      <c r="AB68" s="21">
        <f>EXP(-LN(2)/2)*AB67+(1-EXP(-LN(2)/2))/(LN(2)/2)*V68*Y68*VLOOKUP('Données projet'!$B$9,Paramètres!$A$1:$I$89,3,0)*0.475*44/12</f>
        <v>1.0441834587582332E-4</v>
      </c>
      <c r="AC68" s="22">
        <f t="shared" ref="AC68:AC131" si="57">SUM(Z68:AB68)</f>
        <v>61.85189433805224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161</v>
      </c>
      <c r="AG68" s="12">
        <f>VLOOKUP(A68,'Données projet'!$A$61:$I$81,9,0)</f>
        <v>5.4</v>
      </c>
      <c r="AH68" s="12">
        <f t="array" ref="AH68">INDEX(AG:AG,MIN(IF(ISNUMBER(AG68:AG264),ROW(AG68:AG264),"")))</f>
        <v>5.4</v>
      </c>
      <c r="AI68" s="13">
        <f>IF('Données projet'!$A$62&gt;35,AI67+AH68-AQ67,IF(A68&lt;'Données projet'!$A$62,$AF$205^A68,IF(A68='Données projet'!$A$62,'Données projet'!$B$62,AI67+AH68-AQ67)))</f>
        <v>161</v>
      </c>
      <c r="AJ68" s="13">
        <f>AI68*VLOOKUP('Données projet'!$B$10,Paramètres!$A$1:$I$89,3,0)*VLOOKUP('Données projet'!$B$10,Paramètres!$A$1:$I$89,5,0)</f>
        <v>175.81199999999998</v>
      </c>
      <c r="AK68" s="13">
        <f t="shared" si="35"/>
        <v>44.389160560041141</v>
      </c>
      <c r="AL68" s="20">
        <f t="shared" ref="AL68:AL131" si="58">(AJ68+AK68)*0.475*44/12</f>
        <v>383.51702130873826</v>
      </c>
      <c r="AM68" s="59">
        <f t="shared" ref="AM68:AM131" si="59">AL68+(AD68+AE68)*44/12</f>
        <v>676.85035464207158</v>
      </c>
      <c r="AN68" s="59">
        <f ca="1">AVERAGE(OFFSET($AM$3,0,0,'Données projet'!$E$10+1,1))-AVERAGE(OFFSET($H$3,0,0,'Données projet'!$E$10+1,1))</f>
        <v>223.92539057016376</v>
      </c>
      <c r="AO68" s="59">
        <f t="shared" si="36"/>
        <v>94.125825809616856</v>
      </c>
      <c r="AP68" s="15">
        <f>IF(ISNA(VLOOKUP(A68,'Données projet'!$A$61:$I$81,3,0)),0,VLOOKUP(A68,'Données projet'!$A$61:$I$81,3,0))</f>
        <v>9</v>
      </c>
      <c r="AQ68" s="15">
        <f>IF(ISNA(VLOOKUP(A68,'Données projet'!$A$61:$I$81,4,0)),0,VLOOKUP(A68,'Données projet'!$A$61:$I$81,4,0))</f>
        <v>14</v>
      </c>
      <c r="AR68" s="16">
        <f>IF(ISNA(VLOOKUP(A68,'Données projet'!$A$61:$I$81,5,0)),0%,VLOOKUP(A68,'Données projet'!$A$61:$I$81,5,0)*VLOOKUP('Données projet'!$B$10,Paramètres!$A$1:$I$89,7,0))</f>
        <v>0.17200000000000001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9.6138214794664059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9.6138214794664059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161</v>
      </c>
      <c r="BB68" s="12">
        <f>VLOOKUP(A68,'Données projet'!$A$87:$I$107,9,0)</f>
        <v>5.4</v>
      </c>
      <c r="BC68" s="12">
        <f t="array" ref="BC68">INDEX(BB:BB,MIN(IF(ISNUMBER(BB68:BB264),ROW(BB68:BB264),"")))</f>
        <v>5.4</v>
      </c>
      <c r="BD68" s="12">
        <f>IF('Données projet'!$A$88&gt;35,BD67+BC68-BL67,IF(A68&lt;'Données projet'!$A$88,$BA$205^A68,IF(A68='Données projet'!$A$88,'Données projet'!$B$88,BD67+BC68-BL67)))</f>
        <v>161</v>
      </c>
      <c r="BE68" s="13">
        <f>BD68*VLOOKUP('Données projet'!$B$11,Paramètres!$A$1:$I$89,3,0)*VLOOKUP('Données projet'!$B$11,Paramètres!$A$1:$I$89,5,0)</f>
        <v>183.3468</v>
      </c>
      <c r="BF68" s="13">
        <f t="shared" si="37"/>
        <v>46.06598726946973</v>
      </c>
      <c r="BG68" s="20">
        <f t="shared" ref="BG68:BG131" si="61">(BE68+BF68)*0.475*44/12</f>
        <v>399.56060449432636</v>
      </c>
      <c r="BH68" s="59">
        <f t="shared" ref="BH68:BH131" si="62">BG68+(AY68+AZ68)*44/12</f>
        <v>692.89393782765967</v>
      </c>
      <c r="BI68" s="59">
        <f ca="1">AVERAGE(OFFSET($BH$3,0,0,'Données projet'!$E$11+1,1))-AVERAGE(OFFSET($H$3,0,0,'Données projet'!$E$11+1,1))</f>
        <v>236.39682613502913</v>
      </c>
      <c r="BJ68" s="59">
        <f t="shared" si="38"/>
        <v>99.639724892155641</v>
      </c>
      <c r="BK68" s="15">
        <f>IF(ISNA(VLOOKUP(A68,'Données projet'!$A$87:$I$107,3,0)),0,VLOOKUP(A68,'Données projet'!$A$87:$I$107,3,0))</f>
        <v>9</v>
      </c>
      <c r="BL68" s="15">
        <f>IF(ISNA(VLOOKUP(A68,'Données projet'!$A$87:$I$107,4,0)),0,VLOOKUP(A68,'Données projet'!$A$87:$I$107,4,0))</f>
        <v>14</v>
      </c>
      <c r="BM68" s="16">
        <f>IF(ISNA(VLOOKUP(A68,'Données projet'!$A$87:$I$107,5,0)),0%,VLOOKUP(A68,'Données projet'!$A$87:$I$107,5,0)*VLOOKUP('Données projet'!$B$11,Paramètres!$A$1:$I$89,7,0))</f>
        <v>0.17200000000000001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10.025842400014966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10.025842400014966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161</v>
      </c>
      <c r="CR68" s="12">
        <f>VLOOKUP(A68,'Données projet'!$A$139:$I$159,9,0)</f>
        <v>5.4</v>
      </c>
      <c r="CS68" s="12">
        <f t="array" ref="CS68">INDEX(CR:CR,MIN(IF(ISNUMBER(CR68:CR264),ROW(CR68:CR264),"")))</f>
        <v>5.4</v>
      </c>
      <c r="CT68" s="12">
        <f>IF('Données projet'!$A$140&gt;35,CT67+CS68-DB67,IF(A68&lt;'Données projet'!$A$140,$CQ$205^A68,IF(A68='Données projet'!$A$140,'Données projet'!$B$140,CT67+CS68-DB67)))</f>
        <v>161</v>
      </c>
      <c r="CU68" s="17">
        <f>CT68*VLOOKUP('Données projet'!$B$13,Paramètres!$A$1:$I$89,3,0)*VLOOKUP('Données projet'!$B$13,Paramètres!$A$1:$I$89,5,0)</f>
        <v>135.62640000000002</v>
      </c>
      <c r="CV68" s="13">
        <f t="shared" si="41"/>
        <v>35.293231938598481</v>
      </c>
      <c r="CW68" s="20">
        <f t="shared" ref="CW68:CW131" si="67">(CU68+CV68)*0.475*44/12</f>
        <v>297.68502562639242</v>
      </c>
      <c r="CX68" s="59">
        <f t="shared" ref="CX68:CX131" si="68">CW68+(CO68+CP68)*44/12</f>
        <v>591.01835895972567</v>
      </c>
      <c r="CY68" s="59">
        <f ca="1">AVERAGE(OFFSET($CX$3,0,0,'Données projet'!$E$13+1,1))-AVERAGE(OFFSET($H$3,0,0,'Données projet'!$E$13+1,1))</f>
        <v>157.20393815370375</v>
      </c>
      <c r="CZ68" s="59">
        <f t="shared" si="42"/>
        <v>64.616965816756363</v>
      </c>
      <c r="DA68" s="15">
        <f>IF(ISNA(VLOOKUP(A68,'Données projet'!$A$139:$I$159,3,0)),0,VLOOKUP(A68,'Données projet'!$A$139:$I$159,3,0))</f>
        <v>9</v>
      </c>
      <c r="DB68" s="15">
        <f>IF(ISNA(VLOOKUP(A68,'Données projet'!$A$139:$I$159,4,0)),0,VLOOKUP(A68,'Données projet'!$A$139:$I$159,4,0))</f>
        <v>14</v>
      </c>
      <c r="DC68" s="16">
        <f>IF(ISNA(VLOOKUP(A68,'Données projet'!$A$139:$I$159,5,0)),0%,VLOOKUP(A68,'Données projet'!$A$139:$I$159,5,0)*VLOOKUP('Données projet'!$B$13,Paramètres!$A$1:$I$89,7,0))</f>
        <v>0.17200000000000001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7.4163765698740836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7.4163765698740836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-1.1368683772161603E-13</v>
      </c>
      <c r="DP68" s="17">
        <f>DO68*VLOOKUP('Données projet'!$B$14,Paramètres!$A$1:$I$89,3,0)*VLOOKUP('Données projet'!$B$14,Paramètres!$A$1:$I$89,5,0)</f>
        <v>-9.2222762759774927E-14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221.78186926953776</v>
      </c>
      <c r="DU68" s="59">
        <f t="shared" si="44"/>
        <v>276.69392352410654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90.065287231541348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90.065287231541348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161</v>
      </c>
      <c r="EH68" s="12">
        <f>VLOOKUP(A68,'Données projet'!$A$191:$I$211,9,0)</f>
        <v>5.4</v>
      </c>
      <c r="EI68" s="12">
        <f t="array" ref="EI68">INDEX(EH:EH,MIN(IF(ISNUMBER(EH68:EH264),ROW(EH68:EH264),"")))</f>
        <v>5.4</v>
      </c>
      <c r="EJ68" s="12">
        <f>IF('Données projet'!$A$192&gt;35,EJ67+EI68-ER67,IF(A68&lt;'Données projet'!$A$192,$EG$205^A68,IF(A68='Données projet'!$A$192,'Données projet'!$B$192,EJ67+EI68-ER67)))</f>
        <v>161</v>
      </c>
      <c r="EK68" s="17">
        <f>EJ68*VLOOKUP('Données projet'!$B$15,Paramètres!$A$1:$I$89,3,0)*VLOOKUP('Données projet'!$B$15,Paramètres!$A$1:$I$89,5,0)</f>
        <v>173.3004</v>
      </c>
      <c r="EL68" s="13">
        <f t="shared" si="45"/>
        <v>43.82837416766705</v>
      </c>
      <c r="EM68" s="20">
        <f t="shared" ref="EM68:EM131" si="73">(EK68+EL68)*0.475*44/12</f>
        <v>378.1659483420201</v>
      </c>
      <c r="EN68" s="59">
        <f t="shared" ref="EN68:EN131" si="74">EM68+(EE68+EF68)*44/12</f>
        <v>671.49928167535336</v>
      </c>
      <c r="EO68" s="59">
        <f ca="1">AVERAGE(OFFSET($EN$3,0,0,'Données projet'!$E$15+1,1))-AVERAGE(OFFSET($H$3,0,0,'Données projet'!$E$15+1,1))</f>
        <v>219.76574638403434</v>
      </c>
      <c r="EP68" s="59">
        <f t="shared" si="46"/>
        <v>92.286636088269972</v>
      </c>
      <c r="EQ68" s="15">
        <f>IF(ISNA(VLOOKUP(A68,'Données projet'!$A$191:$I$211,3,0)),0,VLOOKUP(A68,'Données projet'!$A$191:$I$211,3,0))</f>
        <v>9</v>
      </c>
      <c r="ER68" s="15">
        <f>IF(ISNA(VLOOKUP(A68,'Données projet'!$A$191:$I$211,4,0)),0,VLOOKUP(A68,'Données projet'!$A$191:$I$211,4,0))</f>
        <v>14</v>
      </c>
      <c r="ES68" s="16">
        <f>IF(ISNA(VLOOKUP(A68,'Données projet'!$A$191:$I$211,5,0)),0%,VLOOKUP(A68,'Données projet'!$A$191:$I$211,5,0)*VLOOKUP('Données projet'!$B$15,Paramètres!$A$1:$I$89,7,0))</f>
        <v>0.17200000000000001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9.4764811726168841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9.4764811726168841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>
        <f>FE68*VLOOKUP('Données projet'!$B$16,Paramètres!$A$1:$I$89,3,0)*VLOOKUP('Données projet'!$B$16,Paramètres!$A$1:$I$89,5,0)</f>
        <v>0</v>
      </c>
      <c r="FG68" s="13" t="e">
        <f t="shared" si="47"/>
        <v>#NUM!</v>
      </c>
      <c r="FH68" s="20" t="e">
        <f t="shared" ref="FH68:FH131" si="76">(FF68+FG68)*0.475*44/12</f>
        <v>#NUM!</v>
      </c>
      <c r="FI68" s="59" t="e">
        <f t="shared" ref="FI68:FI131" si="77">FH68+(EZ68+FA68)*44/12</f>
        <v>#NUM!</v>
      </c>
      <c r="FJ68" s="59">
        <f ca="1">AVERAGE(OFFSET($FI$3,0,0,'Données projet'!$E$16+1,1))-AVERAGE(OFFSET($H$3,0,0,'Données projet'!$E$16+1,1))</f>
        <v>86.164294406232727</v>
      </c>
      <c r="FK68" s="59">
        <f t="shared" si="48"/>
        <v>138.91188401562334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56.976004166743373</v>
      </c>
      <c r="FR68" s="21">
        <f>EXP(-LN(2)/25)*FR67+(1-EXP(-LN(2)/25))/(LN(2)/25)*Calculateur!FM68*Calculateur!FO68*VLOOKUP('Données projet'!$B$16,Paramètres!$A$1:$I$89,3,0)*0.475*44/12</f>
        <v>36.061639895478429</v>
      </c>
      <c r="FS68" s="21">
        <f>EXP(-LN(2)/2)*FS67+(1-EXP(-LN(2)/2))/(LN(2)/2)*FM68*FP68*VLOOKUP('Données projet'!$B$16,Paramètres!$A$1:$I$89,3,0)*0.475*44/12</f>
        <v>6.2218456088352214</v>
      </c>
      <c r="FT68" s="22">
        <f t="shared" ref="FT68:FT131" si="78">SUM(FQ68:FS68)</f>
        <v>99.259489671057025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150.21793637331223</v>
      </c>
      <c r="T69" s="59">
        <f t="shared" ref="T69:T132" si="88">$T$3</f>
        <v>364.59164590134486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52.271584786882222</v>
      </c>
      <c r="AA69" s="21">
        <f>EXP(-LN(2)/25)*AA68+(1-EXP(-LN(2)/25))/(LN(2)/25)*Calculateur!V69*Calculateur!X69*VLOOKUP('Données projet'!$B$9,Paramètres!$A$1:$I$89,3,0)*0.475*44/12</f>
        <v>8.30130778208561</v>
      </c>
      <c r="AB69" s="21">
        <f>EXP(-LN(2)/2)*AB68+(1-EXP(-LN(2)/2))/(LN(2)/2)*V69*Y69*VLOOKUP('Données projet'!$B$9,Paramètres!$A$1:$I$89,3,0)*0.475*44/12</f>
        <v>7.3834920449077036E-5</v>
      </c>
      <c r="AC69" s="22">
        <f t="shared" si="57"/>
        <v>60.57296640388828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</v>
      </c>
      <c r="AI69" s="13">
        <f>IF('Données projet'!$A$62&gt;35,AI68+AH69-AQ68,IF(A69&lt;'Données projet'!$A$62,$AF$205^A69,IF(A69='Données projet'!$A$62,'Données projet'!$B$62,AI68+AH69-AQ68)))</f>
        <v>152</v>
      </c>
      <c r="AJ69" s="13">
        <f>AI69*VLOOKUP('Données projet'!$B$10,Paramètres!$A$1:$I$89,3,0)*VLOOKUP('Données projet'!$B$10,Paramètres!$A$1:$I$89,5,0)</f>
        <v>165.98399999999998</v>
      </c>
      <c r="AK69" s="13">
        <f t="shared" ref="AK69:AK132" si="89">EXP(-1.0587+0.8836*LN(AJ69)+0.284)</f>
        <v>42.189325525922243</v>
      </c>
      <c r="AL69" s="20">
        <f t="shared" si="58"/>
        <v>362.56854195764782</v>
      </c>
      <c r="AM69" s="59">
        <f t="shared" si="59"/>
        <v>655.90187529098114</v>
      </c>
      <c r="AN69" s="59">
        <f ca="1">AVERAGE(OFFSET($AM$3,0,0,'Données projet'!$E$10+1,1))-AVERAGE(OFFSET($H$3,0,0,'Données projet'!$E$10+1,1))</f>
        <v>223.92539057016376</v>
      </c>
      <c r="AO69" s="59">
        <f t="shared" ref="AO69:AO132" si="90">$AO$3</f>
        <v>94.125825809616856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9.4253003041061643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9.4253003041061643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</v>
      </c>
      <c r="BD69" s="12">
        <f>IF('Données projet'!$A$88&gt;35,BD68+BC69-BL68,IF(A69&lt;'Données projet'!$A$88,$BA$205^A69,IF(A69='Données projet'!$A$88,'Données projet'!$B$88,BD68+BC69-BL68)))</f>
        <v>152</v>
      </c>
      <c r="BE69" s="13">
        <f>BD69*VLOOKUP('Données projet'!$B$11,Paramètres!$A$1:$I$89,3,0)*VLOOKUP('Données projet'!$B$11,Paramètres!$A$1:$I$89,5,0)</f>
        <v>173.0976</v>
      </c>
      <c r="BF69" s="13">
        <f t="shared" ref="BF69:BF132" si="91">EXP(-1.0587+0.8836*LN(BE69)+0.284)</f>
        <v>43.783052170041955</v>
      </c>
      <c r="BG69" s="20">
        <f t="shared" si="61"/>
        <v>377.73380252948976</v>
      </c>
      <c r="BH69" s="59">
        <f t="shared" si="62"/>
        <v>671.06713586282308</v>
      </c>
      <c r="BI69" s="59">
        <f ca="1">AVERAGE(OFFSET($BH$3,0,0,'Données projet'!$E$11+1,1))-AVERAGE(OFFSET($H$3,0,0,'Données projet'!$E$11+1,1))</f>
        <v>236.39682613502913</v>
      </c>
      <c r="BJ69" s="59">
        <f t="shared" ref="BJ69:BJ132" si="92">$BJ$3</f>
        <v>99.639724892155641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9.8292417457107142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9.8292417457107142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</v>
      </c>
      <c r="CT69" s="12">
        <f>IF('Données projet'!$A$140&gt;35,CT68+CS69-DB68,IF(A69&lt;'Données projet'!$A$140,$CQ$205^A69,IF(A69='Données projet'!$A$140,'Données projet'!$B$140,CT68+CS69-DB68)))</f>
        <v>152</v>
      </c>
      <c r="CU69" s="17">
        <f>CT69*VLOOKUP('Données projet'!$B$13,Paramètres!$A$1:$I$89,3,0)*VLOOKUP('Données projet'!$B$13,Paramètres!$A$1:$I$89,5,0)</f>
        <v>128.04480000000004</v>
      </c>
      <c r="CV69" s="13">
        <f t="shared" ref="CV69:CV132" si="95">EXP(-1.0587+0.8836*LN(CU69)+0.284)</f>
        <v>33.544172323452209</v>
      </c>
      <c r="CW69" s="20">
        <f t="shared" si="67"/>
        <v>281.43412679667932</v>
      </c>
      <c r="CX69" s="59">
        <f t="shared" si="68"/>
        <v>574.76746013001264</v>
      </c>
      <c r="CY69" s="59">
        <f ca="1">AVERAGE(OFFSET($CX$3,0,0,'Données projet'!$E$13+1,1))-AVERAGE(OFFSET($H$3,0,0,'Données projet'!$E$13+1,1))</f>
        <v>157.20393815370375</v>
      </c>
      <c r="CZ69" s="59">
        <f t="shared" ref="CZ69:CZ132" si="96">$CZ$3</f>
        <v>64.616965816756363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7.2709459488818977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7.2709459488818977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-1.1368683772161603E-13</v>
      </c>
      <c r="DP69" s="17">
        <f>DO69*VLOOKUP('Données projet'!$B$14,Paramètres!$A$1:$I$89,3,0)*VLOOKUP('Données projet'!$B$14,Paramètres!$A$1:$I$89,5,0)</f>
        <v>-9.2222762759774927E-14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221.78186926953776</v>
      </c>
      <c r="DU69" s="59">
        <f t="shared" ref="DU69:DU132" si="98">$DU$3</f>
        <v>276.69392352410654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88.299161883331706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88.299161883331706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5</v>
      </c>
      <c r="EJ69" s="12">
        <f>IF('Données projet'!$A$192&gt;35,EJ68+EI69-ER68,IF(A69&lt;'Données projet'!$A$192,$EG$205^A69,IF(A69='Données projet'!$A$192,'Données projet'!$B$192,EJ68+EI69-ER68)))</f>
        <v>152</v>
      </c>
      <c r="EK69" s="17">
        <f>EJ69*VLOOKUP('Données projet'!$B$15,Paramètres!$A$1:$I$89,3,0)*VLOOKUP('Données projet'!$B$15,Paramètres!$A$1:$I$89,5,0)</f>
        <v>163.61279999999999</v>
      </c>
      <c r="EL69" s="13">
        <f t="shared" ref="EL69:EL132" si="99">EXP(-1.0587+0.8836*LN(EK69)+0.284)</f>
        <v>41.656330547871804</v>
      </c>
      <c r="EM69" s="20">
        <f t="shared" si="73"/>
        <v>357.51040237087665</v>
      </c>
      <c r="EN69" s="59">
        <f t="shared" si="74"/>
        <v>650.84373570420996</v>
      </c>
      <c r="EO69" s="59">
        <f ca="1">AVERAGE(OFFSET($EN$3,0,0,'Données projet'!$E$15+1,1))-AVERAGE(OFFSET($H$3,0,0,'Données projet'!$E$15+1,1))</f>
        <v>219.76574638403434</v>
      </c>
      <c r="EP69" s="59">
        <f t="shared" ref="EP69:EP132" si="100">$EP$3</f>
        <v>92.286636088269972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9.2906531569046464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9.2906531569046464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>
        <f>FE69*VLOOKUP('Données projet'!$B$16,Paramètres!$A$1:$I$89,3,0)*VLOOKUP('Données projet'!$B$16,Paramètres!$A$1:$I$89,5,0)</f>
        <v>0</v>
      </c>
      <c r="FG69" s="13" t="e">
        <f t="shared" ref="FG69:FG132" si="101">EXP(-1.0587+0.8836*LN(FF69)+0.284)</f>
        <v>#NUM!</v>
      </c>
      <c r="FH69" s="20" t="e">
        <f t="shared" si="76"/>
        <v>#NUM!</v>
      </c>
      <c r="FI69" s="59" t="e">
        <f t="shared" si="77"/>
        <v>#NUM!</v>
      </c>
      <c r="FJ69" s="59">
        <f ca="1">AVERAGE(OFFSET($FI$3,0,0,'Données projet'!$E$16+1,1))-AVERAGE(OFFSET($H$3,0,0,'Données projet'!$E$16+1,1))</f>
        <v>86.164294406232727</v>
      </c>
      <c r="FK69" s="59">
        <f t="shared" ref="FK69:FK132" si="102">$FK$3</f>
        <v>138.91188401562334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55.858739476964608</v>
      </c>
      <c r="FR69" s="21">
        <f>EXP(-LN(2)/25)*FR68+(1-EXP(-LN(2)/25))/(LN(2)/25)*Calculateur!FM69*Calculateur!FO69*VLOOKUP('Données projet'!$B$16,Paramètres!$A$1:$I$89,3,0)*0.475*44/12</f>
        <v>35.075532456137346</v>
      </c>
      <c r="FS69" s="21">
        <f>EXP(-LN(2)/2)*FS68+(1-EXP(-LN(2)/2))/(LN(2)/2)*FM69*FP69*VLOOKUP('Données projet'!$B$16,Paramètres!$A$1:$I$89,3,0)*0.475*44/12</f>
        <v>4.3995092215031288</v>
      </c>
      <c r="FT69" s="22">
        <f t="shared" si="78"/>
        <v>95.333781154605077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150.21793637331223</v>
      </c>
      <c r="T70" s="59">
        <f t="shared" si="88"/>
        <v>364.59164590134486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51.246570891730045</v>
      </c>
      <c r="AA70" s="21">
        <f>EXP(-LN(2)/25)*AA69+(1-EXP(-LN(2)/25))/(LN(2)/25)*Calculateur!V70*Calculateur!X70*VLOOKUP('Données projet'!$B$9,Paramètres!$A$1:$I$89,3,0)*0.475*44/12</f>
        <v>8.0743080842376749</v>
      </c>
      <c r="AB70" s="21">
        <f>EXP(-LN(2)/2)*AB69+(1-EXP(-LN(2)/2))/(LN(2)/2)*V70*Y70*VLOOKUP('Données projet'!$B$9,Paramètres!$A$1:$I$89,3,0)*0.475*44/12</f>
        <v>5.2209172937911659E-5</v>
      </c>
      <c r="AC70" s="22">
        <f t="shared" si="57"/>
        <v>59.320931185140651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</v>
      </c>
      <c r="AI70" s="13">
        <f>IF('Données projet'!$A$62&gt;35,AI69+AH70-AQ69,IF(A70&lt;'Données projet'!$A$62,$AF$205^A70,IF(A70='Données projet'!$A$62,'Données projet'!$B$62,AI69+AH70-AQ69)))</f>
        <v>157</v>
      </c>
      <c r="AJ70" s="13">
        <f>AI70*VLOOKUP('Données projet'!$B$10,Paramètres!$A$1:$I$89,3,0)*VLOOKUP('Données projet'!$B$10,Paramètres!$A$1:$I$89,5,0)</f>
        <v>171.44399999999999</v>
      </c>
      <c r="AK70" s="13">
        <f t="shared" si="89"/>
        <v>43.413272173627242</v>
      </c>
      <c r="AL70" s="20">
        <f t="shared" si="58"/>
        <v>374.20974903573409</v>
      </c>
      <c r="AM70" s="59">
        <f t="shared" si="59"/>
        <v>667.54308236906741</v>
      </c>
      <c r="AN70" s="59">
        <f ca="1">AVERAGE(OFFSET($AM$3,0,0,'Données projet'!$E$10+1,1))-AVERAGE(OFFSET($H$3,0,0,'Données projet'!$E$10+1,1))</f>
        <v>223.92539057016376</v>
      </c>
      <c r="AO70" s="59">
        <f t="shared" si="90"/>
        <v>94.125825809616856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9.240475914008174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9.240475914008174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</v>
      </c>
      <c r="BD70" s="12">
        <f>IF('Données projet'!$A$88&gt;35,BD69+BC70-BL69,IF(A70&lt;'Données projet'!$A$88,$BA$205^A70,IF(A70='Données projet'!$A$88,'Données projet'!$B$88,BD69+BC70-BL69)))</f>
        <v>157</v>
      </c>
      <c r="BE70" s="13">
        <f>BD70*VLOOKUP('Données projet'!$B$11,Paramètres!$A$1:$I$89,3,0)*VLOOKUP('Données projet'!$B$11,Paramètres!$A$1:$I$89,5,0)</f>
        <v>178.79160000000002</v>
      </c>
      <c r="BF70" s="13">
        <f t="shared" si="91"/>
        <v>45.053234123931929</v>
      </c>
      <c r="BG70" s="20">
        <f t="shared" si="61"/>
        <v>389.86308609918143</v>
      </c>
      <c r="BH70" s="59">
        <f t="shared" si="62"/>
        <v>683.19641943251474</v>
      </c>
      <c r="BI70" s="59">
        <f ca="1">AVERAGE(OFFSET($BH$3,0,0,'Données projet'!$E$11+1,1))-AVERAGE(OFFSET($H$3,0,0,'Données projet'!$E$11+1,1))</f>
        <v>236.39682613502913</v>
      </c>
      <c r="BJ70" s="59">
        <f t="shared" si="92"/>
        <v>99.639724892155641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9.6364963103228103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9.6364963103228103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</v>
      </c>
      <c r="CT70" s="12">
        <f>IF('Données projet'!$A$140&gt;35,CT69+CS70-DB69,IF(A70&lt;'Données projet'!$A$140,$CQ$205^A70,IF(A70='Données projet'!$A$140,'Données projet'!$B$140,CT69+CS70-DB69)))</f>
        <v>157</v>
      </c>
      <c r="CU70" s="17">
        <f>CT70*VLOOKUP('Données projet'!$B$13,Paramètres!$A$1:$I$89,3,0)*VLOOKUP('Données projet'!$B$13,Paramètres!$A$1:$I$89,5,0)</f>
        <v>132.2568</v>
      </c>
      <c r="CV70" s="13">
        <f t="shared" si="95"/>
        <v>34.517316045318552</v>
      </c>
      <c r="CW70" s="20">
        <f t="shared" si="67"/>
        <v>290.46491877892981</v>
      </c>
      <c r="CX70" s="59">
        <f t="shared" si="68"/>
        <v>583.79825211226307</v>
      </c>
      <c r="CY70" s="59">
        <f ca="1">AVERAGE(OFFSET($CX$3,0,0,'Données projet'!$E$13+1,1))-AVERAGE(OFFSET($H$3,0,0,'Données projet'!$E$13+1,1))</f>
        <v>157.20393815370375</v>
      </c>
      <c r="CZ70" s="59">
        <f t="shared" si="96"/>
        <v>64.616965816756363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7.1283671336634482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7.1283671336634482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-1.1368683772161603E-13</v>
      </c>
      <c r="DP70" s="17">
        <f>DO70*VLOOKUP('Données projet'!$B$14,Paramètres!$A$1:$I$89,3,0)*VLOOKUP('Données projet'!$B$14,Paramètres!$A$1:$I$89,5,0)</f>
        <v>-9.2222762759774927E-14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221.78186926953776</v>
      </c>
      <c r="DU70" s="59">
        <f t="shared" si="98"/>
        <v>276.69392352410654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86.567669175970366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86.567669175970366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5</v>
      </c>
      <c r="EJ70" s="12">
        <f>IF('Données projet'!$A$192&gt;35,EJ69+EI70-ER69,IF(A70&lt;'Données projet'!$A$192,$EG$205^A70,IF(A70='Données projet'!$A$192,'Données projet'!$B$192,EJ69+EI70-ER69)))</f>
        <v>157</v>
      </c>
      <c r="EK70" s="17">
        <f>EJ70*VLOOKUP('Données projet'!$B$15,Paramètres!$A$1:$I$89,3,0)*VLOOKUP('Données projet'!$B$15,Paramètres!$A$1:$I$89,5,0)</f>
        <v>168.9948</v>
      </c>
      <c r="EL70" s="13">
        <f t="shared" si="99"/>
        <v>42.864814577758281</v>
      </c>
      <c r="EM70" s="20">
        <f t="shared" si="73"/>
        <v>368.98882872292899</v>
      </c>
      <c r="EN70" s="59">
        <f t="shared" si="74"/>
        <v>662.3221620562623</v>
      </c>
      <c r="EO70" s="59">
        <f ca="1">AVERAGE(OFFSET($EN$3,0,0,'Données projet'!$E$15+1,1))-AVERAGE(OFFSET($H$3,0,0,'Données projet'!$E$15+1,1))</f>
        <v>219.76574638403434</v>
      </c>
      <c r="EP70" s="59">
        <f t="shared" si="100"/>
        <v>92.286636088269972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9.1084691152366286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9.1084691152366286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>
        <f>FE70*VLOOKUP('Données projet'!$B$16,Paramètres!$A$1:$I$89,3,0)*VLOOKUP('Données projet'!$B$16,Paramètres!$A$1:$I$89,5,0)</f>
        <v>0</v>
      </c>
      <c r="FG70" s="13" t="e">
        <f t="shared" si="101"/>
        <v>#NUM!</v>
      </c>
      <c r="FH70" s="20" t="e">
        <f t="shared" si="76"/>
        <v>#NUM!</v>
      </c>
      <c r="FI70" s="59" t="e">
        <f t="shared" si="77"/>
        <v>#NUM!</v>
      </c>
      <c r="FJ70" s="59">
        <f ca="1">AVERAGE(OFFSET($FI$3,0,0,'Données projet'!$E$16+1,1))-AVERAGE(OFFSET($H$3,0,0,'Données projet'!$E$16+1,1))</f>
        <v>86.164294406232727</v>
      </c>
      <c r="FK70" s="59">
        <f t="shared" si="102"/>
        <v>138.91188401562334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54.763383666288235</v>
      </c>
      <c r="FR70" s="21">
        <f>EXP(-LN(2)/25)*FR69+(1-EXP(-LN(2)/25))/(LN(2)/25)*Calculateur!FM70*Calculateur!FO70*VLOOKUP('Données projet'!$B$16,Paramètres!$A$1:$I$89,3,0)*0.475*44/12</f>
        <v>34.116390176582186</v>
      </c>
      <c r="FS70" s="21">
        <f>EXP(-LN(2)/2)*FS69+(1-EXP(-LN(2)/2))/(LN(2)/2)*FM70*FP70*VLOOKUP('Données projet'!$B$16,Paramètres!$A$1:$I$89,3,0)*0.475*44/12</f>
        <v>3.1109228044176112</v>
      </c>
      <c r="FT70" s="22">
        <f t="shared" si="78"/>
        <v>91.990696647288033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150.21793637331223</v>
      </c>
      <c r="T71" s="59">
        <f t="shared" si="88"/>
        <v>364.59164590134486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50.241656893865056</v>
      </c>
      <c r="AA71" s="21">
        <f>EXP(-LN(2)/25)*AA70+(1-EXP(-LN(2)/25))/(LN(2)/25)*Calculateur!V71*Calculateur!X71*VLOOKUP('Données projet'!$B$9,Paramètres!$A$1:$I$89,3,0)*0.475*44/12</f>
        <v>7.8535157050647877</v>
      </c>
      <c r="AB71" s="21">
        <f>EXP(-LN(2)/2)*AB70+(1-EXP(-LN(2)/2))/(LN(2)/2)*V71*Y71*VLOOKUP('Données projet'!$B$9,Paramètres!$A$1:$I$89,3,0)*0.475*44/12</f>
        <v>3.6917460224538518E-5</v>
      </c>
      <c r="AC71" s="22">
        <f t="shared" si="57"/>
        <v>58.095209516390064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</v>
      </c>
      <c r="AI71" s="13">
        <f>IF('Données projet'!$A$62&gt;35,AI70+AH71-AQ70,IF(A71&lt;'Données projet'!$A$62,$AF$205^A71,IF(A71='Données projet'!$A$62,'Données projet'!$B$62,AI70+AH71-AQ70)))</f>
        <v>162</v>
      </c>
      <c r="AJ71" s="13">
        <f>AI71*VLOOKUP('Données projet'!$B$10,Paramètres!$A$1:$I$89,3,0)*VLOOKUP('Données projet'!$B$10,Paramètres!$A$1:$I$89,5,0)</f>
        <v>176.904</v>
      </c>
      <c r="AK71" s="13">
        <f t="shared" si="89"/>
        <v>44.632689233663157</v>
      </c>
      <c r="AL71" s="20">
        <f t="shared" si="58"/>
        <v>385.84306708196328</v>
      </c>
      <c r="AM71" s="59">
        <f t="shared" si="59"/>
        <v>679.1764004152966</v>
      </c>
      <c r="AN71" s="59">
        <f ca="1">AVERAGE(OFFSET($AM$3,0,0,'Données projet'!$E$10+1,1))-AVERAGE(OFFSET($H$3,0,0,'Données projet'!$E$10+1,1))</f>
        <v>223.92539057016376</v>
      </c>
      <c r="AO71" s="59">
        <f t="shared" si="90"/>
        <v>94.125825809616856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9.0592758174682597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9.0592758174682597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</v>
      </c>
      <c r="BD71" s="12">
        <f>IF('Données projet'!$A$88&gt;35,BD70+BC71-BL70,IF(A71&lt;'Données projet'!$A$88,$BA$205^A71,IF(A71='Données projet'!$A$88,'Données projet'!$B$88,BD70+BC71-BL70)))</f>
        <v>162</v>
      </c>
      <c r="BE71" s="13">
        <f>BD71*VLOOKUP('Données projet'!$B$11,Paramètres!$A$1:$I$89,3,0)*VLOOKUP('Données projet'!$B$11,Paramètres!$A$1:$I$89,5,0)</f>
        <v>184.48560000000001</v>
      </c>
      <c r="BF71" s="13">
        <f t="shared" si="91"/>
        <v>46.318715382308234</v>
      </c>
      <c r="BG71" s="20">
        <f t="shared" si="61"/>
        <v>401.98418262418681</v>
      </c>
      <c r="BH71" s="59">
        <f t="shared" si="62"/>
        <v>695.31751595752007</v>
      </c>
      <c r="BI71" s="59">
        <f ca="1">AVERAGE(OFFSET($BH$3,0,0,'Données projet'!$E$11+1,1))-AVERAGE(OFFSET($H$3,0,0,'Données projet'!$E$11+1,1))</f>
        <v>236.39682613502913</v>
      </c>
      <c r="BJ71" s="59">
        <f t="shared" si="92"/>
        <v>99.639724892155641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9.4475304953597572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9.4475304953597572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</v>
      </c>
      <c r="CT71" s="12">
        <f>IF('Données projet'!$A$140&gt;35,CT70+CS71-DB70,IF(A71&lt;'Données projet'!$A$140,$CQ$205^A71,IF(A71='Données projet'!$A$140,'Données projet'!$B$140,CT70+CS71-DB70)))</f>
        <v>162</v>
      </c>
      <c r="CU71" s="17">
        <f>CT71*VLOOKUP('Données projet'!$B$13,Paramètres!$A$1:$I$89,3,0)*VLOOKUP('Données projet'!$B$13,Paramètres!$A$1:$I$89,5,0)</f>
        <v>136.46880000000002</v>
      </c>
      <c r="CV71" s="13">
        <f t="shared" si="95"/>
        <v>35.486858352195874</v>
      </c>
      <c r="CW71" s="20">
        <f t="shared" si="67"/>
        <v>299.48943829674113</v>
      </c>
      <c r="CX71" s="59">
        <f t="shared" si="68"/>
        <v>592.82277163007439</v>
      </c>
      <c r="CY71" s="59">
        <f ca="1">AVERAGE(OFFSET($CX$3,0,0,'Données projet'!$E$13+1,1))-AVERAGE(OFFSET($H$3,0,0,'Données projet'!$E$13+1,1))</f>
        <v>157.20393815370375</v>
      </c>
      <c r="CZ71" s="59">
        <f t="shared" si="96"/>
        <v>64.616965816756363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6.9885842020469422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6.9885842020469422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-1.1368683772161603E-13</v>
      </c>
      <c r="DP71" s="17">
        <f>DO71*VLOOKUP('Données projet'!$B$14,Paramètres!$A$1:$I$89,3,0)*VLOOKUP('Données projet'!$B$14,Paramètres!$A$1:$I$89,5,0)</f>
        <v>-9.2222762759774927E-14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221.78186926953776</v>
      </c>
      <c r="DU71" s="59">
        <f t="shared" si="98"/>
        <v>276.69392352410654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84.870129984494113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84.870129984494113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5</v>
      </c>
      <c r="EJ71" s="12">
        <f>IF('Données projet'!$A$192&gt;35,EJ70+EI71-ER70,IF(A71&lt;'Données projet'!$A$192,$EG$205^A71,IF(A71='Données projet'!$A$192,'Données projet'!$B$192,EJ70+EI71-ER70)))</f>
        <v>162</v>
      </c>
      <c r="EK71" s="17">
        <f>EJ71*VLOOKUP('Données projet'!$B$15,Paramètres!$A$1:$I$89,3,0)*VLOOKUP('Données projet'!$B$15,Paramètres!$A$1:$I$89,5,0)</f>
        <v>174.37679999999997</v>
      </c>
      <c r="EL71" s="13">
        <f t="shared" si="99"/>
        <v>44.06882624410639</v>
      </c>
      <c r="EM71" s="20">
        <f t="shared" si="73"/>
        <v>380.45946570848531</v>
      </c>
      <c r="EN71" s="59">
        <f t="shared" si="74"/>
        <v>673.79279904181863</v>
      </c>
      <c r="EO71" s="59">
        <f ca="1">AVERAGE(OFFSET($EN$3,0,0,'Données projet'!$E$15+1,1))-AVERAGE(OFFSET($H$3,0,0,'Données projet'!$E$15+1,1))</f>
        <v>219.76574638403434</v>
      </c>
      <c r="EP71" s="59">
        <f t="shared" si="100"/>
        <v>92.286636088269972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8.9298575915044278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8.9298575915044278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>
        <f>FE71*VLOOKUP('Données projet'!$B$16,Paramètres!$A$1:$I$89,3,0)*VLOOKUP('Données projet'!$B$16,Paramètres!$A$1:$I$89,5,0)</f>
        <v>0</v>
      </c>
      <c r="FG71" s="13" t="e">
        <f t="shared" si="101"/>
        <v>#NUM!</v>
      </c>
      <c r="FH71" s="20" t="e">
        <f t="shared" si="76"/>
        <v>#NUM!</v>
      </c>
      <c r="FI71" s="59" t="e">
        <f t="shared" si="77"/>
        <v>#NUM!</v>
      </c>
      <c r="FJ71" s="59">
        <f ca="1">AVERAGE(OFFSET($FI$3,0,0,'Données projet'!$E$16+1,1))-AVERAGE(OFFSET($H$3,0,0,'Données projet'!$E$16+1,1))</f>
        <v>86.164294406232727</v>
      </c>
      <c r="FK71" s="59">
        <f t="shared" si="102"/>
        <v>138.91188401562334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53.689507114958147</v>
      </c>
      <c r="FR71" s="21">
        <f>EXP(-LN(2)/25)*FR70+(1-EXP(-LN(2)/25))/(LN(2)/25)*Calculateur!FM71*Calculateur!FO71*VLOOKUP('Données projet'!$B$16,Paramètres!$A$1:$I$89,3,0)*0.475*44/12</f>
        <v>33.183475693100561</v>
      </c>
      <c r="FS71" s="21">
        <f>EXP(-LN(2)/2)*FS70+(1-EXP(-LN(2)/2))/(LN(2)/2)*FM71*FP71*VLOOKUP('Données projet'!$B$16,Paramètres!$A$1:$I$89,3,0)*0.475*44/12</f>
        <v>2.1997546107515649</v>
      </c>
      <c r="FT71" s="22">
        <f t="shared" si="78"/>
        <v>89.072737418810277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150.21793637331223</v>
      </c>
      <c r="T72" s="59">
        <f t="shared" si="88"/>
        <v>364.59164590134486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49.256448646561182</v>
      </c>
      <c r="AA72" s="21">
        <f>EXP(-LN(2)/25)*AA71+(1-EXP(-LN(2)/25))/(LN(2)/25)*Calculateur!V72*Calculateur!X72*VLOOKUP('Données projet'!$B$9,Paramètres!$A$1:$I$89,3,0)*0.475*44/12</f>
        <v>7.6387609051113499</v>
      </c>
      <c r="AB72" s="21">
        <f>EXP(-LN(2)/2)*AB71+(1-EXP(-LN(2)/2))/(LN(2)/2)*V72*Y72*VLOOKUP('Données projet'!$B$9,Paramètres!$A$1:$I$89,3,0)*0.475*44/12</f>
        <v>2.610458646895583E-5</v>
      </c>
      <c r="AC72" s="22">
        <f t="shared" si="57"/>
        <v>56.895235656258997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</v>
      </c>
      <c r="AI72" s="13">
        <f>IF('Données projet'!$A$62&gt;35,AI71+AH72-AQ71,IF(A72&lt;'Données projet'!$A$62,$AF$205^A72,IF(A72='Données projet'!$A$62,'Données projet'!$B$62,AI71+AH72-AQ71)))</f>
        <v>167</v>
      </c>
      <c r="AJ72" s="13">
        <f>AI72*VLOOKUP('Données projet'!$B$10,Paramètres!$A$1:$I$89,3,0)*VLOOKUP('Données projet'!$B$10,Paramètres!$A$1:$I$89,5,0)</f>
        <v>182.364</v>
      </c>
      <c r="AK72" s="13">
        <f t="shared" si="89"/>
        <v>45.847732551256655</v>
      </c>
      <c r="AL72" s="20">
        <f t="shared" si="58"/>
        <v>397.46876752677196</v>
      </c>
      <c r="AM72" s="59">
        <f t="shared" si="59"/>
        <v>690.80210086010527</v>
      </c>
      <c r="AN72" s="59">
        <f ca="1">AVERAGE(OFFSET($AM$3,0,0,'Données projet'!$E$10+1,1))-AVERAGE(OFFSET($H$3,0,0,'Données projet'!$E$10+1,1))</f>
        <v>223.92539057016376</v>
      </c>
      <c r="AO72" s="59">
        <f t="shared" si="90"/>
        <v>94.125825809616856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8.8816289443003473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8.8816289443003473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</v>
      </c>
      <c r="BD72" s="12">
        <f>IF('Données projet'!$A$88&gt;35,BD71+BC72-BL71,IF(A72&lt;'Données projet'!$A$88,$BA$205^A72,IF(A72='Données projet'!$A$88,'Données projet'!$B$88,BD71+BC72-BL71)))</f>
        <v>167</v>
      </c>
      <c r="BE72" s="13">
        <f>BD72*VLOOKUP('Données projet'!$B$11,Paramètres!$A$1:$I$89,3,0)*VLOOKUP('Données projet'!$B$11,Paramètres!$A$1:$I$89,5,0)</f>
        <v>190.17959999999999</v>
      </c>
      <c r="BF72" s="13">
        <f t="shared" si="91"/>
        <v>47.579657677542855</v>
      </c>
      <c r="BG72" s="20">
        <f t="shared" si="61"/>
        <v>414.09737378838713</v>
      </c>
      <c r="BH72" s="59">
        <f t="shared" si="62"/>
        <v>707.43070712172039</v>
      </c>
      <c r="BI72" s="59">
        <f ca="1">AVERAGE(OFFSET($BH$3,0,0,'Données projet'!$E$11+1,1))-AVERAGE(OFFSET($H$3,0,0,'Données projet'!$E$11+1,1))</f>
        <v>236.39682613502913</v>
      </c>
      <c r="BJ72" s="59">
        <f t="shared" si="92"/>
        <v>99.639724892155641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9.2622701847703617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9.2622701847703617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</v>
      </c>
      <c r="CT72" s="12">
        <f>IF('Données projet'!$A$140&gt;35,CT71+CS72-DB71,IF(A72&lt;'Données projet'!$A$140,$CQ$205^A72,IF(A72='Données projet'!$A$140,'Données projet'!$B$140,CT71+CS72-DB71)))</f>
        <v>167</v>
      </c>
      <c r="CU72" s="17">
        <f>CT72*VLOOKUP('Données projet'!$B$13,Paramètres!$A$1:$I$89,3,0)*VLOOKUP('Données projet'!$B$13,Paramètres!$A$1:$I$89,5,0)</f>
        <v>140.6808</v>
      </c>
      <c r="CV72" s="13">
        <f t="shared" si="95"/>
        <v>36.452923154553858</v>
      </c>
      <c r="CW72" s="20">
        <f t="shared" si="67"/>
        <v>308.50790116084801</v>
      </c>
      <c r="CX72" s="59">
        <f t="shared" si="68"/>
        <v>601.84123449418132</v>
      </c>
      <c r="CY72" s="59">
        <f ca="1">AVERAGE(OFFSET($CX$3,0,0,'Données projet'!$E$13+1,1))-AVERAGE(OFFSET($H$3,0,0,'Données projet'!$E$13+1,1))</f>
        <v>157.20393815370375</v>
      </c>
      <c r="CZ72" s="59">
        <f t="shared" si="96"/>
        <v>64.616965816756363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6.8515423284602663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6.8515423284602663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-1.1368683772161603E-13</v>
      </c>
      <c r="DP72" s="17">
        <f>DO72*VLOOKUP('Données projet'!$B$14,Paramètres!$A$1:$I$89,3,0)*VLOOKUP('Données projet'!$B$14,Paramètres!$A$1:$I$89,5,0)</f>
        <v>-9.2222762759774927E-14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221.78186926953776</v>
      </c>
      <c r="DU72" s="59">
        <f t="shared" si="98"/>
        <v>276.69392352410654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83.20587850116604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83.20587850116604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5</v>
      </c>
      <c r="EJ72" s="12">
        <f>IF('Données projet'!$A$192&gt;35,EJ71+EI72-ER71,IF(A72&lt;'Données projet'!$A$192,$EG$205^A72,IF(A72='Données projet'!$A$192,'Données projet'!$B$192,EJ71+EI72-ER71)))</f>
        <v>167</v>
      </c>
      <c r="EK72" s="17">
        <f>EJ72*VLOOKUP('Données projet'!$B$15,Paramètres!$A$1:$I$89,3,0)*VLOOKUP('Données projet'!$B$15,Paramètres!$A$1:$I$89,5,0)</f>
        <v>179.75879999999998</v>
      </c>
      <c r="EL72" s="13">
        <f t="shared" si="99"/>
        <v>45.268519423286527</v>
      </c>
      <c r="EM72" s="20">
        <f t="shared" si="73"/>
        <v>391.92258132889066</v>
      </c>
      <c r="EN72" s="59">
        <f t="shared" si="74"/>
        <v>685.25591466222397</v>
      </c>
      <c r="EO72" s="59">
        <f ca="1">AVERAGE(OFFSET($EN$3,0,0,'Données projet'!$E$15+1,1))-AVERAGE(OFFSET($H$3,0,0,'Données projet'!$E$15+1,1))</f>
        <v>219.76574638403434</v>
      </c>
      <c r="EP72" s="59">
        <f t="shared" si="100"/>
        <v>92.286636088269972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8.7547485308103425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8.7547485308103425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>
        <f>FE72*VLOOKUP('Données projet'!$B$16,Paramètres!$A$1:$I$89,3,0)*VLOOKUP('Données projet'!$B$16,Paramètres!$A$1:$I$89,5,0)</f>
        <v>0</v>
      </c>
      <c r="FG72" s="13" t="e">
        <f t="shared" si="101"/>
        <v>#NUM!</v>
      </c>
      <c r="FH72" s="20" t="e">
        <f t="shared" si="76"/>
        <v>#NUM!</v>
      </c>
      <c r="FI72" s="59" t="e">
        <f t="shared" si="77"/>
        <v>#NUM!</v>
      </c>
      <c r="FJ72" s="59">
        <f ca="1">AVERAGE(OFFSET($FI$3,0,0,'Données projet'!$E$16+1,1))-AVERAGE(OFFSET($H$3,0,0,'Données projet'!$E$16+1,1))</f>
        <v>86.164294406232727</v>
      </c>
      <c r="FK72" s="59">
        <f t="shared" si="102"/>
        <v>138.91188401562334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52.636688627799622</v>
      </c>
      <c r="FR72" s="21">
        <f>EXP(-LN(2)/25)*FR71+(1-EXP(-LN(2)/25))/(LN(2)/25)*Calculateur!FM72*Calculateur!FO72*VLOOKUP('Données projet'!$B$16,Paramètres!$A$1:$I$89,3,0)*0.475*44/12</f>
        <v>32.276071805229584</v>
      </c>
      <c r="FS72" s="21">
        <f>EXP(-LN(2)/2)*FS71+(1-EXP(-LN(2)/2))/(LN(2)/2)*FM72*FP72*VLOOKUP('Données projet'!$B$16,Paramètres!$A$1:$I$89,3,0)*0.475*44/12</f>
        <v>1.5554614022088058</v>
      </c>
      <c r="FT72" s="22">
        <f t="shared" si="78"/>
        <v>86.468221835238012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150.21793637331223</v>
      </c>
      <c r="T73" s="59">
        <f t="shared" si="88"/>
        <v>364.59164590134486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48.290559732069248</v>
      </c>
      <c r="AA73" s="21">
        <f>EXP(-LN(2)/25)*AA72+(1-EXP(-LN(2)/25))/(LN(2)/25)*Calculateur!V73*Calculateur!X73*VLOOKUP('Données projet'!$B$9,Paramètres!$A$1:$I$89,3,0)*0.475*44/12</f>
        <v>7.4298785864561028</v>
      </c>
      <c r="AB73" s="21">
        <f>EXP(-LN(2)/2)*AB72+(1-EXP(-LN(2)/2))/(LN(2)/2)*V73*Y73*VLOOKUP('Données projet'!$B$9,Paramètres!$A$1:$I$89,3,0)*0.475*44/12</f>
        <v>1.8458730112269259E-5</v>
      </c>
      <c r="AC73" s="22">
        <f t="shared" si="57"/>
        <v>55.720456777255464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172</v>
      </c>
      <c r="AG73" s="12">
        <f>VLOOKUP(A73,'Données projet'!$A$61:$I$81,9,0)</f>
        <v>5</v>
      </c>
      <c r="AH73" s="12">
        <f t="array" ref="AH73">INDEX(AG:AG,MIN(IF(ISNUMBER(AG73:AG269),ROW(AG73:AG269),"")))</f>
        <v>5</v>
      </c>
      <c r="AI73" s="13">
        <f>IF('Données projet'!$A$62&gt;35,AI72+AH73-AQ72,IF(A73&lt;'Données projet'!$A$62,$AF$205^A73,IF(A73='Données projet'!$A$62,'Données projet'!$B$62,AI72+AH73-AQ72)))</f>
        <v>172</v>
      </c>
      <c r="AJ73" s="13">
        <f>AI73*VLOOKUP('Données projet'!$B$10,Paramètres!$A$1:$I$89,3,0)*VLOOKUP('Données projet'!$B$10,Paramètres!$A$1:$I$89,5,0)</f>
        <v>187.82399999999998</v>
      </c>
      <c r="AK73" s="13">
        <f t="shared" si="89"/>
        <v>47.05854810918273</v>
      </c>
      <c r="AL73" s="20">
        <f t="shared" si="58"/>
        <v>409.08710462349319</v>
      </c>
      <c r="AM73" s="59">
        <f t="shared" si="59"/>
        <v>702.4204379568265</v>
      </c>
      <c r="AN73" s="59">
        <f ca="1">AVERAGE(OFFSET($AM$3,0,0,'Données projet'!$E$10+1,1))-AVERAGE(OFFSET($H$3,0,0,'Données projet'!$E$10+1,1))</f>
        <v>223.92539057016376</v>
      </c>
      <c r="AO73" s="59">
        <f t="shared" si="90"/>
        <v>94.125825809616856</v>
      </c>
      <c r="AP73" s="15">
        <f>IF(ISNA(VLOOKUP(A73,'Données projet'!$A$61:$I$81,3,0)),0,VLOOKUP(A73,'Données projet'!$A$61:$I$81,3,0))</f>
        <v>10</v>
      </c>
      <c r="AQ73" s="15">
        <f>IF(ISNA(VLOOKUP(A73,'Données projet'!$A$61:$I$81,4,0)),0,VLOOKUP(A73,'Données projet'!$A$61:$I$81,4,0))</f>
        <v>14</v>
      </c>
      <c r="AR73" s="16">
        <f>IF(ISNA(VLOOKUP(A73,'Données projet'!$A$61:$I$81,5,0)),0%,VLOOKUP(A73,'Données projet'!$A$61:$I$81,5,0)*VLOOKUP('Données projet'!$B$10,Paramètres!$A$1:$I$89,7,0))</f>
        <v>0.17200000000000001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11.61433977787692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11.61433977787692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172</v>
      </c>
      <c r="BB73" s="12">
        <f>VLOOKUP(A73,'Données projet'!$A$87:$I$107,9,0)</f>
        <v>5</v>
      </c>
      <c r="BC73" s="12">
        <f t="array" ref="BC73">INDEX(BB:BB,MIN(IF(ISNUMBER(BB73:BB269),ROW(BB73:BB269),"")))</f>
        <v>5</v>
      </c>
      <c r="BD73" s="12">
        <f>IF('Données projet'!$A$88&gt;35,BD72+BC73-BL72,IF(A73&lt;'Données projet'!$A$88,$BA$205^A73,IF(A73='Données projet'!$A$88,'Données projet'!$B$88,BD72+BC73-BL72)))</f>
        <v>172</v>
      </c>
      <c r="BE73" s="13">
        <f>BD73*VLOOKUP('Données projet'!$B$11,Paramètres!$A$1:$I$89,3,0)*VLOOKUP('Données projet'!$B$11,Paramètres!$A$1:$I$89,5,0)</f>
        <v>195.87360000000001</v>
      </c>
      <c r="BF73" s="13">
        <f t="shared" si="91"/>
        <v>48.836212506996127</v>
      </c>
      <c r="BG73" s="20">
        <f t="shared" si="61"/>
        <v>426.20292344968493</v>
      </c>
      <c r="BH73" s="59">
        <f t="shared" si="62"/>
        <v>719.53625678301819</v>
      </c>
      <c r="BI73" s="59">
        <f ca="1">AVERAGE(OFFSET($BH$3,0,0,'Données projet'!$E$11+1,1))-AVERAGE(OFFSET($H$3,0,0,'Données projet'!$E$11+1,1))</f>
        <v>236.39682613502913</v>
      </c>
      <c r="BJ73" s="59">
        <f t="shared" si="92"/>
        <v>99.639724892155641</v>
      </c>
      <c r="BK73" s="15">
        <f>IF(ISNA(VLOOKUP(A73,'Données projet'!$A$87:$I$107,3,0)),0,VLOOKUP(A73,'Données projet'!$A$87:$I$107,3,0))</f>
        <v>10</v>
      </c>
      <c r="BL73" s="15">
        <f>IF(ISNA(VLOOKUP(A73,'Données projet'!$A$87:$I$107,4,0)),0,VLOOKUP(A73,'Données projet'!$A$87:$I$107,4,0))</f>
        <v>14</v>
      </c>
      <c r="BM73" s="16">
        <f>IF(ISNA(VLOOKUP(A73,'Données projet'!$A$87:$I$107,5,0)),0%,VLOOKUP(A73,'Données projet'!$A$87:$I$107,5,0)*VLOOKUP('Données projet'!$B$11,Paramètres!$A$1:$I$89,7,0))</f>
        <v>0.17200000000000001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12.112097196928787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12.112097196928787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172</v>
      </c>
      <c r="CR73" s="12">
        <f>VLOOKUP(A73,'Données projet'!$A$139:$I$159,9,0)</f>
        <v>5</v>
      </c>
      <c r="CS73" s="12">
        <f t="array" ref="CS73">INDEX(CR:CR,MIN(IF(ISNUMBER(CR73:CR269),ROW(CR73:CR269),"")))</f>
        <v>5</v>
      </c>
      <c r="CT73" s="12">
        <f>IF('Données projet'!$A$140&gt;35,CT72+CS73-DB72,IF(A73&lt;'Données projet'!$A$140,$CQ$205^A73,IF(A73='Données projet'!$A$140,'Données projet'!$B$140,CT72+CS73-DB72)))</f>
        <v>172</v>
      </c>
      <c r="CU73" s="17">
        <f>CT73*VLOOKUP('Données projet'!$B$13,Paramètres!$A$1:$I$89,3,0)*VLOOKUP('Données projet'!$B$13,Paramètres!$A$1:$I$89,5,0)</f>
        <v>144.89280000000002</v>
      </c>
      <c r="CV73" s="13">
        <f t="shared" si="95"/>
        <v>37.41562652135768</v>
      </c>
      <c r="CW73" s="20">
        <f t="shared" si="67"/>
        <v>317.52050952469801</v>
      </c>
      <c r="CX73" s="59">
        <f t="shared" si="68"/>
        <v>610.85384285803138</v>
      </c>
      <c r="CY73" s="59">
        <f ca="1">AVERAGE(OFFSET($CX$3,0,0,'Données projet'!$E$13+1,1))-AVERAGE(OFFSET($H$3,0,0,'Données projet'!$E$13+1,1))</f>
        <v>157.20393815370375</v>
      </c>
      <c r="CZ73" s="59">
        <f t="shared" si="96"/>
        <v>64.616965816756363</v>
      </c>
      <c r="DA73" s="15">
        <f>IF(ISNA(VLOOKUP(A73,'Données projet'!$A$139:$I$159,3,0)),0,VLOOKUP(A73,'Données projet'!$A$139:$I$159,3,0))</f>
        <v>10</v>
      </c>
      <c r="DB73" s="15">
        <f>IF(ISNA(VLOOKUP(A73,'Données projet'!$A$139:$I$159,4,0)),0,VLOOKUP(A73,'Données projet'!$A$139:$I$159,4,0))</f>
        <v>14</v>
      </c>
      <c r="DC73" s="16">
        <f>IF(ISNA(VLOOKUP(A73,'Données projet'!$A$139:$I$159,5,0)),0%,VLOOKUP(A73,'Données projet'!$A$139:$I$159,5,0)*VLOOKUP('Données projet'!$B$13,Paramètres!$A$1:$I$89,7,0))</f>
        <v>0.17200000000000001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8.9596335429336236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8.9596335429336236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-1.1368683772161603E-13</v>
      </c>
      <c r="DP73" s="17">
        <f>DO73*VLOOKUP('Données projet'!$B$14,Paramètres!$A$1:$I$89,3,0)*VLOOKUP('Données projet'!$B$14,Paramètres!$A$1:$I$89,5,0)</f>
        <v>-9.2222762759774927E-14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221.78186926953776</v>
      </c>
      <c r="DU73" s="59">
        <f t="shared" si="98"/>
        <v>276.69392352410654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81.574261974332856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81.574261974332856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172</v>
      </c>
      <c r="EH73" s="12">
        <f>VLOOKUP(A73,'Données projet'!$A$191:$I$211,9,0)</f>
        <v>5</v>
      </c>
      <c r="EI73" s="12">
        <f t="array" ref="EI73">INDEX(EH:EH,MIN(IF(ISNUMBER(EH73:EH269),ROW(EH73:EH269),"")))</f>
        <v>5</v>
      </c>
      <c r="EJ73" s="12">
        <f>IF('Données projet'!$A$192&gt;35,EJ72+EI73-ER72,IF(A73&lt;'Données projet'!$A$192,$EG$205^A73,IF(A73='Données projet'!$A$192,'Données projet'!$B$192,EJ72+EI73-ER72)))</f>
        <v>172</v>
      </c>
      <c r="EK73" s="17">
        <f>EJ73*VLOOKUP('Données projet'!$B$15,Paramètres!$A$1:$I$89,3,0)*VLOOKUP('Données projet'!$B$15,Paramètres!$A$1:$I$89,5,0)</f>
        <v>185.14079999999998</v>
      </c>
      <c r="EL73" s="13">
        <f t="shared" si="99"/>
        <v>46.464038253813506</v>
      </c>
      <c r="EM73" s="20">
        <f t="shared" si="73"/>
        <v>403.3784266253918</v>
      </c>
      <c r="EN73" s="59">
        <f t="shared" si="74"/>
        <v>696.71175995872511</v>
      </c>
      <c r="EO73" s="59">
        <f ca="1">AVERAGE(OFFSET($EN$3,0,0,'Données projet'!$E$15+1,1))-AVERAGE(OFFSET($H$3,0,0,'Données projet'!$E$15+1,1))</f>
        <v>219.76574638403434</v>
      </c>
      <c r="EP73" s="59">
        <f t="shared" si="100"/>
        <v>92.286636088269972</v>
      </c>
      <c r="EQ73" s="15">
        <f>IF(ISNA(VLOOKUP(A73,'Données projet'!$A$191:$I$211,3,0)),0,VLOOKUP(A73,'Données projet'!$A$191:$I$211,3,0))</f>
        <v>10</v>
      </c>
      <c r="ER73" s="15">
        <f>IF(ISNA(VLOOKUP(A73,'Données projet'!$A$191:$I$211,4,0)),0,VLOOKUP(A73,'Données projet'!$A$191:$I$211,4,0))</f>
        <v>14</v>
      </c>
      <c r="ES73" s="16">
        <f>IF(ISNA(VLOOKUP(A73,'Données projet'!$A$191:$I$211,5,0)),0%,VLOOKUP(A73,'Données projet'!$A$191:$I$211,5,0)*VLOOKUP('Données projet'!$B$15,Paramètres!$A$1:$I$89,7,0))</f>
        <v>0.17200000000000001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11.448420638192964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11.448420638192964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>
        <f>FE73*VLOOKUP('Données projet'!$B$16,Paramètres!$A$1:$I$89,3,0)*VLOOKUP('Données projet'!$B$16,Paramètres!$A$1:$I$89,5,0)</f>
        <v>0</v>
      </c>
      <c r="FG73" s="13" t="e">
        <f t="shared" si="101"/>
        <v>#NUM!</v>
      </c>
      <c r="FH73" s="20" t="e">
        <f t="shared" si="76"/>
        <v>#NUM!</v>
      </c>
      <c r="FI73" s="59" t="e">
        <f t="shared" si="77"/>
        <v>#NUM!</v>
      </c>
      <c r="FJ73" s="59">
        <f ca="1">AVERAGE(OFFSET($FI$3,0,0,'Données projet'!$E$16+1,1))-AVERAGE(OFFSET($H$3,0,0,'Données projet'!$E$16+1,1))</f>
        <v>86.164294406232727</v>
      </c>
      <c r="FK73" s="59">
        <f t="shared" si="102"/>
        <v>138.91188401562334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51.604515269018407</v>
      </c>
      <c r="FR73" s="21">
        <f>EXP(-LN(2)/25)*FR72+(1-EXP(-LN(2)/25))/(LN(2)/25)*Calculateur!FM73*Calculateur!FO73*VLOOKUP('Données projet'!$B$16,Paramètres!$A$1:$I$89,3,0)*0.475*44/12</f>
        <v>31.393480924390733</v>
      </c>
      <c r="FS73" s="21">
        <f>EXP(-LN(2)/2)*FS72+(1-EXP(-LN(2)/2))/(LN(2)/2)*FM73*FP73*VLOOKUP('Données projet'!$B$16,Paramètres!$A$1:$I$89,3,0)*0.475*44/12</f>
        <v>1.0998773053757824</v>
      </c>
      <c r="FT73" s="22">
        <f t="shared" si="78"/>
        <v>84.097873498784921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150.21793637331223</v>
      </c>
      <c r="T74" s="59">
        <f t="shared" si="88"/>
        <v>364.59164590134486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47.343611310056431</v>
      </c>
      <c r="AA74" s="21">
        <f>EXP(-LN(2)/25)*AA73+(1-EXP(-LN(2)/25))/(LN(2)/25)*Calculateur!V74*Calculateur!X74*VLOOKUP('Données projet'!$B$9,Paramètres!$A$1:$I$89,3,0)*0.475*44/12</f>
        <v>7.2267081657891268</v>
      </c>
      <c r="AB74" s="21">
        <f>EXP(-LN(2)/2)*AB73+(1-EXP(-LN(2)/2))/(LN(2)/2)*V74*Y74*VLOOKUP('Données projet'!$B$9,Paramètres!$A$1:$I$89,3,0)*0.475*44/12</f>
        <v>1.3052293234477915E-5</v>
      </c>
      <c r="AC74" s="22">
        <f t="shared" si="57"/>
        <v>54.570332528138792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</v>
      </c>
      <c r="AI74" s="13">
        <f>IF('Données projet'!$A$62&gt;35,AI73+AH74-AQ73,IF(A74&lt;'Données projet'!$A$62,$AF$205^A74,IF(A74='Données projet'!$A$62,'Données projet'!$B$62,AI73+AH74-AQ73)))</f>
        <v>163</v>
      </c>
      <c r="AJ74" s="13">
        <f>AI74*VLOOKUP('Données projet'!$B$10,Paramètres!$A$1:$I$89,3,0)*VLOOKUP('Données projet'!$B$10,Paramètres!$A$1:$I$89,5,0)</f>
        <v>177.99600000000001</v>
      </c>
      <c r="AK74" s="13">
        <f t="shared" si="89"/>
        <v>44.876042989096391</v>
      </c>
      <c r="AL74" s="20">
        <f t="shared" si="58"/>
        <v>388.16880820600954</v>
      </c>
      <c r="AM74" s="59">
        <f t="shared" si="59"/>
        <v>681.5021415393428</v>
      </c>
      <c r="AN74" s="59">
        <f ca="1">AVERAGE(OFFSET($AM$3,0,0,'Données projet'!$E$10+1,1))-AVERAGE(OFFSET($H$3,0,0,'Données projet'!$E$10+1,1))</f>
        <v>223.92539057016376</v>
      </c>
      <c r="AO74" s="59">
        <f t="shared" si="90"/>
        <v>94.125825809616856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11.386589658880526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11.386589658880526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</v>
      </c>
      <c r="BD74" s="12">
        <f>IF('Données projet'!$A$88&gt;35,BD73+BC74-BL73,IF(A74&lt;'Données projet'!$A$88,$BA$205^A74,IF(A74='Données projet'!$A$88,'Données projet'!$B$88,BD73+BC74-BL73)))</f>
        <v>163</v>
      </c>
      <c r="BE74" s="13">
        <f>BD74*VLOOKUP('Données projet'!$B$11,Paramètres!$A$1:$I$89,3,0)*VLOOKUP('Données projet'!$B$11,Paramètres!$A$1:$I$89,5,0)</f>
        <v>185.62440000000001</v>
      </c>
      <c r="BF74" s="13">
        <f t="shared" si="91"/>
        <v>46.571261969320169</v>
      </c>
      <c r="BG74" s="20">
        <f t="shared" si="61"/>
        <v>404.40744459656599</v>
      </c>
      <c r="BH74" s="59">
        <f t="shared" si="62"/>
        <v>697.74077792989931</v>
      </c>
      <c r="BI74" s="59">
        <f ca="1">AVERAGE(OFFSET($BH$3,0,0,'Données projet'!$E$11+1,1))-AVERAGE(OFFSET($H$3,0,0,'Données projet'!$E$11+1,1))</f>
        <v>236.39682613502913</v>
      </c>
      <c r="BJ74" s="59">
        <f t="shared" si="92"/>
        <v>99.639724892155641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11.874586358546834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11.874586358546834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5</v>
      </c>
      <c r="CT74" s="12">
        <f>IF('Données projet'!$A$140&gt;35,CT73+CS74-DB73,IF(A74&lt;'Données projet'!$A$140,$CQ$205^A74,IF(A74='Données projet'!$A$140,'Données projet'!$B$140,CT73+CS74-DB73)))</f>
        <v>163</v>
      </c>
      <c r="CU74" s="17">
        <f>CT74*VLOOKUP('Données projet'!$B$13,Paramètres!$A$1:$I$89,3,0)*VLOOKUP('Données projet'!$B$13,Paramètres!$A$1:$I$89,5,0)</f>
        <v>137.31120000000001</v>
      </c>
      <c r="CV74" s="13">
        <f t="shared" si="95"/>
        <v>35.680345690664844</v>
      </c>
      <c r="CW74" s="20">
        <f t="shared" si="67"/>
        <v>301.29360874457461</v>
      </c>
      <c r="CX74" s="59">
        <f t="shared" si="68"/>
        <v>594.62694207790787</v>
      </c>
      <c r="CY74" s="59">
        <f ca="1">AVERAGE(OFFSET($CX$3,0,0,'Données projet'!$E$13+1,1))-AVERAGE(OFFSET($H$3,0,0,'Données projet'!$E$13+1,1))</f>
        <v>157.20393815370375</v>
      </c>
      <c r="CZ74" s="59">
        <f t="shared" si="96"/>
        <v>64.616965816756363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8.7839405939935489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8.7839405939935489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-1.1368683772161603E-13</v>
      </c>
      <c r="DP74" s="17">
        <f>DO74*VLOOKUP('Données projet'!$B$14,Paramètres!$A$1:$I$89,3,0)*VLOOKUP('Données projet'!$B$14,Paramètres!$A$1:$I$89,5,0)</f>
        <v>-9.2222762759774927E-14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221.78186926953776</v>
      </c>
      <c r="DU74" s="59">
        <f t="shared" si="98"/>
        <v>276.69392352410654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79.974640452403051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79.974640452403051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5</v>
      </c>
      <c r="EJ74" s="12">
        <f>IF('Données projet'!$A$192&gt;35,EJ73+EI74-ER73,IF(A74&lt;'Données projet'!$A$192,$EG$205^A74,IF(A74='Données projet'!$A$192,'Données projet'!$B$192,EJ73+EI74-ER73)))</f>
        <v>163</v>
      </c>
      <c r="EK74" s="17">
        <f>EJ74*VLOOKUP('Données projet'!$B$15,Paramètres!$A$1:$I$89,3,0)*VLOOKUP('Données projet'!$B$15,Paramètres!$A$1:$I$89,5,0)</f>
        <v>175.45319999999998</v>
      </c>
      <c r="EL74" s="13">
        <f t="shared" si="99"/>
        <v>44.309105612169866</v>
      </c>
      <c r="EM74" s="20">
        <f t="shared" si="73"/>
        <v>382.75268227452915</v>
      </c>
      <c r="EN74" s="59">
        <f t="shared" si="74"/>
        <v>676.08601560786246</v>
      </c>
      <c r="EO74" s="59">
        <f ca="1">AVERAGE(OFFSET($EN$3,0,0,'Données projet'!$E$15+1,1))-AVERAGE(OFFSET($H$3,0,0,'Données projet'!$E$15+1,1))</f>
        <v>219.76574638403434</v>
      </c>
      <c r="EP74" s="59">
        <f t="shared" si="100"/>
        <v>92.286636088269972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11.22392409232509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11.22392409232509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>
        <f>FE74*VLOOKUP('Données projet'!$B$16,Paramètres!$A$1:$I$89,3,0)*VLOOKUP('Données projet'!$B$16,Paramètres!$A$1:$I$89,5,0)</f>
        <v>0</v>
      </c>
      <c r="FG74" s="13" t="e">
        <f t="shared" si="101"/>
        <v>#NUM!</v>
      </c>
      <c r="FH74" s="20" t="e">
        <f t="shared" si="76"/>
        <v>#NUM!</v>
      </c>
      <c r="FI74" s="59" t="e">
        <f t="shared" si="77"/>
        <v>#NUM!</v>
      </c>
      <c r="FJ74" s="59">
        <f ca="1">AVERAGE(OFFSET($FI$3,0,0,'Données projet'!$E$16+1,1))-AVERAGE(OFFSET($H$3,0,0,'Données projet'!$E$16+1,1))</f>
        <v>86.164294406232727</v>
      </c>
      <c r="FK74" s="59">
        <f t="shared" si="102"/>
        <v>138.91188401562334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50.592582200239306</v>
      </c>
      <c r="FR74" s="21">
        <f>EXP(-LN(2)/25)*FR73+(1-EXP(-LN(2)/25))/(LN(2)/25)*Calculateur!FM74*Calculateur!FO74*VLOOKUP('Données projet'!$B$16,Paramètres!$A$1:$I$89,3,0)*0.475*44/12</f>
        <v>30.535024537601856</v>
      </c>
      <c r="FS74" s="21">
        <f>EXP(-LN(2)/2)*FS73+(1-EXP(-LN(2)/2))/(LN(2)/2)*FM74*FP74*VLOOKUP('Données projet'!$B$16,Paramètres!$A$1:$I$89,3,0)*0.475*44/12</f>
        <v>0.7777307011044029</v>
      </c>
      <c r="FT74" s="22">
        <f t="shared" si="78"/>
        <v>81.905337438945566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150.21793637331223</v>
      </c>
      <c r="T75" s="59">
        <f t="shared" si="88"/>
        <v>364.59164590134486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46.415231969017782</v>
      </c>
      <c r="AA75" s="21">
        <f>EXP(-LN(2)/25)*AA74+(1-EXP(-LN(2)/25))/(LN(2)/25)*Calculateur!V75*Calculateur!X75*VLOOKUP('Données projet'!$B$9,Paramètres!$A$1:$I$89,3,0)*0.475*44/12</f>
        <v>7.0290934509595573</v>
      </c>
      <c r="AB75" s="21">
        <f>EXP(-LN(2)/2)*AB74+(1-EXP(-LN(2)/2))/(LN(2)/2)*V75*Y75*VLOOKUP('Données projet'!$B$9,Paramètres!$A$1:$I$89,3,0)*0.475*44/12</f>
        <v>9.2293650561346295E-6</v>
      </c>
      <c r="AC75" s="22">
        <f t="shared" si="57"/>
        <v>53.444334649342395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</v>
      </c>
      <c r="AI75" s="13">
        <f>IF('Données projet'!$A$62&gt;35,AI74+AH75-AQ74,IF(A75&lt;'Données projet'!$A$62,$AF$205^A75,IF(A75='Données projet'!$A$62,'Données projet'!$B$62,AI74+AH75-AQ74)))</f>
        <v>168</v>
      </c>
      <c r="AJ75" s="13">
        <f>AI75*VLOOKUP('Données projet'!$B$10,Paramètres!$A$1:$I$89,3,0)*VLOOKUP('Données projet'!$B$10,Paramètres!$A$1:$I$89,5,0)</f>
        <v>183.45599999999999</v>
      </c>
      <c r="AK75" s="13">
        <f t="shared" si="89"/>
        <v>46.090229375321144</v>
      </c>
      <c r="AL75" s="20">
        <f t="shared" si="58"/>
        <v>399.79301616201764</v>
      </c>
      <c r="AM75" s="59">
        <f t="shared" si="59"/>
        <v>693.12634949535095</v>
      </c>
      <c r="AN75" s="59">
        <f ca="1">AVERAGE(OFFSET($AM$3,0,0,'Données projet'!$E$10+1,1))-AVERAGE(OFFSET($H$3,0,0,'Données projet'!$E$10+1,1))</f>
        <v>223.92539057016376</v>
      </c>
      <c r="AO75" s="59">
        <f t="shared" si="90"/>
        <v>94.125825809616856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11.163305580803796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11.163305580803796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</v>
      </c>
      <c r="BD75" s="12">
        <f>IF('Données projet'!$A$88&gt;35,BD74+BC75-BL74,IF(A75&lt;'Données projet'!$A$88,$BA$205^A75,IF(A75='Données projet'!$A$88,'Données projet'!$B$88,BD74+BC75-BL74)))</f>
        <v>168</v>
      </c>
      <c r="BE75" s="13">
        <f>BD75*VLOOKUP('Données projet'!$B$11,Paramètres!$A$1:$I$89,3,0)*VLOOKUP('Données projet'!$B$11,Paramètres!$A$1:$I$89,5,0)</f>
        <v>191.3184</v>
      </c>
      <c r="BF75" s="13">
        <f t="shared" si="91"/>
        <v>47.831314962098354</v>
      </c>
      <c r="BG75" s="20">
        <f t="shared" si="61"/>
        <v>416.51908689232135</v>
      </c>
      <c r="BH75" s="59">
        <f t="shared" si="62"/>
        <v>709.85242022565467</v>
      </c>
      <c r="BI75" s="59">
        <f ca="1">AVERAGE(OFFSET($BH$3,0,0,'Données projet'!$E$11+1,1))-AVERAGE(OFFSET($H$3,0,0,'Données projet'!$E$11+1,1))</f>
        <v>236.39682613502913</v>
      </c>
      <c r="BJ75" s="59">
        <f t="shared" si="92"/>
        <v>99.639724892155641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11.641732962838244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11.641732962838244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5</v>
      </c>
      <c r="CT75" s="12">
        <f>IF('Données projet'!$A$140&gt;35,CT74+CS75-DB74,IF(A75&lt;'Données projet'!$A$140,$CQ$205^A75,IF(A75='Données projet'!$A$140,'Données projet'!$B$140,CT74+CS75-DB74)))</f>
        <v>168</v>
      </c>
      <c r="CU75" s="17">
        <f>CT75*VLOOKUP('Données projet'!$B$13,Paramètres!$A$1:$I$89,3,0)*VLOOKUP('Données projet'!$B$13,Paramètres!$A$1:$I$89,5,0)</f>
        <v>141.5232</v>
      </c>
      <c r="CV75" s="13">
        <f t="shared" si="95"/>
        <v>36.645729158274158</v>
      </c>
      <c r="CW75" s="20">
        <f t="shared" si="67"/>
        <v>310.31088495066075</v>
      </c>
      <c r="CX75" s="59">
        <f t="shared" si="68"/>
        <v>603.64421828399406</v>
      </c>
      <c r="CY75" s="59">
        <f ca="1">AVERAGE(OFFSET($CX$3,0,0,'Données projet'!$E$13+1,1))-AVERAGE(OFFSET($H$3,0,0,'Données projet'!$E$13+1,1))</f>
        <v>157.20393815370375</v>
      </c>
      <c r="CZ75" s="59">
        <f t="shared" si="96"/>
        <v>64.616965816756363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8.6116928766200704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8.6116928766200704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-1.1368683772161603E-13</v>
      </c>
      <c r="DP75" s="17">
        <f>DO75*VLOOKUP('Données projet'!$B$14,Paramètres!$A$1:$I$89,3,0)*VLOOKUP('Données projet'!$B$14,Paramètres!$A$1:$I$89,5,0)</f>
        <v>-9.2222762759774927E-14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221.78186926953776</v>
      </c>
      <c r="DU75" s="59">
        <f t="shared" si="98"/>
        <v>276.69392352410654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78.406386532845502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78.406386532845502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5</v>
      </c>
      <c r="EJ75" s="12">
        <f>IF('Données projet'!$A$192&gt;35,EJ74+EI75-ER74,IF(A75&lt;'Données projet'!$A$192,$EG$205^A75,IF(A75='Données projet'!$A$192,'Données projet'!$B$192,EJ74+EI75-ER74)))</f>
        <v>168</v>
      </c>
      <c r="EK75" s="17">
        <f>EJ75*VLOOKUP('Données projet'!$B$15,Paramètres!$A$1:$I$89,3,0)*VLOOKUP('Données projet'!$B$15,Paramètres!$A$1:$I$89,5,0)</f>
        <v>180.83519999999999</v>
      </c>
      <c r="EL75" s="13">
        <f t="shared" si="99"/>
        <v>45.507952685945142</v>
      </c>
      <c r="EM75" s="20">
        <f t="shared" si="73"/>
        <v>394.21432426135442</v>
      </c>
      <c r="EN75" s="59">
        <f t="shared" si="74"/>
        <v>687.54765759468773</v>
      </c>
      <c r="EO75" s="59">
        <f ca="1">AVERAGE(OFFSET($EN$3,0,0,'Données projet'!$E$15+1,1))-AVERAGE(OFFSET($H$3,0,0,'Données projet'!$E$15+1,1))</f>
        <v>219.76574638403434</v>
      </c>
      <c r="EP75" s="59">
        <f t="shared" si="100"/>
        <v>92.286636088269972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11.003829786792313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11.003829786792313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>
        <f>FE75*VLOOKUP('Données projet'!$B$16,Paramètres!$A$1:$I$89,3,0)*VLOOKUP('Données projet'!$B$16,Paramètres!$A$1:$I$89,5,0)</f>
        <v>0</v>
      </c>
      <c r="FG75" s="13" t="e">
        <f t="shared" si="101"/>
        <v>#NUM!</v>
      </c>
      <c r="FH75" s="20" t="e">
        <f t="shared" si="76"/>
        <v>#NUM!</v>
      </c>
      <c r="FI75" s="59" t="e">
        <f t="shared" si="77"/>
        <v>#NUM!</v>
      </c>
      <c r="FJ75" s="59">
        <f ca="1">AVERAGE(OFFSET($FI$3,0,0,'Données projet'!$E$16+1,1))-AVERAGE(OFFSET($H$3,0,0,'Données projet'!$E$16+1,1))</f>
        <v>86.164294406232727</v>
      </c>
      <c r="FK75" s="59">
        <f t="shared" si="102"/>
        <v>138.91188401562334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49.600492521720739</v>
      </c>
      <c r="FR75" s="21">
        <f>EXP(-LN(2)/25)*FR74+(1-EXP(-LN(2)/25))/(LN(2)/25)*Calculateur!FM75*Calculateur!FO75*VLOOKUP('Données projet'!$B$16,Paramètres!$A$1:$I$89,3,0)*0.475*44/12</f>
        <v>29.700042685853983</v>
      </c>
      <c r="FS75" s="21">
        <f>EXP(-LN(2)/2)*FS74+(1-EXP(-LN(2)/2))/(LN(2)/2)*FM75*FP75*VLOOKUP('Données projet'!$B$16,Paramètres!$A$1:$I$89,3,0)*0.475*44/12</f>
        <v>0.54993865268789122</v>
      </c>
      <c r="FT75" s="22">
        <f t="shared" si="78"/>
        <v>79.850473860262611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150.21793637331223</v>
      </c>
      <c r="T76" s="59">
        <f t="shared" si="88"/>
        <v>364.59164590134486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45.505057580601417</v>
      </c>
      <c r="AA76" s="21">
        <f>EXP(-LN(2)/25)*AA75+(1-EXP(-LN(2)/25))/(LN(2)/25)*Calculateur!V76*Calculateur!X76*VLOOKUP('Données projet'!$B$9,Paramètres!$A$1:$I$89,3,0)*0.475*44/12</f>
        <v>6.8368825208991089</v>
      </c>
      <c r="AB76" s="21">
        <f>EXP(-LN(2)/2)*AB75+(1-EXP(-LN(2)/2))/(LN(2)/2)*V76*Y76*VLOOKUP('Données projet'!$B$9,Paramètres!$A$1:$I$89,3,0)*0.475*44/12</f>
        <v>6.5261466172389574E-6</v>
      </c>
      <c r="AC76" s="22">
        <f t="shared" si="57"/>
        <v>52.341946627647147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</v>
      </c>
      <c r="AI76" s="13">
        <f>IF('Données projet'!$A$62&gt;35,AI75+AH76-AQ75,IF(A76&lt;'Données projet'!$A$62,$AF$205^A76,IF(A76='Données projet'!$A$62,'Données projet'!$B$62,AI75+AH76-AQ75)))</f>
        <v>173</v>
      </c>
      <c r="AJ76" s="13">
        <f>AI76*VLOOKUP('Données projet'!$B$10,Paramètres!$A$1:$I$89,3,0)*VLOOKUP('Données projet'!$B$10,Paramètres!$A$1:$I$89,5,0)</f>
        <v>188.916</v>
      </c>
      <c r="AK76" s="13">
        <f t="shared" si="89"/>
        <v>47.300216095401339</v>
      </c>
      <c r="AL76" s="20">
        <f t="shared" si="58"/>
        <v>411.40990969949058</v>
      </c>
      <c r="AM76" s="59">
        <f t="shared" si="59"/>
        <v>704.7432430328239</v>
      </c>
      <c r="AN76" s="59">
        <f ca="1">AVERAGE(OFFSET($AM$3,0,0,'Données projet'!$E$10+1,1))-AVERAGE(OFFSET($H$3,0,0,'Données projet'!$E$10+1,1))</f>
        <v>223.92539057016376</v>
      </c>
      <c r="AO76" s="59">
        <f t="shared" si="90"/>
        <v>94.125825809616856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10.944399967308311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10.944399967308311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</v>
      </c>
      <c r="BD76" s="12">
        <f>IF('Données projet'!$A$88&gt;35,BD75+BC76-BL75,IF(A76&lt;'Données projet'!$A$88,$BA$205^A76,IF(A76='Données projet'!$A$88,'Données projet'!$B$88,BD75+BC76-BL75)))</f>
        <v>173</v>
      </c>
      <c r="BE76" s="13">
        <f>BD76*VLOOKUP('Données projet'!$B$11,Paramètres!$A$1:$I$89,3,0)*VLOOKUP('Données projet'!$B$11,Paramètres!$A$1:$I$89,5,0)</f>
        <v>197.01239999999999</v>
      </c>
      <c r="BF76" s="13">
        <f t="shared" si="91"/>
        <v>49.087009643867567</v>
      </c>
      <c r="BG76" s="20">
        <f t="shared" si="61"/>
        <v>428.62313846306932</v>
      </c>
      <c r="BH76" s="59">
        <f t="shared" si="62"/>
        <v>721.95647179640264</v>
      </c>
      <c r="BI76" s="59">
        <f ca="1">AVERAGE(OFFSET($BH$3,0,0,'Données projet'!$E$11+1,1))-AVERAGE(OFFSET($H$3,0,0,'Données projet'!$E$11+1,1))</f>
        <v>236.39682613502913</v>
      </c>
      <c r="BJ76" s="59">
        <f t="shared" si="92"/>
        <v>99.639724892155641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11.413445680192952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11.413445680192952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5</v>
      </c>
      <c r="CT76" s="12">
        <f>IF('Données projet'!$A$140&gt;35,CT75+CS76-DB75,IF(A76&lt;'Données projet'!$A$140,$CQ$205^A76,IF(A76='Données projet'!$A$140,'Données projet'!$B$140,CT75+CS76-DB75)))</f>
        <v>173</v>
      </c>
      <c r="CU76" s="17">
        <f>CT76*VLOOKUP('Données projet'!$B$13,Paramètres!$A$1:$I$89,3,0)*VLOOKUP('Données projet'!$B$13,Paramètres!$A$1:$I$89,5,0)</f>
        <v>145.73520000000002</v>
      </c>
      <c r="CV76" s="13">
        <f t="shared" si="95"/>
        <v>37.607773527116258</v>
      </c>
      <c r="CW76" s="20">
        <f t="shared" si="67"/>
        <v>319.32234555972747</v>
      </c>
      <c r="CX76" s="59">
        <f t="shared" si="68"/>
        <v>612.65567889306078</v>
      </c>
      <c r="CY76" s="59">
        <f ca="1">AVERAGE(OFFSET($CX$3,0,0,'Données projet'!$E$13+1,1))-AVERAGE(OFFSET($H$3,0,0,'Données projet'!$E$13+1,1))</f>
        <v>157.20393815370375</v>
      </c>
      <c r="CZ76" s="59">
        <f t="shared" si="96"/>
        <v>64.616965816756363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8.4428228319235537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8.4428228319235537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-1.1368683772161603E-13</v>
      </c>
      <c r="DP76" s="17">
        <f>DO76*VLOOKUP('Données projet'!$B$14,Paramètres!$A$1:$I$89,3,0)*VLOOKUP('Données projet'!$B$14,Paramètres!$A$1:$I$89,5,0)</f>
        <v>-9.2222762759774927E-14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221.78186926953776</v>
      </c>
      <c r="DU76" s="59">
        <f t="shared" si="98"/>
        <v>276.69392352410654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76.868885116110036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76.868885116110036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5</v>
      </c>
      <c r="EJ76" s="12">
        <f>IF('Données projet'!$A$192&gt;35,EJ75+EI76-ER75,IF(A76&lt;'Données projet'!$A$192,$EG$205^A76,IF(A76='Données projet'!$A$192,'Données projet'!$B$192,EJ75+EI76-ER75)))</f>
        <v>173</v>
      </c>
      <c r="EK76" s="17">
        <f>EJ76*VLOOKUP('Données projet'!$B$15,Paramètres!$A$1:$I$89,3,0)*VLOOKUP('Données projet'!$B$15,Paramètres!$A$1:$I$89,5,0)</f>
        <v>186.21719999999999</v>
      </c>
      <c r="EL76" s="13">
        <f t="shared" si="99"/>
        <v>46.702653149673253</v>
      </c>
      <c r="EM76" s="20">
        <f t="shared" si="73"/>
        <v>405.66874423568089</v>
      </c>
      <c r="EN76" s="59">
        <f t="shared" si="74"/>
        <v>699.0020775690142</v>
      </c>
      <c r="EO76" s="59">
        <f ca="1">AVERAGE(OFFSET($EN$3,0,0,'Données projet'!$E$15+1,1))-AVERAGE(OFFSET($H$3,0,0,'Données projet'!$E$15+1,1))</f>
        <v>219.76574638403434</v>
      </c>
      <c r="EP76" s="59">
        <f t="shared" si="100"/>
        <v>92.286636088269972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10.788051396346763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10.788051396346763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>
        <f>FE76*VLOOKUP('Données projet'!$B$16,Paramètres!$A$1:$I$89,3,0)*VLOOKUP('Données projet'!$B$16,Paramètres!$A$1:$I$89,5,0)</f>
        <v>0</v>
      </c>
      <c r="FG76" s="13" t="e">
        <f t="shared" si="101"/>
        <v>#NUM!</v>
      </c>
      <c r="FH76" s="20" t="e">
        <f t="shared" si="76"/>
        <v>#NUM!</v>
      </c>
      <c r="FI76" s="59" t="e">
        <f t="shared" si="77"/>
        <v>#NUM!</v>
      </c>
      <c r="FJ76" s="59">
        <f ca="1">AVERAGE(OFFSET($FI$3,0,0,'Données projet'!$E$16+1,1))-AVERAGE(OFFSET($H$3,0,0,'Données projet'!$E$16+1,1))</f>
        <v>86.164294406232727</v>
      </c>
      <c r="FK76" s="59">
        <f t="shared" si="102"/>
        <v>138.91188401562334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48.627857116682968</v>
      </c>
      <c r="FR76" s="21">
        <f>EXP(-LN(2)/25)*FR75+(1-EXP(-LN(2)/25))/(LN(2)/25)*Calculateur!FM76*Calculateur!FO76*VLOOKUP('Données projet'!$B$16,Paramètres!$A$1:$I$89,3,0)*0.475*44/12</f>
        <v>28.887893456751943</v>
      </c>
      <c r="FS76" s="21">
        <f>EXP(-LN(2)/2)*FS75+(1-EXP(-LN(2)/2))/(LN(2)/2)*FM76*FP76*VLOOKUP('Données projet'!$B$16,Paramètres!$A$1:$I$89,3,0)*0.475*44/12</f>
        <v>0.38886535055220145</v>
      </c>
      <c r="FT76" s="22">
        <f t="shared" si="78"/>
        <v>77.904615923987109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150.21793637331223</v>
      </c>
      <c r="T77" s="59">
        <f t="shared" si="88"/>
        <v>364.59164590134486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44.612731156790332</v>
      </c>
      <c r="AA77" s="21">
        <f>EXP(-LN(2)/25)*AA76+(1-EXP(-LN(2)/25))/(LN(2)/25)*Calculateur!V77*Calculateur!X77*VLOOKUP('Données projet'!$B$9,Paramètres!$A$1:$I$89,3,0)*0.475*44/12</f>
        <v>6.6499276088290973</v>
      </c>
      <c r="AB77" s="21">
        <f>EXP(-LN(2)/2)*AB76+(1-EXP(-LN(2)/2))/(LN(2)/2)*V77*Y77*VLOOKUP('Données projet'!$B$9,Paramètres!$A$1:$I$89,3,0)*0.475*44/12</f>
        <v>4.6146825280673148E-6</v>
      </c>
      <c r="AC77" s="22">
        <f t="shared" si="57"/>
        <v>51.262663380301959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</v>
      </c>
      <c r="AI77" s="13">
        <f>IF('Données projet'!$A$62&gt;35,AI76+AH77-AQ76,IF(A77&lt;'Données projet'!$A$62,$AF$205^A77,IF(A77='Données projet'!$A$62,'Données projet'!$B$62,AI76+AH77-AQ76)))</f>
        <v>178</v>
      </c>
      <c r="AJ77" s="13">
        <f>AI77*VLOOKUP('Données projet'!$B$10,Paramètres!$A$1:$I$89,3,0)*VLOOKUP('Données projet'!$B$10,Paramètres!$A$1:$I$89,5,0)</f>
        <v>194.376</v>
      </c>
      <c r="AK77" s="13">
        <f t="shared" si="89"/>
        <v>48.506138465833132</v>
      </c>
      <c r="AL77" s="20">
        <f t="shared" si="58"/>
        <v>423.01972449465933</v>
      </c>
      <c r="AM77" s="59">
        <f t="shared" si="59"/>
        <v>716.35305782799264</v>
      </c>
      <c r="AN77" s="59">
        <f ca="1">AVERAGE(OFFSET($AM$3,0,0,'Données projet'!$E$10+1,1))-AVERAGE(OFFSET($H$3,0,0,'Données projet'!$E$10+1,1))</f>
        <v>223.92539057016376</v>
      </c>
      <c r="AO77" s="59">
        <f t="shared" si="90"/>
        <v>94.125825809616856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10.729786959374231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10.729786959374231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</v>
      </c>
      <c r="BD77" s="12">
        <f>IF('Données projet'!$A$88&gt;35,BD76+BC77-BL76,IF(A77&lt;'Données projet'!$A$88,$BA$205^A77,IF(A77='Données projet'!$A$88,'Données projet'!$B$88,BD76+BC77-BL76)))</f>
        <v>178</v>
      </c>
      <c r="BE77" s="13">
        <f>BD77*VLOOKUP('Données projet'!$B$11,Paramètres!$A$1:$I$89,3,0)*VLOOKUP('Données projet'!$B$11,Paramètres!$A$1:$I$89,5,0)</f>
        <v>202.7064</v>
      </c>
      <c r="BF77" s="13">
        <f t="shared" si="91"/>
        <v>50.338486442784266</v>
      </c>
      <c r="BG77" s="20">
        <f t="shared" si="61"/>
        <v>440.71984388784927</v>
      </c>
      <c r="BH77" s="59">
        <f t="shared" si="62"/>
        <v>734.05317722118252</v>
      </c>
      <c r="BI77" s="59">
        <f ca="1">AVERAGE(OFFSET($BH$3,0,0,'Données projet'!$E$11+1,1))-AVERAGE(OFFSET($H$3,0,0,'Données projet'!$E$11+1,1))</f>
        <v>236.39682613502913</v>
      </c>
      <c r="BJ77" s="59">
        <f t="shared" si="92"/>
        <v>99.639724892155641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11.18963497191884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11.18963497191884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5</v>
      </c>
      <c r="CT77" s="12">
        <f>IF('Données projet'!$A$140&gt;35,CT76+CS77-DB76,IF(A77&lt;'Données projet'!$A$140,$CQ$205^A77,IF(A77='Données projet'!$A$140,'Données projet'!$B$140,CT76+CS77-DB76)))</f>
        <v>178</v>
      </c>
      <c r="CU77" s="17">
        <f>CT77*VLOOKUP('Données projet'!$B$13,Paramètres!$A$1:$I$89,3,0)*VLOOKUP('Données projet'!$B$13,Paramètres!$A$1:$I$89,5,0)</f>
        <v>149.94720000000001</v>
      </c>
      <c r="CV77" s="13">
        <f t="shared" si="95"/>
        <v>38.566586385539779</v>
      </c>
      <c r="CW77" s="20">
        <f t="shared" si="67"/>
        <v>328.32817795481515</v>
      </c>
      <c r="CX77" s="59">
        <f t="shared" si="68"/>
        <v>621.6615112881484</v>
      </c>
      <c r="CY77" s="59">
        <f ca="1">AVERAGE(OFFSET($CX$3,0,0,'Données projet'!$E$13+1,1))-AVERAGE(OFFSET($H$3,0,0,'Données projet'!$E$13+1,1))</f>
        <v>157.20393815370375</v>
      </c>
      <c r="CZ77" s="59">
        <f t="shared" si="96"/>
        <v>64.616965816756363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8.2772642258029787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8.2772642258029787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-1.1368683772161603E-13</v>
      </c>
      <c r="DP77" s="17">
        <f>DO77*VLOOKUP('Données projet'!$B$14,Paramètres!$A$1:$I$89,3,0)*VLOOKUP('Données projet'!$B$14,Paramètres!$A$1:$I$89,5,0)</f>
        <v>-9.2222762759774927E-14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221.78186926953776</v>
      </c>
      <c r="DU77" s="59">
        <f t="shared" si="98"/>
        <v>276.69392352410654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75.361533164373498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75.361533164373498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5</v>
      </c>
      <c r="EJ77" s="12">
        <f>IF('Données projet'!$A$192&gt;35,EJ76+EI77-ER76,IF(A77&lt;'Données projet'!$A$192,$EG$205^A77,IF(A77='Données projet'!$A$192,'Données projet'!$B$192,EJ76+EI77-ER76)))</f>
        <v>178</v>
      </c>
      <c r="EK77" s="17">
        <f>EJ77*VLOOKUP('Données projet'!$B$15,Paramètres!$A$1:$I$89,3,0)*VLOOKUP('Données projet'!$B$15,Paramètres!$A$1:$I$89,5,0)</f>
        <v>191.5992</v>
      </c>
      <c r="EL77" s="13">
        <f t="shared" si="99"/>
        <v>47.893340610341859</v>
      </c>
      <c r="EM77" s="20">
        <f t="shared" si="73"/>
        <v>417.1161748963454</v>
      </c>
      <c r="EN77" s="59">
        <f t="shared" si="74"/>
        <v>710.44950822967871</v>
      </c>
      <c r="EO77" s="59">
        <f ca="1">AVERAGE(OFFSET($EN$3,0,0,'Données projet'!$E$15+1,1))-AVERAGE(OFFSET($H$3,0,0,'Données projet'!$E$15+1,1))</f>
        <v>219.76574638403434</v>
      </c>
      <c r="EP77" s="59">
        <f t="shared" si="100"/>
        <v>92.286636088269972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10.576504288526028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10.576504288526028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>
        <f>FE77*VLOOKUP('Données projet'!$B$16,Paramètres!$A$1:$I$89,3,0)*VLOOKUP('Données projet'!$B$16,Paramètres!$A$1:$I$89,5,0)</f>
        <v>0</v>
      </c>
      <c r="FG77" s="13" t="e">
        <f t="shared" si="101"/>
        <v>#NUM!</v>
      </c>
      <c r="FH77" s="20" t="e">
        <f t="shared" si="76"/>
        <v>#NUM!</v>
      </c>
      <c r="FI77" s="59" t="e">
        <f t="shared" si="77"/>
        <v>#NUM!</v>
      </c>
      <c r="FJ77" s="59">
        <f ca="1">AVERAGE(OFFSET($FI$3,0,0,'Données projet'!$E$16+1,1))-AVERAGE(OFFSET($H$3,0,0,'Données projet'!$E$16+1,1))</f>
        <v>86.164294406232727</v>
      </c>
      <c r="FK77" s="59">
        <f t="shared" si="102"/>
        <v>138.91188401562334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47.674294498688965</v>
      </c>
      <c r="FR77" s="21">
        <f>EXP(-LN(2)/25)*FR76+(1-EXP(-LN(2)/25))/(LN(2)/25)*Calculateur!FM77*Calculateur!FO77*VLOOKUP('Données projet'!$B$16,Paramètres!$A$1:$I$89,3,0)*0.475*44/12</f>
        <v>28.097952491028767</v>
      </c>
      <c r="FS77" s="21">
        <f>EXP(-LN(2)/2)*FS76+(1-EXP(-LN(2)/2))/(LN(2)/2)*FM77*FP77*VLOOKUP('Données projet'!$B$16,Paramètres!$A$1:$I$89,3,0)*0.475*44/12</f>
        <v>0.27496932634394561</v>
      </c>
      <c r="FT77" s="22">
        <f t="shared" si="78"/>
        <v>76.047216316061679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150.21793637331223</v>
      </c>
      <c r="T78" s="59">
        <f t="shared" si="88"/>
        <v>364.59164590134486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43.737902709884807</v>
      </c>
      <c r="AA78" s="21">
        <f>EXP(-LN(2)/25)*AA77+(1-EXP(-LN(2)/25))/(LN(2)/25)*Calculateur!V78*Calculateur!X78*VLOOKUP('Données projet'!$B$9,Paramètres!$A$1:$I$89,3,0)*0.475*44/12</f>
        <v>6.4680849886611709</v>
      </c>
      <c r="AB78" s="21">
        <f>EXP(-LN(2)/2)*AB77+(1-EXP(-LN(2)/2))/(LN(2)/2)*V78*Y78*VLOOKUP('Données projet'!$B$9,Paramètres!$A$1:$I$89,3,0)*0.475*44/12</f>
        <v>3.2630733086194787E-6</v>
      </c>
      <c r="AC78" s="22">
        <f t="shared" si="57"/>
        <v>50.205990961619285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183</v>
      </c>
      <c r="AG78" s="12">
        <f>VLOOKUP(A78,'Données projet'!$A$61:$I$81,9,0)</f>
        <v>5</v>
      </c>
      <c r="AH78" s="12">
        <f t="array" ref="AH78">INDEX(AG:AG,MIN(IF(ISNUMBER(AG78:AG274),ROW(AG78:AG274),"")))</f>
        <v>5</v>
      </c>
      <c r="AI78" s="13">
        <f>IF('Données projet'!$A$62&gt;35,AI77+AH78-AQ77,IF(A78&lt;'Données projet'!$A$62,$AF$205^A78,IF(A78='Données projet'!$A$62,'Données projet'!$B$62,AI77+AH78-AQ77)))</f>
        <v>183</v>
      </c>
      <c r="AJ78" s="13">
        <f>AI78*VLOOKUP('Données projet'!$B$10,Paramètres!$A$1:$I$89,3,0)*VLOOKUP('Données projet'!$B$10,Paramètres!$A$1:$I$89,5,0)</f>
        <v>199.83599999999998</v>
      </c>
      <c r="AK78" s="13">
        <f t="shared" si="89"/>
        <v>49.708123768564604</v>
      </c>
      <c r="AL78" s="20">
        <f t="shared" si="58"/>
        <v>434.62268223024995</v>
      </c>
      <c r="AM78" s="59">
        <f t="shared" si="59"/>
        <v>727.95601556358326</v>
      </c>
      <c r="AN78" s="59">
        <f ca="1">AVERAGE(OFFSET($AM$3,0,0,'Données projet'!$E$10+1,1))-AVERAGE(OFFSET($H$3,0,0,'Données projet'!$E$10+1,1))</f>
        <v>223.92539057016376</v>
      </c>
      <c r="AO78" s="59">
        <f t="shared" si="90"/>
        <v>94.125825809616856</v>
      </c>
      <c r="AP78" s="15">
        <f>IF(ISNA(VLOOKUP(A78,'Données projet'!$A$61:$I$81,3,0)),0,VLOOKUP(A78,'Données projet'!$A$61:$I$81,3,0))</f>
        <v>11</v>
      </c>
      <c r="AQ78" s="15">
        <f>IF(ISNA(VLOOKUP(A78,'Données projet'!$A$61:$I$81,4,0)),0,VLOOKUP(A78,'Données projet'!$A$61:$I$81,4,0))</f>
        <v>14</v>
      </c>
      <c r="AR78" s="16">
        <f>IF(ISNA(VLOOKUP(A78,'Données projet'!$A$61:$I$81,5,0)),0%,VLOOKUP(A78,'Données projet'!$A$61:$I$81,5,0)*VLOOKUP('Données projet'!$B$10,Paramètres!$A$1:$I$89,7,0))</f>
        <v>0.215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14.152975081519173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14.152975081519173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183</v>
      </c>
      <c r="BB78" s="12">
        <f>VLOOKUP(A78,'Données projet'!$A$87:$I$107,9,0)</f>
        <v>5</v>
      </c>
      <c r="BC78" s="12">
        <f t="array" ref="BC78">INDEX(BB:BB,MIN(IF(ISNUMBER(BB78:BB274),ROW(BB78:BB274),"")))</f>
        <v>5</v>
      </c>
      <c r="BD78" s="12">
        <f>IF('Données projet'!$A$88&gt;35,BD77+BC78-BL77,IF(A78&lt;'Données projet'!$A$88,$BA$205^A78,IF(A78='Données projet'!$A$88,'Données projet'!$B$88,BD77+BC78-BL77)))</f>
        <v>183</v>
      </c>
      <c r="BE78" s="13">
        <f>BD78*VLOOKUP('Données projet'!$B$11,Paramètres!$A$1:$I$89,3,0)*VLOOKUP('Données projet'!$B$11,Paramètres!$A$1:$I$89,5,0)</f>
        <v>208.40040000000002</v>
      </c>
      <c r="BF78" s="13">
        <f t="shared" si="91"/>
        <v>51.585877448947251</v>
      </c>
      <c r="BG78" s="20">
        <f t="shared" si="61"/>
        <v>452.80943322358308</v>
      </c>
      <c r="BH78" s="59">
        <f t="shared" si="62"/>
        <v>746.1427665569164</v>
      </c>
      <c r="BI78" s="59">
        <f ca="1">AVERAGE(OFFSET($BH$3,0,0,'Données projet'!$E$11+1,1))-AVERAGE(OFFSET($H$3,0,0,'Données projet'!$E$11+1,1))</f>
        <v>236.39682613502913</v>
      </c>
      <c r="BJ78" s="59">
        <f t="shared" si="92"/>
        <v>99.639724892155641</v>
      </c>
      <c r="BK78" s="15">
        <f>IF(ISNA(VLOOKUP(A78,'Données projet'!$A$87:$I$107,3,0)),0,VLOOKUP(A78,'Données projet'!$A$87:$I$107,3,0))</f>
        <v>11</v>
      </c>
      <c r="BL78" s="15">
        <f>IF(ISNA(VLOOKUP(A78,'Données projet'!$A$87:$I$107,4,0)),0,VLOOKUP(A78,'Données projet'!$A$87:$I$107,4,0))</f>
        <v>14</v>
      </c>
      <c r="BM78" s="16">
        <f>IF(ISNA(VLOOKUP(A78,'Données projet'!$A$87:$I$107,5,0)),0%,VLOOKUP(A78,'Données projet'!$A$87:$I$107,5,0)*VLOOKUP('Données projet'!$B$11,Paramètres!$A$1:$I$89,7,0))</f>
        <v>0.215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14.759531156441424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14.759531156441424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183</v>
      </c>
      <c r="CR78" s="12">
        <f>VLOOKUP(A78,'Données projet'!$A$139:$I$159,9,0)</f>
        <v>5</v>
      </c>
      <c r="CS78" s="12">
        <f t="array" ref="CS78">INDEX(CR:CR,MIN(IF(ISNUMBER(CR78:CR274),ROW(CR78:CR274),"")))</f>
        <v>5</v>
      </c>
      <c r="CT78" s="12">
        <f>IF('Données projet'!$A$140&gt;35,CT77+CS78-DB77,IF(A78&lt;'Données projet'!$A$140,$CQ$205^A78,IF(A78='Données projet'!$A$140,'Données projet'!$B$140,CT77+CS78-DB77)))</f>
        <v>183</v>
      </c>
      <c r="CU78" s="17">
        <f>CT78*VLOOKUP('Données projet'!$B$13,Paramètres!$A$1:$I$89,3,0)*VLOOKUP('Données projet'!$B$13,Paramètres!$A$1:$I$89,5,0)</f>
        <v>154.15920000000003</v>
      </c>
      <c r="CV78" s="13">
        <f t="shared" si="95"/>
        <v>39.522268933730984</v>
      </c>
      <c r="CW78" s="20">
        <f t="shared" si="67"/>
        <v>337.32855839291483</v>
      </c>
      <c r="CX78" s="59">
        <f t="shared" si="68"/>
        <v>630.66189172624809</v>
      </c>
      <c r="CY78" s="59">
        <f ca="1">AVERAGE(OFFSET($CX$3,0,0,'Données projet'!$E$13+1,1))-AVERAGE(OFFSET($H$3,0,0,'Données projet'!$E$13+1,1))</f>
        <v>157.20393815370375</v>
      </c>
      <c r="CZ78" s="59">
        <f t="shared" si="96"/>
        <v>64.616965816756363</v>
      </c>
      <c r="DA78" s="15">
        <f>IF(ISNA(VLOOKUP(A78,'Données projet'!$A$139:$I$159,3,0)),0,VLOOKUP(A78,'Données projet'!$A$139:$I$159,3,0))</f>
        <v>11</v>
      </c>
      <c r="DB78" s="15">
        <f>IF(ISNA(VLOOKUP(A78,'Données projet'!$A$139:$I$159,4,0)),0,VLOOKUP(A78,'Données projet'!$A$139:$I$159,4,0))</f>
        <v>14</v>
      </c>
      <c r="DC78" s="16">
        <f>IF(ISNA(VLOOKUP(A78,'Données projet'!$A$139:$I$159,5,0)),0%,VLOOKUP(A78,'Données projet'!$A$139:$I$159,5,0)*VLOOKUP('Données projet'!$B$13,Paramètres!$A$1:$I$89,7,0))</f>
        <v>0.215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10.918009348600506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10.918009348600506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-1.1368683772161603E-13</v>
      </c>
      <c r="DP78" s="17">
        <f>DO78*VLOOKUP('Données projet'!$B$14,Paramètres!$A$1:$I$89,3,0)*VLOOKUP('Données projet'!$B$14,Paramètres!$A$1:$I$89,5,0)</f>
        <v>-9.2222762759774927E-14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221.78186926953776</v>
      </c>
      <c r="DU78" s="59">
        <f t="shared" si="98"/>
        <v>276.69392352410654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73.883739465016603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73.883739465016603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183</v>
      </c>
      <c r="EH78" s="12">
        <f>VLOOKUP(A78,'Données projet'!$A$191:$I$211,9,0)</f>
        <v>5</v>
      </c>
      <c r="EI78" s="12">
        <f t="array" ref="EI78">INDEX(EH:EH,MIN(IF(ISNUMBER(EH78:EH274),ROW(EH78:EH274),"")))</f>
        <v>5</v>
      </c>
      <c r="EJ78" s="12">
        <f>IF('Données projet'!$A$192&gt;35,EJ77+EI78-ER77,IF(A78&lt;'Données projet'!$A$192,$EG$205^A78,IF(A78='Données projet'!$A$192,'Données projet'!$B$192,EJ77+EI78-ER77)))</f>
        <v>183</v>
      </c>
      <c r="EK78" s="17">
        <f>EJ78*VLOOKUP('Données projet'!$B$15,Paramètres!$A$1:$I$89,3,0)*VLOOKUP('Données projet'!$B$15,Paramètres!$A$1:$I$89,5,0)</f>
        <v>196.9812</v>
      </c>
      <c r="EL78" s="13">
        <f t="shared" si="99"/>
        <v>49.080140741894134</v>
      </c>
      <c r="EM78" s="20">
        <f t="shared" si="73"/>
        <v>428.55683512546557</v>
      </c>
      <c r="EN78" s="59">
        <f t="shared" si="74"/>
        <v>721.89016845879883</v>
      </c>
      <c r="EO78" s="59">
        <f ca="1">AVERAGE(OFFSET($EN$3,0,0,'Données projet'!$E$15+1,1))-AVERAGE(OFFSET($H$3,0,0,'Données projet'!$E$15+1,1))</f>
        <v>219.76574638403434</v>
      </c>
      <c r="EP78" s="59">
        <f t="shared" si="100"/>
        <v>92.286636088269972</v>
      </c>
      <c r="EQ78" s="15">
        <f>IF(ISNA(VLOOKUP(A78,'Données projet'!$A$191:$I$211,3,0)),0,VLOOKUP(A78,'Données projet'!$A$191:$I$211,3,0))</f>
        <v>11</v>
      </c>
      <c r="ER78" s="15">
        <f>IF(ISNA(VLOOKUP(A78,'Données projet'!$A$191:$I$211,4,0)),0,VLOOKUP(A78,'Données projet'!$A$191:$I$211,4,0))</f>
        <v>14</v>
      </c>
      <c r="ES78" s="16">
        <f>IF(ISNA(VLOOKUP(A78,'Données projet'!$A$191:$I$211,5,0)),0%,VLOOKUP(A78,'Données projet'!$A$191:$I$211,5,0)*VLOOKUP('Données projet'!$B$15,Paramètres!$A$1:$I$89,7,0))</f>
        <v>0.215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13.950789723211756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13.950789723211756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>
        <f>FE78*VLOOKUP('Données projet'!$B$16,Paramètres!$A$1:$I$89,3,0)*VLOOKUP('Données projet'!$B$16,Paramètres!$A$1:$I$89,5,0)</f>
        <v>0</v>
      </c>
      <c r="FG78" s="13" t="e">
        <f t="shared" si="101"/>
        <v>#NUM!</v>
      </c>
      <c r="FH78" s="20" t="e">
        <f t="shared" si="76"/>
        <v>#NUM!</v>
      </c>
      <c r="FI78" s="59" t="e">
        <f t="shared" si="77"/>
        <v>#NUM!</v>
      </c>
      <c r="FJ78" s="59">
        <f ca="1">AVERAGE(OFFSET($FI$3,0,0,'Données projet'!$E$16+1,1))-AVERAGE(OFFSET($H$3,0,0,'Données projet'!$E$16+1,1))</f>
        <v>86.164294406232727</v>
      </c>
      <c r="FK78" s="59">
        <f t="shared" si="102"/>
        <v>138.91188401562334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46.739430662018059</v>
      </c>
      <c r="FR78" s="21">
        <f>EXP(-LN(2)/25)*FR77+(1-EXP(-LN(2)/25))/(LN(2)/25)*Calculateur!FM78*Calculateur!FO78*VLOOKUP('Données projet'!$B$16,Paramètres!$A$1:$I$89,3,0)*0.475*44/12</f>
        <v>27.329612502554482</v>
      </c>
      <c r="FS78" s="21">
        <f>EXP(-LN(2)/2)*FS77+(1-EXP(-LN(2)/2))/(LN(2)/2)*FM78*FP78*VLOOKUP('Données projet'!$B$16,Paramètres!$A$1:$I$89,3,0)*0.475*44/12</f>
        <v>0.19443267527610072</v>
      </c>
      <c r="FT78" s="22">
        <f t="shared" si="78"/>
        <v>74.263475839848653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150.21793637331223</v>
      </c>
      <c r="T79" s="59">
        <f t="shared" si="88"/>
        <v>364.59164590134486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42.880229115230435</v>
      </c>
      <c r="AA79" s="21">
        <f>EXP(-LN(2)/25)*AA78+(1-EXP(-LN(2)/25))/(LN(2)/25)*Calculateur!V79*Calculateur!X79*VLOOKUP('Données projet'!$B$9,Paramètres!$A$1:$I$89,3,0)*0.475*44/12</f>
        <v>6.2912148645044246</v>
      </c>
      <c r="AB79" s="21">
        <f>EXP(-LN(2)/2)*AB78+(1-EXP(-LN(2)/2))/(LN(2)/2)*V79*Y79*VLOOKUP('Données projet'!$B$9,Paramètres!$A$1:$I$89,3,0)*0.475*44/12</f>
        <v>2.3073412640336574E-6</v>
      </c>
      <c r="AC79" s="22">
        <f t="shared" si="57"/>
        <v>49.171446287076122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4.5999999999999996</v>
      </c>
      <c r="AI79" s="13">
        <f>IF('Données projet'!$A$62&gt;35,AI78+AH79-AQ78,IF(A79&lt;'Données projet'!$A$62,$AF$205^A79,IF(A79='Données projet'!$A$62,'Données projet'!$B$62,AI78+AH79-AQ78)))</f>
        <v>173.6</v>
      </c>
      <c r="AJ79" s="13">
        <f>AI79*VLOOKUP('Données projet'!$B$10,Paramètres!$A$1:$I$89,3,0)*VLOOKUP('Données projet'!$B$10,Paramètres!$A$1:$I$89,5,0)</f>
        <v>189.57119999999998</v>
      </c>
      <c r="AK79" s="13">
        <f t="shared" si="89"/>
        <v>47.44513879693244</v>
      </c>
      <c r="AL79" s="20">
        <f t="shared" si="58"/>
        <v>412.80345673799064</v>
      </c>
      <c r="AM79" s="59">
        <f t="shared" si="59"/>
        <v>706.13679007132396</v>
      </c>
      <c r="AN79" s="59">
        <f ca="1">AVERAGE(OFFSET($AM$3,0,0,'Données projet'!$E$10+1,1))-AVERAGE(OFFSET($H$3,0,0,'Données projet'!$E$10+1,1))</f>
        <v>223.92539057016376</v>
      </c>
      <c r="AO79" s="59">
        <f t="shared" si="90"/>
        <v>94.125825809616856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13.875443872632998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13.875443872632998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4.5999999999999996</v>
      </c>
      <c r="BD79" s="12">
        <f>IF('Données projet'!$A$88&gt;35,BD78+BC79-BL78,IF(A79&lt;'Données projet'!$A$88,$BA$205^A79,IF(A79='Données projet'!$A$88,'Données projet'!$B$88,BD78+BC79-BL78)))</f>
        <v>173.6</v>
      </c>
      <c r="BE79" s="13">
        <f>BD79*VLOOKUP('Données projet'!$B$11,Paramètres!$A$1:$I$89,3,0)*VLOOKUP('Données projet'!$B$11,Paramètres!$A$1:$I$89,5,0)</f>
        <v>197.69568000000001</v>
      </c>
      <c r="BF79" s="13">
        <f t="shared" si="91"/>
        <v>49.237406885887061</v>
      </c>
      <c r="BG79" s="20">
        <f t="shared" si="61"/>
        <v>430.07512632625327</v>
      </c>
      <c r="BH79" s="59">
        <f t="shared" si="62"/>
        <v>723.40845965958658</v>
      </c>
      <c r="BI79" s="59">
        <f ca="1">AVERAGE(OFFSET($BH$3,0,0,'Données projet'!$E$11+1,1))-AVERAGE(OFFSET($H$3,0,0,'Données projet'!$E$11+1,1))</f>
        <v>236.39682613502913</v>
      </c>
      <c r="BJ79" s="59">
        <f t="shared" si="92"/>
        <v>99.639724892155641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14.470105752888697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14.470105752888697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4.5999999999999996</v>
      </c>
      <c r="CT79" s="12">
        <f>IF('Données projet'!$A$140&gt;35,CT78+CS79-DB78,IF(A79&lt;'Données projet'!$A$140,$CQ$205^A79,IF(A79='Données projet'!$A$140,'Données projet'!$B$140,CT78+CS79-DB78)))</f>
        <v>173.6</v>
      </c>
      <c r="CU79" s="17">
        <f>CT79*VLOOKUP('Données projet'!$B$13,Paramètres!$A$1:$I$89,3,0)*VLOOKUP('Données projet'!$B$13,Paramètres!$A$1:$I$89,5,0)</f>
        <v>146.24064000000001</v>
      </c>
      <c r="CV79" s="13">
        <f t="shared" si="95"/>
        <v>37.722999642090628</v>
      </c>
      <c r="CW79" s="20">
        <f t="shared" si="67"/>
        <v>320.40333904330788</v>
      </c>
      <c r="CX79" s="59">
        <f t="shared" si="68"/>
        <v>613.7366723766412</v>
      </c>
      <c r="CY79" s="59">
        <f ca="1">AVERAGE(OFFSET($CX$3,0,0,'Données projet'!$E$13+1,1))-AVERAGE(OFFSET($H$3,0,0,'Données projet'!$E$13+1,1))</f>
        <v>157.20393815370375</v>
      </c>
      <c r="CZ79" s="59">
        <f t="shared" si="96"/>
        <v>64.616965816756363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10.703913844602599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10.703913844602599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-1.1368683772161603E-13</v>
      </c>
      <c r="DP79" s="17">
        <f>DO79*VLOOKUP('Données projet'!$B$14,Paramètres!$A$1:$I$89,3,0)*VLOOKUP('Données projet'!$B$14,Paramètres!$A$1:$I$89,5,0)</f>
        <v>-9.2222762759774927E-14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221.78186926953776</v>
      </c>
      <c r="DU79" s="59">
        <f t="shared" si="98"/>
        <v>276.69392352410654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72.434924398738943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72.434924398738943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4.5999999999999996</v>
      </c>
      <c r="EJ79" s="12">
        <f>IF('Données projet'!$A$192&gt;35,EJ78+EI79-ER78,IF(A79&lt;'Données projet'!$A$192,$EG$205^A79,IF(A79='Données projet'!$A$192,'Données projet'!$B$192,EJ78+EI79-ER78)))</f>
        <v>173.6</v>
      </c>
      <c r="EK79" s="17">
        <f>EJ79*VLOOKUP('Données projet'!$B$15,Paramètres!$A$1:$I$89,3,0)*VLOOKUP('Données projet'!$B$15,Paramètres!$A$1:$I$89,5,0)</f>
        <v>186.86303999999998</v>
      </c>
      <c r="EL79" s="13">
        <f t="shared" si="99"/>
        <v>46.845744983534466</v>
      </c>
      <c r="EM79" s="20">
        <f t="shared" si="73"/>
        <v>407.04280051298912</v>
      </c>
      <c r="EN79" s="59">
        <f t="shared" si="74"/>
        <v>700.37613384632243</v>
      </c>
      <c r="EO79" s="59">
        <f ca="1">AVERAGE(OFFSET($EN$3,0,0,'Données projet'!$E$15+1,1))-AVERAGE(OFFSET($H$3,0,0,'Données projet'!$E$15+1,1))</f>
        <v>219.76574638403434</v>
      </c>
      <c r="EP79" s="59">
        <f t="shared" si="100"/>
        <v>92.286636088269972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13.677223245881097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13.677223245881097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>
        <f>FE79*VLOOKUP('Données projet'!$B$16,Paramètres!$A$1:$I$89,3,0)*VLOOKUP('Données projet'!$B$16,Paramètres!$A$1:$I$89,5,0)</f>
        <v>0</v>
      </c>
      <c r="FG79" s="13" t="e">
        <f t="shared" si="101"/>
        <v>#NUM!</v>
      </c>
      <c r="FH79" s="20" t="e">
        <f t="shared" si="76"/>
        <v>#NUM!</v>
      </c>
      <c r="FI79" s="59" t="e">
        <f t="shared" si="77"/>
        <v>#NUM!</v>
      </c>
      <c r="FJ79" s="59">
        <f ca="1">AVERAGE(OFFSET($FI$3,0,0,'Données projet'!$E$16+1,1))-AVERAGE(OFFSET($H$3,0,0,'Données projet'!$E$16+1,1))</f>
        <v>86.164294406232727</v>
      </c>
      <c r="FK79" s="59">
        <f t="shared" si="102"/>
        <v>138.91188401562334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45.822898934973637</v>
      </c>
      <c r="FR79" s="21">
        <f>EXP(-LN(2)/25)*FR78+(1-EXP(-LN(2)/25))/(LN(2)/25)*Calculateur!FM79*Calculateur!FO79*VLOOKUP('Données projet'!$B$16,Paramètres!$A$1:$I$89,3,0)*0.475*44/12</f>
        <v>26.582282811470272</v>
      </c>
      <c r="FS79" s="21">
        <f>EXP(-LN(2)/2)*FS78+(1-EXP(-LN(2)/2))/(LN(2)/2)*FM79*FP79*VLOOKUP('Données projet'!$B$16,Paramètres!$A$1:$I$89,3,0)*0.475*44/12</f>
        <v>0.1374846631719728</v>
      </c>
      <c r="FT79" s="22">
        <f t="shared" si="78"/>
        <v>72.542666409615876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150.21793637331223</v>
      </c>
      <c r="T80" s="59">
        <f t="shared" si="88"/>
        <v>364.59164590134486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42.039373976637997</v>
      </c>
      <c r="AA80" s="21">
        <f>EXP(-LN(2)/25)*AA79+(1-EXP(-LN(2)/25))/(LN(2)/25)*Calculateur!V80*Calculateur!X80*VLOOKUP('Données projet'!$B$9,Paramètres!$A$1:$I$89,3,0)*0.475*44/12</f>
        <v>6.1191812631939397</v>
      </c>
      <c r="AB80" s="21">
        <f>EXP(-LN(2)/2)*AB79+(1-EXP(-LN(2)/2))/(LN(2)/2)*V80*Y80*VLOOKUP('Données projet'!$B$9,Paramètres!$A$1:$I$89,3,0)*0.475*44/12</f>
        <v>1.6315366543097394E-6</v>
      </c>
      <c r="AC80" s="22">
        <f t="shared" si="57"/>
        <v>48.158556871368589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4.5999999999999996</v>
      </c>
      <c r="AI80" s="13">
        <f>IF('Données projet'!$A$62&gt;35,AI79+AH80-AQ79,IF(A80&lt;'Données projet'!$A$62,$AF$205^A80,IF(A80='Données projet'!$A$62,'Données projet'!$B$62,AI79+AH80-AQ79)))</f>
        <v>178.2</v>
      </c>
      <c r="AJ80" s="13">
        <f>AI80*VLOOKUP('Données projet'!$B$10,Paramètres!$A$1:$I$89,3,0)*VLOOKUP('Données projet'!$B$10,Paramètres!$A$1:$I$89,5,0)</f>
        <v>194.59439999999998</v>
      </c>
      <c r="AK80" s="13">
        <f t="shared" si="89"/>
        <v>48.554292648263456</v>
      </c>
      <c r="AL80" s="20">
        <f t="shared" si="58"/>
        <v>423.48397302905875</v>
      </c>
      <c r="AM80" s="59">
        <f t="shared" si="59"/>
        <v>716.81730636239206</v>
      </c>
      <c r="AN80" s="59">
        <f ca="1">AVERAGE(OFFSET($AM$3,0,0,'Données projet'!$E$10+1,1))-AVERAGE(OFFSET($H$3,0,0,'Données projet'!$E$10+1,1))</f>
        <v>223.92539057016376</v>
      </c>
      <c r="AO80" s="59">
        <f t="shared" si="90"/>
        <v>94.125825809616856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13.603354881475756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13.603354881475756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4.5999999999999996</v>
      </c>
      <c r="BD80" s="12">
        <f>IF('Données projet'!$A$88&gt;35,BD79+BC80-BL79,IF(A80&lt;'Données projet'!$A$88,$BA$205^A80,IF(A80='Données projet'!$A$88,'Données projet'!$B$88,BD79+BC80-BL79)))</f>
        <v>178.2</v>
      </c>
      <c r="BE80" s="13">
        <f>BD80*VLOOKUP('Données projet'!$B$11,Paramètres!$A$1:$I$89,3,0)*VLOOKUP('Données projet'!$B$11,Paramètres!$A$1:$I$89,5,0)</f>
        <v>202.93415999999999</v>
      </c>
      <c r="BF80" s="13">
        <f t="shared" si="91"/>
        <v>50.388459677844857</v>
      </c>
      <c r="BG80" s="20">
        <f t="shared" si="61"/>
        <v>441.20356260557975</v>
      </c>
      <c r="BH80" s="59">
        <f t="shared" si="62"/>
        <v>734.53689593891306</v>
      </c>
      <c r="BI80" s="59">
        <f ca="1">AVERAGE(OFFSET($BH$3,0,0,'Données projet'!$E$11+1,1))-AVERAGE(OFFSET($H$3,0,0,'Données projet'!$E$11+1,1))</f>
        <v>236.39682613502913</v>
      </c>
      <c r="BJ80" s="59">
        <f t="shared" si="92"/>
        <v>99.639724892155641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14.186355804967574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14.186355804967574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4.5999999999999996</v>
      </c>
      <c r="CT80" s="12">
        <f>IF('Données projet'!$A$140&gt;35,CT79+CS80-DB79,IF(A80&lt;'Données projet'!$A$140,$CQ$205^A80,IF(A80='Données projet'!$A$140,'Données projet'!$B$140,CT79+CS80-DB79)))</f>
        <v>178.2</v>
      </c>
      <c r="CU80" s="17">
        <f>CT80*VLOOKUP('Données projet'!$B$13,Paramètres!$A$1:$I$89,3,0)*VLOOKUP('Données projet'!$B$13,Paramètres!$A$1:$I$89,5,0)</f>
        <v>150.11568</v>
      </c>
      <c r="CV80" s="13">
        <f t="shared" si="95"/>
        <v>38.604873136356503</v>
      </c>
      <c r="CW80" s="20">
        <f t="shared" si="67"/>
        <v>328.68829671248756</v>
      </c>
      <c r="CX80" s="59">
        <f t="shared" si="68"/>
        <v>622.02163004582087</v>
      </c>
      <c r="CY80" s="59">
        <f ca="1">AVERAGE(OFFSET($CX$3,0,0,'Données projet'!$E$13+1,1))-AVERAGE(OFFSET($H$3,0,0,'Données projet'!$E$13+1,1))</f>
        <v>157.20393815370375</v>
      </c>
      <c r="CZ80" s="59">
        <f t="shared" si="96"/>
        <v>64.616965816756363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10.494016622852728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10.494016622852728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-1.1368683772161603E-13</v>
      </c>
      <c r="DP80" s="17">
        <f>DO80*VLOOKUP('Données projet'!$B$14,Paramètres!$A$1:$I$89,3,0)*VLOOKUP('Données projet'!$B$14,Paramètres!$A$1:$I$89,5,0)</f>
        <v>-9.2222762759774927E-14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221.78186926953776</v>
      </c>
      <c r="DU80" s="59">
        <f t="shared" si="98"/>
        <v>276.69392352410654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71.014519712221045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71.014519712221045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4.5999999999999996</v>
      </c>
      <c r="EJ80" s="12">
        <f>IF('Données projet'!$A$192&gt;35,EJ79+EI80-ER79,IF(A80&lt;'Données projet'!$A$192,$EG$205^A80,IF(A80='Données projet'!$A$192,'Données projet'!$B$192,EJ79+EI80-ER79)))</f>
        <v>178.2</v>
      </c>
      <c r="EK80" s="17">
        <f>EJ80*VLOOKUP('Données projet'!$B$15,Paramètres!$A$1:$I$89,3,0)*VLOOKUP('Données projet'!$B$15,Paramètres!$A$1:$I$89,5,0)</f>
        <v>191.81447999999997</v>
      </c>
      <c r="EL80" s="13">
        <f t="shared" si="99"/>
        <v>47.940886441320977</v>
      </c>
      <c r="EM80" s="20">
        <f t="shared" si="73"/>
        <v>417.57392988530063</v>
      </c>
      <c r="EN80" s="59">
        <f t="shared" si="74"/>
        <v>710.90726321863394</v>
      </c>
      <c r="EO80" s="59">
        <f ca="1">AVERAGE(OFFSET($EN$3,0,0,'Données projet'!$E$15+1,1))-AVERAGE(OFFSET($H$3,0,0,'Données projet'!$E$15+1,1))</f>
        <v>219.76574638403434</v>
      </c>
      <c r="EP80" s="59">
        <f t="shared" si="100"/>
        <v>92.286636088269972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13.409021240311816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13.409021240311816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>
        <f>FE80*VLOOKUP('Données projet'!$B$16,Paramètres!$A$1:$I$89,3,0)*VLOOKUP('Données projet'!$B$16,Paramètres!$A$1:$I$89,5,0)</f>
        <v>0</v>
      </c>
      <c r="FG80" s="13" t="e">
        <f t="shared" si="101"/>
        <v>#NUM!</v>
      </c>
      <c r="FH80" s="20" t="e">
        <f t="shared" si="76"/>
        <v>#NUM!</v>
      </c>
      <c r="FI80" s="59" t="e">
        <f t="shared" si="77"/>
        <v>#NUM!</v>
      </c>
      <c r="FJ80" s="59">
        <f ca="1">AVERAGE(OFFSET($FI$3,0,0,'Données projet'!$E$16+1,1))-AVERAGE(OFFSET($H$3,0,0,'Données projet'!$E$16+1,1))</f>
        <v>86.164294406232727</v>
      </c>
      <c r="FK80" s="59">
        <f t="shared" si="102"/>
        <v>138.91188401562334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44.924339836067396</v>
      </c>
      <c r="FR80" s="21">
        <f>EXP(-LN(2)/25)*FR79+(1-EXP(-LN(2)/25))/(LN(2)/25)*Calculateur!FM80*Calculateur!FO80*VLOOKUP('Données projet'!$B$16,Paramètres!$A$1:$I$89,3,0)*0.475*44/12</f>
        <v>25.85538889008912</v>
      </c>
      <c r="FS80" s="21">
        <f>EXP(-LN(2)/2)*FS79+(1-EXP(-LN(2)/2))/(LN(2)/2)*FM80*FP80*VLOOKUP('Données projet'!$B$16,Paramètres!$A$1:$I$89,3,0)*0.475*44/12</f>
        <v>9.7216337638050362E-2</v>
      </c>
      <c r="FT80" s="22">
        <f t="shared" si="78"/>
        <v>70.876945063794565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150.21793637331223</v>
      </c>
      <c r="T81" s="59">
        <f t="shared" si="88"/>
        <v>364.59164590134486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41.215007494442368</v>
      </c>
      <c r="AA81" s="21">
        <f>EXP(-LN(2)/25)*AA80+(1-EXP(-LN(2)/25))/(LN(2)/25)*Calculateur!V81*Calculateur!X81*VLOOKUP('Données projet'!$B$9,Paramètres!$A$1:$I$89,3,0)*0.475*44/12</f>
        <v>5.9518519297581447</v>
      </c>
      <c r="AB81" s="21">
        <f>EXP(-LN(2)/2)*AB80+(1-EXP(-LN(2)/2))/(LN(2)/2)*V81*Y81*VLOOKUP('Données projet'!$B$9,Paramètres!$A$1:$I$89,3,0)*0.475*44/12</f>
        <v>1.1536706320168287E-6</v>
      </c>
      <c r="AC81" s="22">
        <f t="shared" si="57"/>
        <v>47.166860577871141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4.5999999999999996</v>
      </c>
      <c r="AI81" s="13">
        <f>IF('Données projet'!$A$62&gt;35,AI80+AH81-AQ80,IF(A81&lt;'Données projet'!$A$62,$AF$205^A81,IF(A81='Données projet'!$A$62,'Données projet'!$B$62,AI80+AH81-AQ80)))</f>
        <v>182.79999999999998</v>
      </c>
      <c r="AJ81" s="13">
        <f>AI81*VLOOKUP('Données projet'!$B$10,Paramètres!$A$1:$I$89,3,0)*VLOOKUP('Données projet'!$B$10,Paramètres!$A$1:$I$89,5,0)</f>
        <v>199.61759999999998</v>
      </c>
      <c r="AK81" s="13">
        <f t="shared" si="89"/>
        <v>49.66011842098839</v>
      </c>
      <c r="AL81" s="20">
        <f t="shared" si="58"/>
        <v>434.15869291655468</v>
      </c>
      <c r="AM81" s="59">
        <f t="shared" si="59"/>
        <v>727.492026249888</v>
      </c>
      <c r="AN81" s="59">
        <f ca="1">AVERAGE(OFFSET($AM$3,0,0,'Données projet'!$E$10+1,1))-AVERAGE(OFFSET($H$3,0,0,'Données projet'!$E$10+1,1))</f>
        <v>223.92539057016376</v>
      </c>
      <c r="AO81" s="59">
        <f t="shared" si="90"/>
        <v>94.125825809616856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13.336601389477211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13.336601389477211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4.5999999999999996</v>
      </c>
      <c r="BD81" s="12">
        <f>IF('Données projet'!$A$88&gt;35,BD80+BC81-BL80,IF(A81&lt;'Données projet'!$A$88,$BA$205^A81,IF(A81='Données projet'!$A$88,'Données projet'!$B$88,BD80+BC81-BL80)))</f>
        <v>182.79999999999998</v>
      </c>
      <c r="BE81" s="13">
        <f>BD81*VLOOKUP('Données projet'!$B$11,Paramètres!$A$1:$I$89,3,0)*VLOOKUP('Données projet'!$B$11,Paramètres!$A$1:$I$89,5,0)</f>
        <v>208.17264</v>
      </c>
      <c r="BF81" s="13">
        <f t="shared" si="91"/>
        <v>51.53605867106517</v>
      </c>
      <c r="BG81" s="20">
        <f t="shared" si="61"/>
        <v>452.32598351877181</v>
      </c>
      <c r="BH81" s="59">
        <f t="shared" si="62"/>
        <v>745.65931685210512</v>
      </c>
      <c r="BI81" s="59">
        <f ca="1">AVERAGE(OFFSET($BH$3,0,0,'Données projet'!$E$11+1,1))-AVERAGE(OFFSET($H$3,0,0,'Données projet'!$E$11+1,1))</f>
        <v>236.39682613502913</v>
      </c>
      <c r="BJ81" s="59">
        <f t="shared" si="92"/>
        <v>99.639724892155641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13.908170020454806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13.908170020454806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4.5999999999999996</v>
      </c>
      <c r="CT81" s="12">
        <f>IF('Données projet'!$A$140&gt;35,CT80+CS81-DB80,IF(A81&lt;'Données projet'!$A$140,$CQ$205^A81,IF(A81='Données projet'!$A$140,'Données projet'!$B$140,CT80+CS81-DB80)))</f>
        <v>182.79999999999998</v>
      </c>
      <c r="CU81" s="17">
        <f>CT81*VLOOKUP('Données projet'!$B$13,Paramètres!$A$1:$I$89,3,0)*VLOOKUP('Données projet'!$B$13,Paramètres!$A$1:$I$89,5,0)</f>
        <v>153.99072000000001</v>
      </c>
      <c r="CV81" s="13">
        <f t="shared" si="95"/>
        <v>39.484100519529754</v>
      </c>
      <c r="CW81" s="20">
        <f t="shared" si="67"/>
        <v>336.96864573818101</v>
      </c>
      <c r="CX81" s="59">
        <f t="shared" si="68"/>
        <v>630.30197907151432</v>
      </c>
      <c r="CY81" s="59">
        <f ca="1">AVERAGE(OFFSET($CX$3,0,0,'Données projet'!$E$13+1,1))-AVERAGE(OFFSET($H$3,0,0,'Données projet'!$E$13+1,1))</f>
        <v>157.20393815370375</v>
      </c>
      <c r="CZ81" s="59">
        <f t="shared" si="96"/>
        <v>64.616965816756363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10.288235357596708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10.288235357596708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-1.1368683772161603E-13</v>
      </c>
      <c r="DP81" s="17">
        <f>DO81*VLOOKUP('Données projet'!$B$14,Paramètres!$A$1:$I$89,3,0)*VLOOKUP('Données projet'!$B$14,Paramètres!$A$1:$I$89,5,0)</f>
        <v>-9.2222762759774927E-14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221.78186926953776</v>
      </c>
      <c r="DU81" s="59">
        <f t="shared" si="98"/>
        <v>276.69392352410654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69.621968295244457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69.621968295244457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4.5999999999999996</v>
      </c>
      <c r="EJ81" s="12">
        <f>IF('Données projet'!$A$192&gt;35,EJ80+EI81-ER80,IF(A81&lt;'Données projet'!$A$192,$EG$205^A81,IF(A81='Données projet'!$A$192,'Données projet'!$B$192,EJ80+EI81-ER80)))</f>
        <v>182.79999999999998</v>
      </c>
      <c r="EK81" s="17">
        <f>EJ81*VLOOKUP('Données projet'!$B$15,Paramètres!$A$1:$I$89,3,0)*VLOOKUP('Données projet'!$B$15,Paramètres!$A$1:$I$89,5,0)</f>
        <v>196.76591999999997</v>
      </c>
      <c r="EL81" s="13">
        <f t="shared" si="99"/>
        <v>49.03274186547759</v>
      </c>
      <c r="EM81" s="20">
        <f t="shared" si="73"/>
        <v>428.09933608237338</v>
      </c>
      <c r="EN81" s="59">
        <f t="shared" si="74"/>
        <v>721.43266941570664</v>
      </c>
      <c r="EO81" s="59">
        <f ca="1">AVERAGE(OFFSET($EN$3,0,0,'Données projet'!$E$15+1,1))-AVERAGE(OFFSET($H$3,0,0,'Données projet'!$E$15+1,1))</f>
        <v>219.76574638403434</v>
      </c>
      <c r="EP81" s="59">
        <f t="shared" si="100"/>
        <v>92.286636088269972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13.146078512484678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13.146078512484678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>
        <f>FE81*VLOOKUP('Données projet'!$B$16,Paramètres!$A$1:$I$89,3,0)*VLOOKUP('Données projet'!$B$16,Paramètres!$A$1:$I$89,5,0)</f>
        <v>0</v>
      </c>
      <c r="FG81" s="13" t="e">
        <f t="shared" si="101"/>
        <v>#NUM!</v>
      </c>
      <c r="FH81" s="20" t="e">
        <f t="shared" si="76"/>
        <v>#NUM!</v>
      </c>
      <c r="FI81" s="59" t="e">
        <f t="shared" si="77"/>
        <v>#NUM!</v>
      </c>
      <c r="FJ81" s="59">
        <f ca="1">AVERAGE(OFFSET($FI$3,0,0,'Données projet'!$E$16+1,1))-AVERAGE(OFFSET($H$3,0,0,'Données projet'!$E$16+1,1))</f>
        <v>86.164294406232727</v>
      </c>
      <c r="FK81" s="59">
        <f t="shared" si="102"/>
        <v>138.91188401562334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44.043400933023776</v>
      </c>
      <c r="FR81" s="21">
        <f>EXP(-LN(2)/25)*FR80+(1-EXP(-LN(2)/25))/(LN(2)/25)*Calculateur!FM81*Calculateur!FO81*VLOOKUP('Données projet'!$B$16,Paramètres!$A$1:$I$89,3,0)*0.475*44/12</f>
        <v>25.148371921213826</v>
      </c>
      <c r="FS81" s="21">
        <f>EXP(-LN(2)/2)*FS80+(1-EXP(-LN(2)/2))/(LN(2)/2)*FM81*FP81*VLOOKUP('Données projet'!$B$16,Paramètres!$A$1:$I$89,3,0)*0.475*44/12</f>
        <v>6.8742331585986402E-2</v>
      </c>
      <c r="FT81" s="22">
        <f t="shared" si="78"/>
        <v>69.260515185823579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150.21793637331223</v>
      </c>
      <c r="T82" s="59">
        <f t="shared" si="88"/>
        <v>364.59164590134486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40.406806336148684</v>
      </c>
      <c r="AA82" s="21">
        <f>EXP(-LN(2)/25)*AA81+(1-EXP(-LN(2)/25))/(LN(2)/25)*Calculateur!V82*Calculateur!X82*VLOOKUP('Données projet'!$B$9,Paramètres!$A$1:$I$89,3,0)*0.475*44/12</f>
        <v>5.7890982257446186</v>
      </c>
      <c r="AB82" s="21">
        <f>EXP(-LN(2)/2)*AB81+(1-EXP(-LN(2)/2))/(LN(2)/2)*V82*Y82*VLOOKUP('Données projet'!$B$9,Paramètres!$A$1:$I$89,3,0)*0.475*44/12</f>
        <v>8.1576832715486968E-7</v>
      </c>
      <c r="AC82" s="22">
        <f t="shared" si="57"/>
        <v>46.195905377661624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4.5999999999999996</v>
      </c>
      <c r="AI82" s="13">
        <f>IF('Données projet'!$A$62&gt;35,AI81+AH82-AQ81,IF(A82&lt;'Données projet'!$A$62,$AF$205^A82,IF(A82='Données projet'!$A$62,'Données projet'!$B$62,AI81+AH82-AQ81)))</f>
        <v>187.39999999999998</v>
      </c>
      <c r="AJ82" s="13">
        <f>AI82*VLOOKUP('Données projet'!$B$10,Paramètres!$A$1:$I$89,3,0)*VLOOKUP('Données projet'!$B$10,Paramètres!$A$1:$I$89,5,0)</f>
        <v>204.64079999999998</v>
      </c>
      <c r="AK82" s="13">
        <f t="shared" si="89"/>
        <v>50.762709494682539</v>
      </c>
      <c r="AL82" s="20">
        <f t="shared" si="58"/>
        <v>444.82777903657205</v>
      </c>
      <c r="AM82" s="59">
        <f t="shared" si="59"/>
        <v>738.16111236990537</v>
      </c>
      <c r="AN82" s="59">
        <f ca="1">AVERAGE(OFFSET($AM$3,0,0,'Données projet'!$E$10+1,1))-AVERAGE(OFFSET($H$3,0,0,'Données projet'!$E$10+1,1))</f>
        <v>223.92539057016376</v>
      </c>
      <c r="AO82" s="59">
        <f t="shared" si="90"/>
        <v>94.125825809616856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13.075078770753194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13.075078770753194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4.5999999999999996</v>
      </c>
      <c r="BD82" s="12">
        <f>IF('Données projet'!$A$88&gt;35,BD81+BC82-BL81,IF(A82&lt;'Données projet'!$A$88,$BA$205^A82,IF(A82='Données projet'!$A$88,'Données projet'!$B$88,BD81+BC82-BL81)))</f>
        <v>187.39999999999998</v>
      </c>
      <c r="BE82" s="13">
        <f>BD82*VLOOKUP('Données projet'!$B$11,Paramètres!$A$1:$I$89,3,0)*VLOOKUP('Données projet'!$B$11,Paramètres!$A$1:$I$89,5,0)</f>
        <v>213.41111999999998</v>
      </c>
      <c r="BF82" s="13">
        <f t="shared" si="91"/>
        <v>52.680300772591785</v>
      </c>
      <c r="BG82" s="20">
        <f t="shared" si="61"/>
        <v>463.44255784559732</v>
      </c>
      <c r="BH82" s="59">
        <f t="shared" si="62"/>
        <v>756.77589117893058</v>
      </c>
      <c r="BI82" s="59">
        <f ca="1">AVERAGE(OFFSET($BH$3,0,0,'Données projet'!$E$11+1,1))-AVERAGE(OFFSET($H$3,0,0,'Données projet'!$E$11+1,1))</f>
        <v>236.39682613502913</v>
      </c>
      <c r="BJ82" s="59">
        <f t="shared" si="92"/>
        <v>99.639724892155641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13.635439289499759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13.635439289499759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4.5999999999999996</v>
      </c>
      <c r="CT82" s="12">
        <f>IF('Données projet'!$A$140&gt;35,CT81+CS82-DB81,IF(A82&lt;'Données projet'!$A$140,$CQ$205^A82,IF(A82='Données projet'!$A$140,'Données projet'!$B$140,CT81+CS82-DB81)))</f>
        <v>187.39999999999998</v>
      </c>
      <c r="CU82" s="17">
        <f>CT82*VLOOKUP('Données projet'!$B$13,Paramètres!$A$1:$I$89,3,0)*VLOOKUP('Données projet'!$B$13,Paramètres!$A$1:$I$89,5,0)</f>
        <v>157.86575999999999</v>
      </c>
      <c r="CV82" s="13">
        <f t="shared" si="95"/>
        <v>40.360756036470178</v>
      </c>
      <c r="CW82" s="20">
        <f t="shared" si="67"/>
        <v>345.24451543018557</v>
      </c>
      <c r="CX82" s="59">
        <f t="shared" si="68"/>
        <v>638.57784876351889</v>
      </c>
      <c r="CY82" s="59">
        <f ca="1">AVERAGE(OFFSET($CX$3,0,0,'Données projet'!$E$13+1,1))-AVERAGE(OFFSET($H$3,0,0,'Données projet'!$E$13+1,1))</f>
        <v>157.20393815370375</v>
      </c>
      <c r="CZ82" s="59">
        <f t="shared" si="96"/>
        <v>64.616965816756363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10.086489337438179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10.086489337438179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-1.1368683772161603E-13</v>
      </c>
      <c r="DP82" s="17">
        <f>DO82*VLOOKUP('Données projet'!$B$14,Paramètres!$A$1:$I$89,3,0)*VLOOKUP('Données projet'!$B$14,Paramètres!$A$1:$I$89,5,0)</f>
        <v>-9.2222762759774927E-14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221.78186926953776</v>
      </c>
      <c r="DU82" s="59">
        <f t="shared" si="98"/>
        <v>276.69392352410654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68.256723962182278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68.256723962182278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4.5999999999999996</v>
      </c>
      <c r="EJ82" s="12">
        <f>IF('Données projet'!$A$192&gt;35,EJ81+EI82-ER81,IF(A82&lt;'Données projet'!$A$192,$EG$205^A82,IF(A82='Données projet'!$A$192,'Données projet'!$B$192,EJ81+EI82-ER81)))</f>
        <v>187.39999999999998</v>
      </c>
      <c r="EK82" s="17">
        <f>EJ82*VLOOKUP('Données projet'!$B$15,Paramètres!$A$1:$I$89,3,0)*VLOOKUP('Données projet'!$B$15,Paramètres!$A$1:$I$89,5,0)</f>
        <v>201.71735999999999</v>
      </c>
      <c r="EL82" s="13">
        <f t="shared" si="99"/>
        <v>50.121403455877136</v>
      </c>
      <c r="EM82" s="20">
        <f t="shared" si="73"/>
        <v>438.61917968565263</v>
      </c>
      <c r="EN82" s="59">
        <f t="shared" si="74"/>
        <v>731.95251301898588</v>
      </c>
      <c r="EO82" s="59">
        <f ca="1">AVERAGE(OFFSET($EN$3,0,0,'Données projet'!$E$15+1,1))-AVERAGE(OFFSET($H$3,0,0,'Données projet'!$E$15+1,1))</f>
        <v>219.76574638403434</v>
      </c>
      <c r="EP82" s="59">
        <f t="shared" si="100"/>
        <v>92.286636088269972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12.888291931171002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12.888291931171002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>
        <f>FE82*VLOOKUP('Données projet'!$B$16,Paramètres!$A$1:$I$89,3,0)*VLOOKUP('Données projet'!$B$16,Paramètres!$A$1:$I$89,5,0)</f>
        <v>0</v>
      </c>
      <c r="FG82" s="13" t="e">
        <f t="shared" si="101"/>
        <v>#NUM!</v>
      </c>
      <c r="FH82" s="20" t="e">
        <f t="shared" si="76"/>
        <v>#NUM!</v>
      </c>
      <c r="FI82" s="59" t="e">
        <f t="shared" si="77"/>
        <v>#NUM!</v>
      </c>
      <c r="FJ82" s="59">
        <f ca="1">AVERAGE(OFFSET($FI$3,0,0,'Données projet'!$E$16+1,1))-AVERAGE(OFFSET($H$3,0,0,'Données projet'!$E$16+1,1))</f>
        <v>86.164294406232727</v>
      </c>
      <c r="FK82" s="59">
        <f t="shared" si="102"/>
        <v>138.91188401562334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43.179736704549164</v>
      </c>
      <c r="FR82" s="21">
        <f>EXP(-LN(2)/25)*FR81+(1-EXP(-LN(2)/25))/(LN(2)/25)*Calculateur!FM82*Calculateur!FO82*VLOOKUP('Données projet'!$B$16,Paramètres!$A$1:$I$89,3,0)*0.475*44/12</f>
        <v>24.460688368532832</v>
      </c>
      <c r="FS82" s="21">
        <f>EXP(-LN(2)/2)*FS81+(1-EXP(-LN(2)/2))/(LN(2)/2)*FM82*FP82*VLOOKUP('Données projet'!$B$16,Paramètres!$A$1:$I$89,3,0)*0.475*44/12</f>
        <v>4.8608168819025181E-2</v>
      </c>
      <c r="FT82" s="22">
        <f t="shared" si="78"/>
        <v>67.689033241901029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150.21793637331223</v>
      </c>
      <c r="T83" s="59">
        <f t="shared" si="88"/>
        <v>364.59164590134486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39.61445350961511</v>
      </c>
      <c r="AA83" s="21">
        <f>EXP(-LN(2)/25)*AA82+(1-EXP(-LN(2)/25))/(LN(2)/25)*Calculateur!V83*Calculateur!X83*VLOOKUP('Données projet'!$B$9,Paramètres!$A$1:$I$89,3,0)*0.475*44/12</f>
        <v>5.6307950303261878</v>
      </c>
      <c r="AB83" s="21">
        <f>EXP(-LN(2)/2)*AB82+(1-EXP(-LN(2)/2))/(LN(2)/2)*V83*Y83*VLOOKUP('Données projet'!$B$9,Paramètres!$A$1:$I$89,3,0)*0.475*44/12</f>
        <v>5.7683531600841434E-7</v>
      </c>
      <c r="AC83" s="22">
        <f t="shared" si="57"/>
        <v>45.24524911677662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192</v>
      </c>
      <c r="AG83" s="12">
        <f>VLOOKUP(A83,'Données projet'!$A$61:$I$81,9,0)</f>
        <v>4.5999999999999996</v>
      </c>
      <c r="AH83" s="12">
        <f t="array" ref="AH83">INDEX(AG:AG,MIN(IF(ISNUMBER(AG83:AG279),ROW(AG83:AG279),"")))</f>
        <v>4.5999999999999996</v>
      </c>
      <c r="AI83" s="13">
        <f>IF('Données projet'!$A$62&gt;35,AI82+AH83-AQ82,IF(A83&lt;'Données projet'!$A$62,$AF$205^A83,IF(A83='Données projet'!$A$62,'Données projet'!$B$62,AI82+AH83-AQ82)))</f>
        <v>191.99999999999997</v>
      </c>
      <c r="AJ83" s="13">
        <f>AI83*VLOOKUP('Données projet'!$B$10,Paramètres!$A$1:$I$89,3,0)*VLOOKUP('Données projet'!$B$10,Paramètres!$A$1:$I$89,5,0)</f>
        <v>209.66399999999996</v>
      </c>
      <c r="AK83" s="13">
        <f t="shared" si="89"/>
        <v>51.862154403304487</v>
      </c>
      <c r="AL83" s="20">
        <f t="shared" si="58"/>
        <v>455.49138558575515</v>
      </c>
      <c r="AM83" s="59">
        <f t="shared" si="59"/>
        <v>748.82471891908847</v>
      </c>
      <c r="AN83" s="59">
        <f ca="1">AVERAGE(OFFSET($AM$3,0,0,'Données projet'!$E$10+1,1))-AVERAGE(OFFSET($H$3,0,0,'Données projet'!$E$10+1,1))</f>
        <v>223.92539057016376</v>
      </c>
      <c r="AO83" s="59">
        <f t="shared" si="90"/>
        <v>94.125825809616856</v>
      </c>
      <c r="AP83" s="15">
        <f>IF(ISNA(VLOOKUP(A83,'Données projet'!$A$61:$I$81,3,0)),0,VLOOKUP(A83,'Données projet'!$A$61:$I$81,3,0))</f>
        <v>12</v>
      </c>
      <c r="AQ83" s="15">
        <f>IF(ISNA(VLOOKUP(A83,'Données projet'!$A$61:$I$81,4,0)),0,VLOOKUP(A83,'Données projet'!$A$61:$I$81,4,0))</f>
        <v>14</v>
      </c>
      <c r="AR83" s="16">
        <f>IF(ISNA(VLOOKUP(A83,'Données projet'!$A$61:$I$81,5,0)),0%,VLOOKUP(A83,'Données projet'!$A$61:$I$81,5,0)*VLOOKUP('Données projet'!$B$10,Paramètres!$A$1:$I$89,7,0))</f>
        <v>0.215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16.452277150963752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16.452277150963752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192</v>
      </c>
      <c r="BB83" s="12">
        <f>VLOOKUP(A83,'Données projet'!$A$87:$I$107,9,0)</f>
        <v>4.5999999999999996</v>
      </c>
      <c r="BC83" s="12">
        <f t="array" ref="BC83">INDEX(BB:BB,MIN(IF(ISNUMBER(BB83:BB279),ROW(BB83:BB279),"")))</f>
        <v>4.5999999999999996</v>
      </c>
      <c r="BD83" s="12">
        <f>IF('Données projet'!$A$88&gt;35,BD82+BC83-BL82,IF(A83&lt;'Données projet'!$A$88,$BA$205^A83,IF(A83='Données projet'!$A$88,'Données projet'!$B$88,BD82+BC83-BL82)))</f>
        <v>191.99999999999997</v>
      </c>
      <c r="BE83" s="13">
        <f>BD83*VLOOKUP('Données projet'!$B$11,Paramètres!$A$1:$I$89,3,0)*VLOOKUP('Données projet'!$B$11,Paramètres!$A$1:$I$89,5,0)</f>
        <v>218.64959999999996</v>
      </c>
      <c r="BF83" s="13">
        <f t="shared" si="91"/>
        <v>53.821277860805893</v>
      </c>
      <c r="BG83" s="20">
        <f t="shared" si="61"/>
        <v>474.55344560757021</v>
      </c>
      <c r="BH83" s="59">
        <f t="shared" si="62"/>
        <v>767.88677894090347</v>
      </c>
      <c r="BI83" s="59">
        <f ca="1">AVERAGE(OFFSET($BH$3,0,0,'Données projet'!$E$11+1,1))-AVERAGE(OFFSET($H$3,0,0,'Données projet'!$E$11+1,1))</f>
        <v>236.39682613502913</v>
      </c>
      <c r="BJ83" s="59">
        <f t="shared" si="92"/>
        <v>99.639724892155641</v>
      </c>
      <c r="BK83" s="15">
        <f>IF(ISNA(VLOOKUP(A83,'Données projet'!$A$87:$I$107,3,0)),0,VLOOKUP(A83,'Données projet'!$A$87:$I$107,3,0))</f>
        <v>12</v>
      </c>
      <c r="BL83" s="21">
        <f>IF(ISNA(VLOOKUP(A83,'Données projet'!$A$87:$I$107,4,0)),0,VLOOKUP(A83,'Données projet'!$A$87:$I$107,4,0))</f>
        <v>14</v>
      </c>
      <c r="BM83" s="16">
        <f>IF(ISNA(VLOOKUP(A83,'Données projet'!$A$87:$I$107,5,0)),0%,VLOOKUP(A83,'Données projet'!$A$87:$I$107,5,0)*VLOOKUP('Données projet'!$B$11,Paramètres!$A$1:$I$89,7,0))</f>
        <v>0.215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17.157374743147912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17.157374743147912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192</v>
      </c>
      <c r="CR83" s="12">
        <f>VLOOKUP(A83,'Données projet'!$A$139:$I$159,9,0)</f>
        <v>4.5999999999999996</v>
      </c>
      <c r="CS83" s="12">
        <f t="array" ref="CS83">INDEX(CR:CR,MIN(IF(ISNUMBER(CR83:CR279),ROW(CR83:CR279),"")))</f>
        <v>4.5999999999999996</v>
      </c>
      <c r="CT83" s="12">
        <f>IF('Données projet'!$A$140&gt;35,CT82+CS83-DB82,IF(A83&lt;'Données projet'!$A$140,$CQ$205^A83,IF(A83='Données projet'!$A$140,'Données projet'!$B$140,CT82+CS83-DB82)))</f>
        <v>191.99999999999997</v>
      </c>
      <c r="CU83" s="17">
        <f>CT83*VLOOKUP('Données projet'!$B$13,Paramètres!$A$1:$I$89,3,0)*VLOOKUP('Données projet'!$B$13,Paramètres!$A$1:$I$89,5,0)</f>
        <v>161.74080000000001</v>
      </c>
      <c r="CV83" s="13">
        <f t="shared" si="95"/>
        <v>41.234910079352424</v>
      </c>
      <c r="CW83" s="20">
        <f t="shared" si="67"/>
        <v>353.51602838820548</v>
      </c>
      <c r="CX83" s="59">
        <f t="shared" si="68"/>
        <v>646.8493617215388</v>
      </c>
      <c r="CY83" s="59">
        <f ca="1">AVERAGE(OFFSET($CX$3,0,0,'Données projet'!$E$13+1,1))-AVERAGE(OFFSET($H$3,0,0,'Données projet'!$E$13+1,1))</f>
        <v>157.20393815370375</v>
      </c>
      <c r="CZ83" s="59">
        <f t="shared" si="96"/>
        <v>64.616965816756363</v>
      </c>
      <c r="DA83" s="15">
        <f>IF(ISNA(VLOOKUP(A83,'Données projet'!$A$139:$I$159,3,0)),0,VLOOKUP(A83,'Données projet'!$A$139:$I$159,3,0))</f>
        <v>12</v>
      </c>
      <c r="DB83" s="15">
        <f>IF(ISNA(VLOOKUP(A83,'Données projet'!$A$139:$I$159,4,0)),0,VLOOKUP(A83,'Données projet'!$A$139:$I$159,4,0))</f>
        <v>14</v>
      </c>
      <c r="DC83" s="16">
        <f>IF(ISNA(VLOOKUP(A83,'Données projet'!$A$139:$I$159,5,0)),0%,VLOOKUP(A83,'Données projet'!$A$139:$I$159,5,0)*VLOOKUP('Données projet'!$B$13,Paramètres!$A$1:$I$89,7,0))</f>
        <v>0.215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12.691756659314894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12.691756659314894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-1.1368683772161603E-13</v>
      </c>
      <c r="DP83" s="17">
        <f>DO83*VLOOKUP('Données projet'!$B$14,Paramètres!$A$1:$I$89,3,0)*VLOOKUP('Données projet'!$B$14,Paramètres!$A$1:$I$89,5,0)</f>
        <v>-9.2222762759774927E-14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221.78186926953776</v>
      </c>
      <c r="DU83" s="59">
        <f t="shared" si="98"/>
        <v>276.69392352410654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66.918251237774626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66.918251237774626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192</v>
      </c>
      <c r="EH83" s="12">
        <f>VLOOKUP(A83,'Données projet'!$A$191:$I$211,9,0)</f>
        <v>4.5999999999999996</v>
      </c>
      <c r="EI83" s="12">
        <f t="array" ref="EI83">INDEX(EH:EH,MIN(IF(ISNUMBER(EH83:EH279),ROW(EH83:EH279),"")))</f>
        <v>4.5999999999999996</v>
      </c>
      <c r="EJ83" s="12">
        <f>IF('Données projet'!$A$192&gt;35,EJ82+EI83-ER82,IF(A83&lt;'Données projet'!$A$192,$EG$205^A83,IF(A83='Données projet'!$A$192,'Données projet'!$B$192,EJ82+EI83-ER82)))</f>
        <v>191.99999999999997</v>
      </c>
      <c r="EK83" s="17">
        <f>EJ83*VLOOKUP('Données projet'!$B$15,Paramètres!$A$1:$I$89,3,0)*VLOOKUP('Données projet'!$B$15,Paramètres!$A$1:$I$89,5,0)</f>
        <v>206.66879999999995</v>
      </c>
      <c r="EL83" s="13">
        <f t="shared" si="99"/>
        <v>51.206958627992705</v>
      </c>
      <c r="EM83" s="20">
        <f t="shared" si="73"/>
        <v>449.1336129437538</v>
      </c>
      <c r="EN83" s="59">
        <f t="shared" si="74"/>
        <v>742.46694627708712</v>
      </c>
      <c r="EO83" s="59">
        <f ca="1">AVERAGE(OFFSET($EN$3,0,0,'Données projet'!$E$15+1,1))-AVERAGE(OFFSET($H$3,0,0,'Données projet'!$E$15+1,1))</f>
        <v>219.76574638403434</v>
      </c>
      <c r="EP83" s="59">
        <f t="shared" si="100"/>
        <v>92.286636088269972</v>
      </c>
      <c r="EQ83" s="15">
        <f>IF(ISNA(VLOOKUP(A83,'Données projet'!$A$191:$I$211,3,0)),0,VLOOKUP(A83,'Données projet'!$A$191:$I$211,3,0))</f>
        <v>12</v>
      </c>
      <c r="ER83" s="15">
        <f>IF(ISNA(VLOOKUP(A83,'Données projet'!$A$191:$I$211,4,0)),0,VLOOKUP(A83,'Données projet'!$A$191:$I$211,4,0))</f>
        <v>14</v>
      </c>
      <c r="ES83" s="16">
        <f>IF(ISNA(VLOOKUP(A83,'Données projet'!$A$191:$I$211,5,0)),0%,VLOOKUP(A83,'Données projet'!$A$191:$I$211,5,0)*VLOOKUP('Données projet'!$B$15,Paramètres!$A$1:$I$89,7,0))</f>
        <v>0.215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16.217244620235693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16.217244620235693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>
        <f>FE83*VLOOKUP('Données projet'!$B$16,Paramètres!$A$1:$I$89,3,0)*VLOOKUP('Données projet'!$B$16,Paramètres!$A$1:$I$89,5,0)</f>
        <v>0</v>
      </c>
      <c r="FG83" s="13" t="e">
        <f t="shared" si="101"/>
        <v>#NUM!</v>
      </c>
      <c r="FH83" s="20" t="e">
        <f t="shared" si="76"/>
        <v>#NUM!</v>
      </c>
      <c r="FI83" s="59" t="e">
        <f t="shared" si="77"/>
        <v>#NUM!</v>
      </c>
      <c r="FJ83" s="59">
        <f ca="1">AVERAGE(OFFSET($FI$3,0,0,'Données projet'!$E$16+1,1))-AVERAGE(OFFSET($H$3,0,0,'Données projet'!$E$16+1,1))</f>
        <v>86.164294406232727</v>
      </c>
      <c r="FK83" s="59">
        <f t="shared" si="102"/>
        <v>138.91188401562334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42.333008404811778</v>
      </c>
      <c r="FR83" s="21">
        <f>EXP(-LN(2)/25)*FR82+(1-EXP(-LN(2)/25))/(LN(2)/25)*Calculateur!FM83*Calculateur!FO83*VLOOKUP('Données projet'!$B$16,Paramètres!$A$1:$I$89,3,0)*0.475*44/12</f>
        <v>23.791809558763607</v>
      </c>
      <c r="FS83" s="21">
        <f>EXP(-LN(2)/2)*FS82+(1-EXP(-LN(2)/2))/(LN(2)/2)*FM83*FP83*VLOOKUP('Données projet'!$B$16,Paramètres!$A$1:$I$89,3,0)*0.475*44/12</f>
        <v>3.4371165792993201E-2</v>
      </c>
      <c r="FT83" s="22">
        <f t="shared" si="78"/>
        <v>66.159189129368372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150.21793637331223</v>
      </c>
      <c r="T84" s="59">
        <f t="shared" si="88"/>
        <v>364.59164590134486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38.837638238722356</v>
      </c>
      <c r="AA84" s="21">
        <f>EXP(-LN(2)/25)*AA83+(1-EXP(-LN(2)/25))/(LN(2)/25)*Calculateur!V84*Calculateur!X84*VLOOKUP('Données projet'!$B$9,Paramètres!$A$1:$I$89,3,0)*0.475*44/12</f>
        <v>5.4768206441112772</v>
      </c>
      <c r="AB84" s="21">
        <f>EXP(-LN(2)/2)*AB83+(1-EXP(-LN(2)/2))/(LN(2)/2)*V84*Y84*VLOOKUP('Données projet'!$B$9,Paramètres!$A$1:$I$89,3,0)*0.475*44/12</f>
        <v>4.0788416357743484E-7</v>
      </c>
      <c r="AC84" s="22">
        <f t="shared" si="57"/>
        <v>44.314459290717799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4.4000000000000004</v>
      </c>
      <c r="AI84" s="13">
        <f>IF('Données projet'!$A$62&gt;35,AI83+AH84-AQ83,IF(A84&lt;'Données projet'!$A$62,$AF$205^A84,IF(A84='Données projet'!$A$62,'Données projet'!$B$62,AI83+AH84-AQ83)))</f>
        <v>182.39999999999998</v>
      </c>
      <c r="AJ84" s="13">
        <f>AI84*VLOOKUP('Données projet'!$B$10,Paramètres!$A$1:$I$89,3,0)*VLOOKUP('Données projet'!$B$10,Paramètres!$A$1:$I$89,5,0)</f>
        <v>199.18079999999998</v>
      </c>
      <c r="AK84" s="13">
        <f t="shared" si="89"/>
        <v>49.564089376413683</v>
      </c>
      <c r="AL84" s="20">
        <f t="shared" si="58"/>
        <v>433.23068233058711</v>
      </c>
      <c r="AM84" s="59">
        <f t="shared" si="59"/>
        <v>726.56401566392037</v>
      </c>
      <c r="AN84" s="59">
        <f ca="1">AVERAGE(OFFSET($AM$3,0,0,'Données projet'!$E$10+1,1))-AVERAGE(OFFSET($H$3,0,0,'Données projet'!$E$10+1,1))</f>
        <v>223.92539057016376</v>
      </c>
      <c r="AO84" s="59">
        <f t="shared" si="90"/>
        <v>94.125825809616856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16.129658030931552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16.129658030931552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4.4000000000000004</v>
      </c>
      <c r="BD84" s="12">
        <f>IF('Données projet'!$A$88&gt;35,BD83+BC84-BL83,IF(A84&lt;'Données projet'!$A$88,$BA$205^A84,IF(A84='Données projet'!$A$88,'Données projet'!$B$88,BD83+BC84-BL83)))</f>
        <v>182.39999999999998</v>
      </c>
      <c r="BE84" s="13">
        <f>BD84*VLOOKUP('Données projet'!$B$11,Paramètres!$A$1:$I$89,3,0)*VLOOKUP('Données projet'!$B$11,Paramètres!$A$1:$I$89,5,0)</f>
        <v>207.71711999999999</v>
      </c>
      <c r="BF84" s="13">
        <f t="shared" si="91"/>
        <v>51.436402072718508</v>
      </c>
      <c r="BG84" s="20">
        <f t="shared" si="61"/>
        <v>451.35905094331798</v>
      </c>
      <c r="BH84" s="59">
        <f t="shared" si="62"/>
        <v>744.6923842766513</v>
      </c>
      <c r="BI84" s="59">
        <f ca="1">AVERAGE(OFFSET($BH$3,0,0,'Données projet'!$E$11+1,1))-AVERAGE(OFFSET($H$3,0,0,'Données projet'!$E$11+1,1))</f>
        <v>236.39682613502913</v>
      </c>
      <c r="BJ84" s="59">
        <f t="shared" si="92"/>
        <v>99.639724892155641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16.820929089400046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16.820929089400046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4.4000000000000004</v>
      </c>
      <c r="CT84" s="12">
        <f>IF('Données projet'!$A$140&gt;35,CT83+CS84-DB83,IF(A84&lt;'Données projet'!$A$140,$CQ$205^A84,IF(A84='Données projet'!$A$140,'Données projet'!$B$140,CT83+CS84-DB83)))</f>
        <v>182.39999999999998</v>
      </c>
      <c r="CU84" s="17">
        <f>CT84*VLOOKUP('Données projet'!$B$13,Paramètres!$A$1:$I$89,3,0)*VLOOKUP('Données projet'!$B$13,Paramètres!$A$1:$I$89,5,0)</f>
        <v>153.65376000000001</v>
      </c>
      <c r="CV84" s="13">
        <f t="shared" si="95"/>
        <v>39.407749101745388</v>
      </c>
      <c r="CW84" s="20">
        <f t="shared" si="67"/>
        <v>336.24879501887324</v>
      </c>
      <c r="CX84" s="59">
        <f t="shared" si="68"/>
        <v>629.58212835220661</v>
      </c>
      <c r="CY84" s="59">
        <f ca="1">AVERAGE(OFFSET($CX$3,0,0,'Données projet'!$E$13+1,1))-AVERAGE(OFFSET($H$3,0,0,'Données projet'!$E$13+1,1))</f>
        <v>157.20393815370375</v>
      </c>
      <c r="CZ84" s="59">
        <f t="shared" si="96"/>
        <v>64.616965816756363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12.442879052432911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12.442879052432911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-1.1368683772161603E-13</v>
      </c>
      <c r="DP84" s="17">
        <f>DO84*VLOOKUP('Données projet'!$B$14,Paramètres!$A$1:$I$89,3,0)*VLOOKUP('Données projet'!$B$14,Paramètres!$A$1:$I$89,5,0)</f>
        <v>-9.2222762759774927E-14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221.78186926953776</v>
      </c>
      <c r="DU84" s="59">
        <f t="shared" si="98"/>
        <v>276.69392352410654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65.606025147104859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65.606025147104859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4.4000000000000004</v>
      </c>
      <c r="EJ84" s="12">
        <f>IF('Données projet'!$A$192&gt;35,EJ83+EI84-ER83,IF(A84&lt;'Données projet'!$A$192,$EG$205^A84,IF(A84='Données projet'!$A$192,'Données projet'!$B$192,EJ83+EI84-ER83)))</f>
        <v>182.39999999999998</v>
      </c>
      <c r="EK84" s="17">
        <f>EJ84*VLOOKUP('Données projet'!$B$15,Paramètres!$A$1:$I$89,3,0)*VLOOKUP('Données projet'!$B$15,Paramètres!$A$1:$I$89,5,0)</f>
        <v>196.33535999999998</v>
      </c>
      <c r="EL84" s="13">
        <f t="shared" si="99"/>
        <v>48.937925995037986</v>
      </c>
      <c r="EM84" s="20">
        <f t="shared" si="73"/>
        <v>427.18430644135782</v>
      </c>
      <c r="EN84" s="59">
        <f t="shared" si="74"/>
        <v>720.51763977469113</v>
      </c>
      <c r="EO84" s="59">
        <f ca="1">AVERAGE(OFFSET($EN$3,0,0,'Données projet'!$E$15+1,1))-AVERAGE(OFFSET($H$3,0,0,'Données projet'!$E$15+1,1))</f>
        <v>219.76574638403434</v>
      </c>
      <c r="EP84" s="59">
        <f t="shared" si="100"/>
        <v>92.286636088269972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15.899234344775381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15.899234344775381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>
        <f>FE84*VLOOKUP('Données projet'!$B$16,Paramètres!$A$1:$I$89,3,0)*VLOOKUP('Données projet'!$B$16,Paramètres!$A$1:$I$89,5,0)</f>
        <v>0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86.164294406232727</v>
      </c>
      <c r="FK84" s="59">
        <f t="shared" si="102"/>
        <v>138.91188401562334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41.502883930578975</v>
      </c>
      <c r="FR84" s="21">
        <f>EXP(-LN(2)/25)*FR83+(1-EXP(-LN(2)/25))/(LN(2)/25)*Calculateur!FM84*Calculateur!FO84*VLOOKUP('Données projet'!$B$16,Paramètres!$A$1:$I$89,3,0)*0.475*44/12</f>
        <v>23.141221275222328</v>
      </c>
      <c r="FS84" s="21">
        <f>EXP(-LN(2)/2)*FS83+(1-EXP(-LN(2)/2))/(LN(2)/2)*FM84*FP84*VLOOKUP('Données projet'!$B$16,Paramètres!$A$1:$I$89,3,0)*0.475*44/12</f>
        <v>2.4304084409512591E-2</v>
      </c>
      <c r="FT84" s="22">
        <f t="shared" si="78"/>
        <v>64.668409290210818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150.21793637331223</v>
      </c>
      <c r="T85" s="59">
        <f t="shared" si="88"/>
        <v>364.59164590134486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38.076055841481278</v>
      </c>
      <c r="AA85" s="21">
        <f>EXP(-LN(2)/25)*AA84+(1-EXP(-LN(2)/25))/(LN(2)/25)*Calculateur!V85*Calculateur!X85*VLOOKUP('Données projet'!$B$9,Paramètres!$A$1:$I$89,3,0)*0.475*44/12</f>
        <v>5.3270566955845737</v>
      </c>
      <c r="AB85" s="21">
        <f>EXP(-LN(2)/2)*AB84+(1-EXP(-LN(2)/2))/(LN(2)/2)*V85*Y85*VLOOKUP('Données projet'!$B$9,Paramètres!$A$1:$I$89,3,0)*0.475*44/12</f>
        <v>2.8841765800420717E-7</v>
      </c>
      <c r="AC85" s="22">
        <f t="shared" si="57"/>
        <v>43.403112825483511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4.4000000000000004</v>
      </c>
      <c r="AI85" s="13">
        <f>IF('Données projet'!$A$62&gt;35,AI84+AH85-AQ84,IF(A85&lt;'Données projet'!$A$62,$AF$205^A85,IF(A85='Données projet'!$A$62,'Données projet'!$B$62,AI84+AH85-AQ84)))</f>
        <v>186.79999999999998</v>
      </c>
      <c r="AJ85" s="13">
        <f>AI85*VLOOKUP('Données projet'!$B$10,Paramètres!$A$1:$I$89,3,0)*VLOOKUP('Données projet'!$B$10,Paramètres!$A$1:$I$89,5,0)</f>
        <v>203.98560000000001</v>
      </c>
      <c r="AK85" s="13">
        <f t="shared" si="89"/>
        <v>50.619073534794722</v>
      </c>
      <c r="AL85" s="20">
        <f t="shared" si="58"/>
        <v>443.43647307310084</v>
      </c>
      <c r="AM85" s="59">
        <f t="shared" si="59"/>
        <v>736.7698064064341</v>
      </c>
      <c r="AN85" s="59">
        <f ca="1">AVERAGE(OFFSET($AM$3,0,0,'Données projet'!$E$10+1,1))-AVERAGE(OFFSET($H$3,0,0,'Données projet'!$E$10+1,1))</f>
        <v>223.92539057016376</v>
      </c>
      <c r="AO85" s="59">
        <f t="shared" si="90"/>
        <v>94.125825809616856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15.81336527506495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15.81336527506495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4.4000000000000004</v>
      </c>
      <c r="BD85" s="12">
        <f>IF('Données projet'!$A$88&gt;35,BD84+BC85-BL84,IF(A85&lt;'Données projet'!$A$88,$BA$205^A85,IF(A85='Données projet'!$A$88,'Données projet'!$B$88,BD84+BC85-BL84)))</f>
        <v>186.79999999999998</v>
      </c>
      <c r="BE85" s="13">
        <f>BD85*VLOOKUP('Données projet'!$B$11,Paramètres!$A$1:$I$89,3,0)*VLOOKUP('Données projet'!$B$11,Paramètres!$A$1:$I$89,5,0)</f>
        <v>212.72783999999996</v>
      </c>
      <c r="BF85" s="13">
        <f t="shared" si="91"/>
        <v>52.53123887963983</v>
      </c>
      <c r="BG85" s="20">
        <f t="shared" si="61"/>
        <v>461.99289571537264</v>
      </c>
      <c r="BH85" s="59">
        <f t="shared" si="62"/>
        <v>755.32622904870595</v>
      </c>
      <c r="BI85" s="59">
        <f ca="1">AVERAGE(OFFSET($BH$3,0,0,'Données projet'!$E$11+1,1))-AVERAGE(OFFSET($H$3,0,0,'Données projet'!$E$11+1,1))</f>
        <v>236.39682613502913</v>
      </c>
      <c r="BJ85" s="59">
        <f t="shared" si="92"/>
        <v>99.639724892155641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16.491080929710588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16.491080929710588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4.4000000000000004</v>
      </c>
      <c r="CT85" s="12">
        <f>IF('Données projet'!$A$140&gt;35,CT84+CS85-DB84,IF(A85&lt;'Données projet'!$A$140,$CQ$205^A85,IF(A85='Données projet'!$A$140,'Données projet'!$B$140,CT84+CS85-DB84)))</f>
        <v>186.79999999999998</v>
      </c>
      <c r="CU85" s="17">
        <f>CT85*VLOOKUP('Données projet'!$B$13,Paramètres!$A$1:$I$89,3,0)*VLOOKUP('Données projet'!$B$13,Paramètres!$A$1:$I$89,5,0)</f>
        <v>157.36032</v>
      </c>
      <c r="CV85" s="13">
        <f t="shared" si="95"/>
        <v>40.246552992684663</v>
      </c>
      <c r="CW85" s="20">
        <f t="shared" si="67"/>
        <v>344.16530379559237</v>
      </c>
      <c r="CX85" s="59">
        <f t="shared" si="68"/>
        <v>637.49863712892568</v>
      </c>
      <c r="CY85" s="59">
        <f ca="1">AVERAGE(OFFSET($CX$3,0,0,'Données projet'!$E$13+1,1))-AVERAGE(OFFSET($H$3,0,0,'Données projet'!$E$13+1,1))</f>
        <v>157.20393815370375</v>
      </c>
      <c r="CZ85" s="59">
        <f t="shared" si="96"/>
        <v>64.616965816756363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12.198881783621532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12.198881783621532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-1.1368683772161603E-13</v>
      </c>
      <c r="DP85" s="17">
        <f>DO85*VLOOKUP('Données projet'!$B$14,Paramètres!$A$1:$I$89,3,0)*VLOOKUP('Données projet'!$B$14,Paramètres!$A$1:$I$89,5,0)</f>
        <v>-9.2222762759774927E-14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221.78186926953776</v>
      </c>
      <c r="DU85" s="59">
        <f t="shared" si="98"/>
        <v>276.69392352410654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64.319531009694245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64.319531009694245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4.4000000000000004</v>
      </c>
      <c r="EJ85" s="12">
        <f>IF('Données projet'!$A$192&gt;35,EJ84+EI85-ER84,IF(A85&lt;'Données projet'!$A$192,$EG$205^A85,IF(A85='Données projet'!$A$192,'Données projet'!$B$192,EJ84+EI85-ER84)))</f>
        <v>186.79999999999998</v>
      </c>
      <c r="EK85" s="17">
        <f>EJ85*VLOOKUP('Données projet'!$B$15,Paramètres!$A$1:$I$89,3,0)*VLOOKUP('Données projet'!$B$15,Paramètres!$A$1:$I$89,5,0)</f>
        <v>201.07151999999996</v>
      </c>
      <c r="EL85" s="13">
        <f t="shared" si="99"/>
        <v>49.97958210772665</v>
      </c>
      <c r="EM85" s="20">
        <f t="shared" si="73"/>
        <v>437.24733617095717</v>
      </c>
      <c r="EN85" s="59">
        <f t="shared" si="74"/>
        <v>730.58066950429043</v>
      </c>
      <c r="EO85" s="59">
        <f ca="1">AVERAGE(OFFSET($EN$3,0,0,'Données projet'!$E$15+1,1))-AVERAGE(OFFSET($H$3,0,0,'Données projet'!$E$15+1,1))</f>
        <v>219.76574638403434</v>
      </c>
      <c r="EP85" s="59">
        <f t="shared" si="100"/>
        <v>92.286636088269972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15.58746005684973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15.58746005684973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>
        <f>FE85*VLOOKUP('Données projet'!$B$16,Paramètres!$A$1:$I$89,3,0)*VLOOKUP('Données projet'!$B$16,Paramètres!$A$1:$I$89,5,0)</f>
        <v>0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86.164294406232727</v>
      </c>
      <c r="FK85" s="59">
        <f t="shared" si="102"/>
        <v>138.91188401562334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40.689037690959942</v>
      </c>
      <c r="FR85" s="21">
        <f>EXP(-LN(2)/25)*FR84+(1-EXP(-LN(2)/25))/(LN(2)/25)*Calculateur!FM85*Calculateur!FO85*VLOOKUP('Données projet'!$B$16,Paramètres!$A$1:$I$89,3,0)*0.475*44/12</f>
        <v>22.508423362507436</v>
      </c>
      <c r="FS85" s="21">
        <f>EXP(-LN(2)/2)*FS84+(1-EXP(-LN(2)/2))/(LN(2)/2)*FM85*FP85*VLOOKUP('Données projet'!$B$16,Paramètres!$A$1:$I$89,3,0)*0.475*44/12</f>
        <v>1.7185582896496601E-2</v>
      </c>
      <c r="FT85" s="22">
        <f t="shared" si="78"/>
        <v>63.214646636363874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150.21793637331223</v>
      </c>
      <c r="T86" s="59">
        <f t="shared" si="88"/>
        <v>364.59164590134486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37.329407610530701</v>
      </c>
      <c r="AA86" s="21">
        <f>EXP(-LN(2)/25)*AA85+(1-EXP(-LN(2)/25))/(LN(2)/25)*Calculateur!V86*Calculateur!X86*VLOOKUP('Données projet'!$B$9,Paramètres!$A$1:$I$89,3,0)*0.475*44/12</f>
        <v>5.1813880501060767</v>
      </c>
      <c r="AB86" s="21">
        <f>EXP(-LN(2)/2)*AB85+(1-EXP(-LN(2)/2))/(LN(2)/2)*V86*Y86*VLOOKUP('Données projet'!$B$9,Paramètres!$A$1:$I$89,3,0)*0.475*44/12</f>
        <v>2.0394208178871742E-7</v>
      </c>
      <c r="AC86" s="22">
        <f t="shared" si="57"/>
        <v>42.51079586457886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4.4000000000000004</v>
      </c>
      <c r="AI86" s="13">
        <f>IF('Données projet'!$A$62&gt;35,AI85+AH86-AQ85,IF(A86&lt;'Données projet'!$A$62,$AF$205^A86,IF(A86='Données projet'!$A$62,'Données projet'!$B$62,AI85+AH86-AQ85)))</f>
        <v>191.2</v>
      </c>
      <c r="AJ86" s="13">
        <f>AI86*VLOOKUP('Données projet'!$B$10,Paramètres!$A$1:$I$89,3,0)*VLOOKUP('Données projet'!$B$10,Paramètres!$A$1:$I$89,5,0)</f>
        <v>208.79039999999998</v>
      </c>
      <c r="AK86" s="13">
        <f t="shared" si="89"/>
        <v>51.671168863475145</v>
      </c>
      <c r="AL86" s="20">
        <f t="shared" si="58"/>
        <v>453.63723243721915</v>
      </c>
      <c r="AM86" s="59">
        <f t="shared" si="59"/>
        <v>746.97056577055241</v>
      </c>
      <c r="AN86" s="59">
        <f ca="1">AVERAGE(OFFSET($AM$3,0,0,'Données projet'!$E$10+1,1))-AVERAGE(OFFSET($H$3,0,0,'Données projet'!$E$10+1,1))</f>
        <v>223.92539057016376</v>
      </c>
      <c r="AO86" s="59">
        <f t="shared" si="90"/>
        <v>94.125825809616856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15.503274827221359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15.503274827221359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4.4000000000000004</v>
      </c>
      <c r="BD86" s="12">
        <f>IF('Données projet'!$A$88&gt;35,BD85+BC86-BL85,IF(A86&lt;'Données projet'!$A$88,$BA$205^A86,IF(A86='Données projet'!$A$88,'Données projet'!$B$88,BD85+BC86-BL85)))</f>
        <v>191.2</v>
      </c>
      <c r="BE86" s="13">
        <f>BD86*VLOOKUP('Données projet'!$B$11,Paramètres!$A$1:$I$89,3,0)*VLOOKUP('Données projet'!$B$11,Paramètres!$A$1:$I$89,5,0)</f>
        <v>217.73856000000001</v>
      </c>
      <c r="BF86" s="13">
        <f t="shared" si="91"/>
        <v>53.623077729615503</v>
      </c>
      <c r="BG86" s="20">
        <f t="shared" si="61"/>
        <v>472.62151904574694</v>
      </c>
      <c r="BH86" s="59">
        <f t="shared" si="62"/>
        <v>765.95485237908019</v>
      </c>
      <c r="BI86" s="59">
        <f ca="1">AVERAGE(OFFSET($BH$3,0,0,'Données projet'!$E$11+1,1))-AVERAGE(OFFSET($H$3,0,0,'Données projet'!$E$11+1,1))</f>
        <v>236.39682613502913</v>
      </c>
      <c r="BJ86" s="59">
        <f t="shared" si="92"/>
        <v>99.639724892155641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16.167700891245129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16.167700891245129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4.4000000000000004</v>
      </c>
      <c r="CT86" s="12">
        <f>IF('Données projet'!$A$140&gt;35,CT85+CS86-DB85,IF(A86&lt;'Données projet'!$A$140,$CQ$205^A86,IF(A86='Données projet'!$A$140,'Données projet'!$B$140,CT85+CS86-DB85)))</f>
        <v>191.2</v>
      </c>
      <c r="CU86" s="17">
        <f>CT86*VLOOKUP('Données projet'!$B$13,Paramètres!$A$1:$I$89,3,0)*VLOOKUP('Données projet'!$B$13,Paramètres!$A$1:$I$89,5,0)</f>
        <v>161.06688000000003</v>
      </c>
      <c r="CV86" s="13">
        <f t="shared" si="95"/>
        <v>41.083060013501324</v>
      </c>
      <c r="CW86" s="20">
        <f t="shared" si="67"/>
        <v>352.07781219018153</v>
      </c>
      <c r="CX86" s="59">
        <f t="shared" si="68"/>
        <v>645.41114552351485</v>
      </c>
      <c r="CY86" s="59">
        <f ca="1">AVERAGE(OFFSET($CX$3,0,0,'Données projet'!$E$13+1,1))-AVERAGE(OFFSET($H$3,0,0,'Données projet'!$E$13+1,1))</f>
        <v>157.20393815370375</v>
      </c>
      <c r="CZ86" s="59">
        <f t="shared" si="96"/>
        <v>64.616965816756363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11.959669152427905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11.959669152427905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-1.1368683772161603E-13</v>
      </c>
      <c r="DP86" s="17">
        <f>DO86*VLOOKUP('Données projet'!$B$14,Paramètres!$A$1:$I$89,3,0)*VLOOKUP('Données projet'!$B$14,Paramètres!$A$1:$I$89,5,0)</f>
        <v>-9.2222762759774927E-14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221.78186926953776</v>
      </c>
      <c r="DU86" s="59">
        <f t="shared" si="98"/>
        <v>276.69392352410654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63.058264237634312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63.058264237634312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4.4000000000000004</v>
      </c>
      <c r="EJ86" s="12">
        <f>IF('Données projet'!$A$192&gt;35,EJ85+EI86-ER85,IF(A86&lt;'Données projet'!$A$192,$EG$205^A86,IF(A86='Données projet'!$A$192,'Données projet'!$B$192,EJ85+EI86-ER85)))</f>
        <v>191.2</v>
      </c>
      <c r="EK86" s="17">
        <f>EJ86*VLOOKUP('Données projet'!$B$15,Paramètres!$A$1:$I$89,3,0)*VLOOKUP('Données projet'!$B$15,Paramètres!$A$1:$I$89,5,0)</f>
        <v>205.80767999999995</v>
      </c>
      <c r="EL86" s="13">
        <f t="shared" si="99"/>
        <v>51.018385886479962</v>
      </c>
      <c r="EM86" s="20">
        <f t="shared" si="73"/>
        <v>447.30539808561917</v>
      </c>
      <c r="EN86" s="59">
        <f t="shared" si="74"/>
        <v>740.63873141895249</v>
      </c>
      <c r="EO86" s="59">
        <f ca="1">AVERAGE(OFFSET($EN$3,0,0,'Données projet'!$E$15+1,1))-AVERAGE(OFFSET($H$3,0,0,'Données projet'!$E$15+1,1))</f>
        <v>219.76574638403434</v>
      </c>
      <c r="EP86" s="59">
        <f t="shared" si="100"/>
        <v>92.286636088269972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15.281799472546762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15.281799472546762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>
        <f>FE86*VLOOKUP('Données projet'!$B$16,Paramètres!$A$1:$I$89,3,0)*VLOOKUP('Données projet'!$B$16,Paramètres!$A$1:$I$89,5,0)</f>
        <v>0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86.164294406232727</v>
      </c>
      <c r="FK86" s="59">
        <f t="shared" si="102"/>
        <v>138.91188401562334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39.891150479702652</v>
      </c>
      <c r="FR86" s="21">
        <f>EXP(-LN(2)/25)*FR85+(1-EXP(-LN(2)/25))/(LN(2)/25)*Calculateur!FM86*Calculateur!FO86*VLOOKUP('Données projet'!$B$16,Paramètres!$A$1:$I$89,3,0)*0.475*44/12</f>
        <v>21.892929341993128</v>
      </c>
      <c r="FS86" s="21">
        <f>EXP(-LN(2)/2)*FS85+(1-EXP(-LN(2)/2))/(LN(2)/2)*FM86*FP86*VLOOKUP('Données projet'!$B$16,Paramètres!$A$1:$I$89,3,0)*0.475*44/12</f>
        <v>1.2152042204756295E-2</v>
      </c>
      <c r="FT86" s="22">
        <f t="shared" si="78"/>
        <v>61.796231863900537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150.21793637331223</v>
      </c>
      <c r="T87" s="59">
        <f t="shared" si="88"/>
        <v>364.59164590134486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36.597400695978614</v>
      </c>
      <c r="AA87" s="21">
        <f>EXP(-LN(2)/25)*AA86+(1-EXP(-LN(2)/25))/(LN(2)/25)*Calculateur!V87*Calculateur!X87*VLOOKUP('Données projet'!$B$9,Paramètres!$A$1:$I$89,3,0)*0.475*44/12</f>
        <v>5.0397027213985703</v>
      </c>
      <c r="AB87" s="21">
        <f>EXP(-LN(2)/2)*AB86+(1-EXP(-LN(2)/2))/(LN(2)/2)*V87*Y87*VLOOKUP('Données projet'!$B$9,Paramètres!$A$1:$I$89,3,0)*0.475*44/12</f>
        <v>1.4420882900210359E-7</v>
      </c>
      <c r="AC87" s="22">
        <f t="shared" si="57"/>
        <v>41.637103561586009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4.4000000000000004</v>
      </c>
      <c r="AI87" s="13">
        <f>IF('Données projet'!$A$62&gt;35,AI86+AH87-AQ86,IF(A87&lt;'Données projet'!$A$62,$AF$205^A87,IF(A87='Données projet'!$A$62,'Données projet'!$B$62,AI86+AH87-AQ86)))</f>
        <v>195.6</v>
      </c>
      <c r="AJ87" s="13">
        <f>AI87*VLOOKUP('Données projet'!$B$10,Paramètres!$A$1:$I$89,3,0)*VLOOKUP('Données projet'!$B$10,Paramètres!$A$1:$I$89,5,0)</f>
        <v>213.59519999999998</v>
      </c>
      <c r="AK87" s="13">
        <f t="shared" si="89"/>
        <v>52.720449493906273</v>
      </c>
      <c r="AL87" s="20">
        <f t="shared" si="58"/>
        <v>463.83308953522004</v>
      </c>
      <c r="AM87" s="59">
        <f t="shared" si="59"/>
        <v>757.16642286855335</v>
      </c>
      <c r="AN87" s="59">
        <f ca="1">AVERAGE(OFFSET($AM$3,0,0,'Données projet'!$E$10+1,1))-AVERAGE(OFFSET($H$3,0,0,'Données projet'!$E$10+1,1))</f>
        <v>223.92539057016376</v>
      </c>
      <c r="AO87" s="59">
        <f t="shared" si="90"/>
        <v>94.125825809616856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15.199265063923484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15.199265063923484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4.4000000000000004</v>
      </c>
      <c r="BD87" s="12">
        <f>IF('Données projet'!$A$88&gt;35,BD86+BC87-BL86,IF(A87&lt;'Données projet'!$A$88,$BA$205^A87,IF(A87='Données projet'!$A$88,'Données projet'!$B$88,BD86+BC87-BL86)))</f>
        <v>195.6</v>
      </c>
      <c r="BE87" s="13">
        <f>BD87*VLOOKUP('Données projet'!$B$11,Paramètres!$A$1:$I$89,3,0)*VLOOKUP('Données projet'!$B$11,Paramètres!$A$1:$I$89,5,0)</f>
        <v>222.74927999999997</v>
      </c>
      <c r="BF87" s="13">
        <f t="shared" si="91"/>
        <v>54.711995554456131</v>
      </c>
      <c r="BG87" s="20">
        <f t="shared" si="61"/>
        <v>483.24505492401107</v>
      </c>
      <c r="BH87" s="59">
        <f t="shared" si="62"/>
        <v>776.57838825734439</v>
      </c>
      <c r="BI87" s="59">
        <f ca="1">AVERAGE(OFFSET($BH$3,0,0,'Données projet'!$E$11+1,1))-AVERAGE(OFFSET($H$3,0,0,'Données projet'!$E$11+1,1))</f>
        <v>236.39682613502913</v>
      </c>
      <c r="BJ87" s="59">
        <f t="shared" si="92"/>
        <v>99.639724892155641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15.85066213809163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15.85066213809163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4.4000000000000004</v>
      </c>
      <c r="CT87" s="12">
        <f>IF('Données projet'!$A$140&gt;35,CT86+CS87-DB86,IF(A87&lt;'Données projet'!$A$140,$CQ$205^A87,IF(A87='Données projet'!$A$140,'Données projet'!$B$140,CT86+CS87-DB86)))</f>
        <v>195.6</v>
      </c>
      <c r="CU87" s="17">
        <f>CT87*VLOOKUP('Données projet'!$B$13,Paramètres!$A$1:$I$89,3,0)*VLOOKUP('Données projet'!$B$13,Paramètres!$A$1:$I$89,5,0)</f>
        <v>164.77344000000002</v>
      </c>
      <c r="CV87" s="13">
        <f t="shared" si="95"/>
        <v>41.917329105127742</v>
      </c>
      <c r="CW87" s="20">
        <f t="shared" si="67"/>
        <v>359.98642285809751</v>
      </c>
      <c r="CX87" s="59">
        <f t="shared" si="68"/>
        <v>653.31975619143077</v>
      </c>
      <c r="CY87" s="59">
        <f ca="1">AVERAGE(OFFSET($CX$3,0,0,'Données projet'!$E$13+1,1))-AVERAGE(OFFSET($H$3,0,0,'Données projet'!$E$13+1,1))</f>
        <v>157.20393815370375</v>
      </c>
      <c r="CZ87" s="59">
        <f t="shared" si="96"/>
        <v>64.616965816756363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11.725147335026687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11.725147335026687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-1.1368683772161603E-13</v>
      </c>
      <c r="DP87" s="17">
        <f>DO87*VLOOKUP('Données projet'!$B$14,Paramètres!$A$1:$I$89,3,0)*VLOOKUP('Données projet'!$B$14,Paramètres!$A$1:$I$89,5,0)</f>
        <v>-9.2222762759774927E-14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221.78186926953776</v>
      </c>
      <c r="DU87" s="59">
        <f t="shared" si="98"/>
        <v>276.69392352410654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61.821730137677704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61.821730137677704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4.4000000000000004</v>
      </c>
      <c r="EJ87" s="12">
        <f>IF('Données projet'!$A$192&gt;35,EJ86+EI87-ER86,IF(A87&lt;'Données projet'!$A$192,$EG$205^A87,IF(A87='Données projet'!$A$192,'Données projet'!$B$192,EJ86+EI87-ER86)))</f>
        <v>195.6</v>
      </c>
      <c r="EK87" s="17">
        <f>EJ87*VLOOKUP('Données projet'!$B$15,Paramètres!$A$1:$I$89,3,0)*VLOOKUP('Données projet'!$B$15,Paramètres!$A$1:$I$89,5,0)</f>
        <v>210.54384000000002</v>
      </c>
      <c r="EL87" s="13">
        <f t="shared" si="99"/>
        <v>52.054410526216479</v>
      </c>
      <c r="EM87" s="20">
        <f t="shared" si="73"/>
        <v>457.35861966649367</v>
      </c>
      <c r="EN87" s="59">
        <f t="shared" si="74"/>
        <v>750.69195299982698</v>
      </c>
      <c r="EO87" s="59">
        <f ca="1">AVERAGE(OFFSET($EN$3,0,0,'Données projet'!$E$15+1,1))-AVERAGE(OFFSET($H$3,0,0,'Données projet'!$E$15+1,1))</f>
        <v>219.76574638403434</v>
      </c>
      <c r="EP87" s="59">
        <f t="shared" si="100"/>
        <v>92.286636088269972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14.982132705867429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14.982132705867429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>
        <f>FE87*VLOOKUP('Données projet'!$B$16,Paramètres!$A$1:$I$89,3,0)*VLOOKUP('Données projet'!$B$16,Paramètres!$A$1:$I$89,5,0)</f>
        <v>0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86.164294406232727</v>
      </c>
      <c r="FK87" s="59">
        <f t="shared" si="102"/>
        <v>138.91188401562334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39.108909349994967</v>
      </c>
      <c r="FR87" s="21">
        <f>EXP(-LN(2)/25)*FR86+(1-EXP(-LN(2)/25))/(LN(2)/25)*Calculateur!FM87*Calculateur!FO87*VLOOKUP('Données projet'!$B$16,Paramètres!$A$1:$I$89,3,0)*0.475*44/12</f>
        <v>21.294266037837208</v>
      </c>
      <c r="FS87" s="21">
        <f>EXP(-LN(2)/2)*FS86+(1-EXP(-LN(2)/2))/(LN(2)/2)*FM87*FP87*VLOOKUP('Données projet'!$B$16,Paramètres!$A$1:$I$89,3,0)*0.475*44/12</f>
        <v>8.5927914482483003E-3</v>
      </c>
      <c r="FT87" s="22">
        <f t="shared" si="78"/>
        <v>60.411768179280429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150.21793637331223</v>
      </c>
      <c r="T88" s="59">
        <f t="shared" si="88"/>
        <v>364.59164590134486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35.879747990540764</v>
      </c>
      <c r="AA88" s="21">
        <f>EXP(-LN(2)/25)*AA87+(1-EXP(-LN(2)/25))/(LN(2)/25)*Calculateur!V88*Calculateur!X88*VLOOKUP('Données projet'!$B$9,Paramètres!$A$1:$I$89,3,0)*0.475*44/12</f>
        <v>4.9018917854554784</v>
      </c>
      <c r="AB88" s="21">
        <f>EXP(-LN(2)/2)*AB87+(1-EXP(-LN(2)/2))/(LN(2)/2)*V88*Y88*VLOOKUP('Données projet'!$B$9,Paramètres!$A$1:$I$89,3,0)*0.475*44/12</f>
        <v>1.0197104089435871E-7</v>
      </c>
      <c r="AC88" s="22">
        <f t="shared" si="57"/>
        <v>40.78163987796728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200</v>
      </c>
      <c r="AG88" s="12">
        <f>VLOOKUP(A88,'Données projet'!$A$61:$I$81,9,0)</f>
        <v>4.4000000000000004</v>
      </c>
      <c r="AH88" s="12">
        <f t="array" ref="AH88">INDEX(AG:AG,MIN(IF(ISNUMBER(AG88:AG284),ROW(AG88:AG284),"")))</f>
        <v>4.4000000000000004</v>
      </c>
      <c r="AI88" s="13">
        <f>IF('Données projet'!$A$62&gt;35,AI87+AH88-AQ87,IF(A88&lt;'Données projet'!$A$62,$AF$205^A88,IF(A88='Données projet'!$A$62,'Données projet'!$B$62,AI87+AH88-AQ87)))</f>
        <v>200</v>
      </c>
      <c r="AJ88" s="13">
        <f>AI88*VLOOKUP('Données projet'!$B$10,Paramètres!$A$1:$I$89,3,0)*VLOOKUP('Données projet'!$B$10,Paramètres!$A$1:$I$89,5,0)</f>
        <v>218.4</v>
      </c>
      <c r="AK88" s="13">
        <f t="shared" si="89"/>
        <v>53.76698603199852</v>
      </c>
      <c r="AL88" s="20">
        <f t="shared" si="58"/>
        <v>474.02416733906404</v>
      </c>
      <c r="AM88" s="59">
        <f t="shared" si="59"/>
        <v>767.35750067239735</v>
      </c>
      <c r="AN88" s="59">
        <f ca="1">AVERAGE(OFFSET($AM$3,0,0,'Données projet'!$E$10+1,1))-AVERAGE(OFFSET($H$3,0,0,'Données projet'!$E$10+1,1))</f>
        <v>223.92539057016376</v>
      </c>
      <c r="AO88" s="59">
        <f t="shared" si="90"/>
        <v>94.125825809616856</v>
      </c>
      <c r="AP88" s="15">
        <f>IF(ISNA(VLOOKUP(A88,'Données projet'!$A$61:$I$81,3,0)),0,VLOOKUP(A88,'Données projet'!$A$61:$I$81,3,0))</f>
        <v>13</v>
      </c>
      <c r="AQ88" s="15">
        <f>IF(ISNA(VLOOKUP(A88,'Données projet'!$A$61:$I$81,4,0)),0,VLOOKUP(A88,'Données projet'!$A$61:$I$81,4,0))</f>
        <v>14</v>
      </c>
      <c r="AR88" s="16">
        <f>IF(ISNA(VLOOKUP(A88,'Données projet'!$A$61:$I$81,5,0)),0%,VLOOKUP(A88,'Données projet'!$A$61:$I$81,5,0)*VLOOKUP('Données projet'!$B$10,Paramètres!$A$1:$I$89,7,0))</f>
        <v>0.25800000000000001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19.261527986529565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19.261527986529565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200</v>
      </c>
      <c r="BB88" s="12">
        <f>VLOOKUP(A88,'Données projet'!$A$87:$I$107,9,0)</f>
        <v>4.4000000000000004</v>
      </c>
      <c r="BC88" s="12">
        <f t="array" ref="BC88">INDEX(BB:BB,MIN(IF(ISNUMBER(BB88:BB284),ROW(BB88:BB284),"")))</f>
        <v>4.4000000000000004</v>
      </c>
      <c r="BD88" s="12">
        <f>IF('Données projet'!$A$88&gt;35,BD87+BC88-BL87,IF(A88&lt;'Données projet'!$A$88,$BA$205^A88,IF(A88='Données projet'!$A$88,'Données projet'!$B$88,BD87+BC88-BL87)))</f>
        <v>200</v>
      </c>
      <c r="BE88" s="13">
        <f>BD88*VLOOKUP('Données projet'!$B$11,Paramètres!$A$1:$I$89,3,0)*VLOOKUP('Données projet'!$B$11,Paramètres!$A$1:$I$89,5,0)</f>
        <v>227.76000000000002</v>
      </c>
      <c r="BF88" s="13">
        <f t="shared" si="91"/>
        <v>55.798065627252022</v>
      </c>
      <c r="BG88" s="20">
        <f t="shared" si="61"/>
        <v>493.86363096746396</v>
      </c>
      <c r="BH88" s="59">
        <f t="shared" si="62"/>
        <v>787.19696430079728</v>
      </c>
      <c r="BI88" s="59">
        <f ca="1">AVERAGE(OFFSET($BH$3,0,0,'Données projet'!$E$11+1,1))-AVERAGE(OFFSET($H$3,0,0,'Données projet'!$E$11+1,1))</f>
        <v>236.39682613502913</v>
      </c>
      <c r="BJ88" s="59">
        <f t="shared" si="92"/>
        <v>99.639724892155641</v>
      </c>
      <c r="BK88" s="15">
        <f>IF(ISNA(VLOOKUP(A88,'Données projet'!$A$87:$I$107,3,0)),0,VLOOKUP(A88,'Données projet'!$A$87:$I$107,3,0))</f>
        <v>13</v>
      </c>
      <c r="BL88" s="15">
        <f>IF(ISNA(VLOOKUP(A88,'Données projet'!$A$87:$I$107,4,0)),0,VLOOKUP(A88,'Données projet'!$A$87:$I$107,4,0))</f>
        <v>14</v>
      </c>
      <c r="BM88" s="16">
        <f>IF(ISNA(VLOOKUP(A88,'Données projet'!$A$87:$I$107,5,0)),0%,VLOOKUP(A88,'Données projet'!$A$87:$I$107,5,0)*VLOOKUP('Données projet'!$B$11,Paramètres!$A$1:$I$89,7,0))</f>
        <v>0.25800000000000001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20.087022043095118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20.087022043095118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200</v>
      </c>
      <c r="CR88" s="12">
        <f>VLOOKUP(A88,'Données projet'!$A$139:$I$159,9,0)</f>
        <v>4.4000000000000004</v>
      </c>
      <c r="CS88" s="12">
        <f t="array" ref="CS88">INDEX(CR:CR,MIN(IF(ISNUMBER(CR88:CR284),ROW(CR88:CR284),"")))</f>
        <v>4.4000000000000004</v>
      </c>
      <c r="CT88" s="12">
        <f>IF('Données projet'!$A$140&gt;35,CT87+CS88-DB87,IF(A88&lt;'Données projet'!$A$140,$CQ$205^A88,IF(A88='Données projet'!$A$140,'Données projet'!$B$140,CT87+CS88-DB87)))</f>
        <v>200</v>
      </c>
      <c r="CU88" s="17">
        <f>CT88*VLOOKUP('Données projet'!$B$13,Paramètres!$A$1:$I$89,3,0)*VLOOKUP('Données projet'!$B$13,Paramètres!$A$1:$I$89,5,0)</f>
        <v>168.48000000000002</v>
      </c>
      <c r="CV88" s="13">
        <f t="shared" si="95"/>
        <v>42.74941640538534</v>
      </c>
      <c r="CW88" s="20">
        <f t="shared" si="67"/>
        <v>367.89123357271279</v>
      </c>
      <c r="CX88" s="59">
        <f t="shared" si="68"/>
        <v>661.22456690604611</v>
      </c>
      <c r="CY88" s="59">
        <f ca="1">AVERAGE(OFFSET($CX$3,0,0,'Données projet'!$E$13+1,1))-AVERAGE(OFFSET($H$3,0,0,'Données projet'!$E$13+1,1))</f>
        <v>157.20393815370375</v>
      </c>
      <c r="CZ88" s="59">
        <f t="shared" si="96"/>
        <v>64.616965816756363</v>
      </c>
      <c r="DA88" s="15">
        <f>IF(ISNA(VLOOKUP(A88,'Données projet'!$A$139:$I$159,3,0)),0,VLOOKUP(A88,'Données projet'!$A$139:$I$159,3,0))</f>
        <v>13</v>
      </c>
      <c r="DB88" s="15">
        <f>IF(ISNA(VLOOKUP(A88,'Données projet'!$A$139:$I$159,4,0)),0,VLOOKUP(A88,'Données projet'!$A$139:$I$159,4,0))</f>
        <v>14</v>
      </c>
      <c r="DC88" s="16">
        <f>IF(ISNA(VLOOKUP(A88,'Données projet'!$A$139:$I$159,5,0)),0%,VLOOKUP(A88,'Données projet'!$A$139:$I$159,5,0)*VLOOKUP('Données projet'!$B$13,Paramètres!$A$1:$I$89,7,0))</f>
        <v>0.25800000000000001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14.858893018179952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14.858893018179952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-1.1368683772161603E-13</v>
      </c>
      <c r="DP88" s="17">
        <f>DO88*VLOOKUP('Données projet'!$B$14,Paramètres!$A$1:$I$89,3,0)*VLOOKUP('Données projet'!$B$14,Paramètres!$A$1:$I$89,5,0)</f>
        <v>-9.2222762759774927E-14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221.78186926953776</v>
      </c>
      <c r="DU88" s="59">
        <f t="shared" si="98"/>
        <v>276.69392352410654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60.609443717209921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60.609443717209921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>
        <f>VLOOKUP(A88,'Données projet'!$A$191:$I$211,2,0)</f>
        <v>200</v>
      </c>
      <c r="EH88" s="12">
        <f>VLOOKUP(A88,'Données projet'!$A$191:$I$211,9,0)</f>
        <v>4.4000000000000004</v>
      </c>
      <c r="EI88" s="12">
        <f t="array" ref="EI88">INDEX(EH:EH,MIN(IF(ISNUMBER(EH88:EH284),ROW(EH88:EH284),"")))</f>
        <v>4.4000000000000004</v>
      </c>
      <c r="EJ88" s="12">
        <f>IF('Données projet'!$A$192&gt;35,EJ87+EI88-ER87,IF(A88&lt;'Données projet'!$A$192,$EG$205^A88,IF(A88='Données projet'!$A$192,'Données projet'!$B$192,EJ87+EI88-ER87)))</f>
        <v>200</v>
      </c>
      <c r="EK88" s="17">
        <f>EJ88*VLOOKUP('Données projet'!$B$15,Paramètres!$A$1:$I$89,3,0)*VLOOKUP('Données projet'!$B$15,Paramètres!$A$1:$I$89,5,0)</f>
        <v>215.28</v>
      </c>
      <c r="EL88" s="13">
        <f t="shared" si="99"/>
        <v>53.087725740853138</v>
      </c>
      <c r="EM88" s="20">
        <f t="shared" si="73"/>
        <v>467.40712233198587</v>
      </c>
      <c r="EN88" s="59">
        <f t="shared" si="74"/>
        <v>760.74045566531913</v>
      </c>
      <c r="EO88" s="59">
        <f ca="1">AVERAGE(OFFSET($EN$3,0,0,'Données projet'!$E$15+1,1))-AVERAGE(OFFSET($H$3,0,0,'Données projet'!$E$15+1,1))</f>
        <v>219.76574638403434</v>
      </c>
      <c r="EP88" s="59">
        <f t="shared" si="100"/>
        <v>92.286636088269972</v>
      </c>
      <c r="EQ88" s="15">
        <f>IF(ISNA(VLOOKUP(A88,'Données projet'!$A$191:$I$211,3,0)),0,VLOOKUP(A88,'Données projet'!$A$191:$I$211,3,0))</f>
        <v>13</v>
      </c>
      <c r="ER88" s="15">
        <f>IF(ISNA(VLOOKUP(A88,'Données projet'!$A$191:$I$211,4,0)),0,VLOOKUP(A88,'Données projet'!$A$191:$I$211,4,0))</f>
        <v>14</v>
      </c>
      <c r="ES88" s="16">
        <f>IF(ISNA(VLOOKUP(A88,'Données projet'!$A$191:$I$211,5,0)),0%,VLOOKUP(A88,'Données projet'!$A$191:$I$211,5,0)*VLOOKUP('Données projet'!$B$15,Paramètres!$A$1:$I$89,7,0))</f>
        <v>0.25800000000000001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18.98636330100771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18.98636330100771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>
        <f>FE88*VLOOKUP('Données projet'!$B$16,Paramètres!$A$1:$I$89,3,0)*VLOOKUP('Données projet'!$B$16,Paramètres!$A$1:$I$89,5,0)</f>
        <v>0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86.164294406232727</v>
      </c>
      <c r="FK88" s="59">
        <f t="shared" si="102"/>
        <v>138.91188401562334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38.342007491720878</v>
      </c>
      <c r="FR88" s="21">
        <f>EXP(-LN(2)/25)*FR87+(1-EXP(-LN(2)/25))/(LN(2)/25)*Calculateur!FM88*Calculateur!FO88*VLOOKUP('Données projet'!$B$16,Paramètres!$A$1:$I$89,3,0)*0.475*44/12</f>
        <v>20.711973213215767</v>
      </c>
      <c r="FS88" s="21">
        <f>EXP(-LN(2)/2)*FS87+(1-EXP(-LN(2)/2))/(LN(2)/2)*FM88*FP88*VLOOKUP('Données projet'!$B$16,Paramètres!$A$1:$I$89,3,0)*0.475*44/12</f>
        <v>6.0760211023781477E-3</v>
      </c>
      <c r="FT88" s="22">
        <f t="shared" si="78"/>
        <v>59.060056726039029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150.21793637331223</v>
      </c>
      <c r="T89" s="59">
        <f t="shared" si="88"/>
        <v>364.59164590134486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35.176168016931619</v>
      </c>
      <c r="AA89" s="21">
        <f>EXP(-LN(2)/25)*AA88+(1-EXP(-LN(2)/25))/(LN(2)/25)*Calculateur!V89*Calculateur!X89*VLOOKUP('Données projet'!$B$9,Paramètres!$A$1:$I$89,3,0)*0.475*44/12</f>
        <v>4.7678492968029129</v>
      </c>
      <c r="AB89" s="21">
        <f>EXP(-LN(2)/2)*AB88+(1-EXP(-LN(2)/2))/(LN(2)/2)*V89*Y89*VLOOKUP('Données projet'!$B$9,Paramètres!$A$1:$I$89,3,0)*0.475*44/12</f>
        <v>7.2104414501051793E-8</v>
      </c>
      <c r="AC89" s="22">
        <f t="shared" si="57"/>
        <v>39.944017385838947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4.2</v>
      </c>
      <c r="AI89" s="13">
        <f>IF('Données projet'!$A$62&gt;35,AI88+AH89-AQ88,IF(A89&lt;'Données projet'!$A$62,$AF$205^A89,IF(A89='Données projet'!$A$62,'Données projet'!$B$62,AI88+AH89-AQ88)))</f>
        <v>190.2</v>
      </c>
      <c r="AJ89" s="13">
        <f>AI89*VLOOKUP('Données projet'!$B$10,Paramètres!$A$1:$I$89,3,0)*VLOOKUP('Données projet'!$B$10,Paramètres!$A$1:$I$89,5,0)</f>
        <v>207.69839999999999</v>
      </c>
      <c r="AK89" s="13">
        <f t="shared" si="89"/>
        <v>51.432306052236648</v>
      </c>
      <c r="AL89" s="20">
        <f t="shared" si="58"/>
        <v>451.31931304097878</v>
      </c>
      <c r="AM89" s="59">
        <f t="shared" si="59"/>
        <v>744.6526463743121</v>
      </c>
      <c r="AN89" s="59">
        <f ca="1">AVERAGE(OFFSET($AM$3,0,0,'Données projet'!$E$10+1,1))-AVERAGE(OFFSET($H$3,0,0,'Données projet'!$E$10+1,1))</f>
        <v>223.92539057016376</v>
      </c>
      <c r="AO89" s="59">
        <f t="shared" si="90"/>
        <v>94.125825809616856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18.883821171085735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18.883821171085735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4.2</v>
      </c>
      <c r="BD89" s="12">
        <f>IF('Données projet'!$A$88&gt;35,BD88+BC89-BL88,IF(A89&lt;'Données projet'!$A$88,$BA$205^A89,IF(A89='Données projet'!$A$88,'Données projet'!$B$88,BD88+BC89-BL88)))</f>
        <v>190.2</v>
      </c>
      <c r="BE89" s="13">
        <f>BD89*VLOOKUP('Données projet'!$B$11,Paramètres!$A$1:$I$89,3,0)*VLOOKUP('Données projet'!$B$11,Paramètres!$A$1:$I$89,5,0)</f>
        <v>216.59975999999997</v>
      </c>
      <c r="BF89" s="13">
        <f t="shared" si="91"/>
        <v>53.375191734862767</v>
      </c>
      <c r="BG89" s="20">
        <f t="shared" si="61"/>
        <v>470.20637427155265</v>
      </c>
      <c r="BH89" s="59">
        <f t="shared" si="62"/>
        <v>763.53970760488596</v>
      </c>
      <c r="BI89" s="59">
        <f ca="1">AVERAGE(OFFSET($BH$3,0,0,'Données projet'!$E$11+1,1))-AVERAGE(OFFSET($H$3,0,0,'Données projet'!$E$11+1,1))</f>
        <v>236.39682613502913</v>
      </c>
      <c r="BJ89" s="59">
        <f t="shared" si="92"/>
        <v>99.639724892155641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19.693127792703695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19.693127792703695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4.2</v>
      </c>
      <c r="CT89" s="12">
        <f>IF('Données projet'!$A$140&gt;35,CT88+CS89-DB88,IF(A89&lt;'Données projet'!$A$140,$CQ$205^A89,IF(A89='Données projet'!$A$140,'Données projet'!$B$140,CT88+CS89-DB88)))</f>
        <v>190.2</v>
      </c>
      <c r="CU89" s="17">
        <f>CT89*VLOOKUP('Données projet'!$B$13,Paramètres!$A$1:$I$89,3,0)*VLOOKUP('Données projet'!$B$13,Paramètres!$A$1:$I$89,5,0)</f>
        <v>160.22448</v>
      </c>
      <c r="CV89" s="13">
        <f t="shared" si="95"/>
        <v>40.89314336510823</v>
      </c>
      <c r="CW89" s="20">
        <f t="shared" si="67"/>
        <v>350.27986069423014</v>
      </c>
      <c r="CX89" s="59">
        <f t="shared" si="68"/>
        <v>643.6131940275634</v>
      </c>
      <c r="CY89" s="59">
        <f ca="1">AVERAGE(OFFSET($CX$3,0,0,'Données projet'!$E$13+1,1))-AVERAGE(OFFSET($H$3,0,0,'Données projet'!$E$13+1,1))</f>
        <v>157.20393815370375</v>
      </c>
      <c r="CZ89" s="59">
        <f t="shared" si="96"/>
        <v>64.616965816756363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14.567519189123285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14.567519189123285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-1.1368683772161603E-13</v>
      </c>
      <c r="DP89" s="17">
        <f>DO89*VLOOKUP('Données projet'!$B$14,Paramètres!$A$1:$I$89,3,0)*VLOOKUP('Données projet'!$B$14,Paramètres!$A$1:$I$89,5,0)</f>
        <v>-9.2222762759774927E-14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221.78186926953776</v>
      </c>
      <c r="DU89" s="59">
        <f t="shared" si="98"/>
        <v>276.69392352410654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59.420929494025806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59.420929494025806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4.2</v>
      </c>
      <c r="EJ89" s="12">
        <f>IF('Données projet'!$A$192&gt;35,EJ88+EI89-ER88,IF(A89&lt;'Données projet'!$A$192,$EG$205^A89,IF(A89='Données projet'!$A$192,'Données projet'!$B$192,EJ88+EI89-ER88)))</f>
        <v>190.2</v>
      </c>
      <c r="EK89" s="17">
        <f>EJ89*VLOOKUP('Données projet'!$B$15,Paramètres!$A$1:$I$89,3,0)*VLOOKUP('Données projet'!$B$15,Paramètres!$A$1:$I$89,5,0)</f>
        <v>204.73127999999997</v>
      </c>
      <c r="EL89" s="13">
        <f t="shared" si="99"/>
        <v>50.782540726679308</v>
      </c>
      <c r="EM89" s="20">
        <f t="shared" si="73"/>
        <v>445.01990443229971</v>
      </c>
      <c r="EN89" s="59">
        <f t="shared" si="74"/>
        <v>738.35323776563303</v>
      </c>
      <c r="EO89" s="59">
        <f ca="1">AVERAGE(OFFSET($EN$3,0,0,'Données projet'!$E$15+1,1))-AVERAGE(OFFSET($H$3,0,0,'Données projet'!$E$15+1,1))</f>
        <v>219.76574638403434</v>
      </c>
      <c r="EP89" s="59">
        <f t="shared" si="100"/>
        <v>92.286636088269972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18.614052297213078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18.614052297213078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>
        <f>FE89*VLOOKUP('Données projet'!$B$16,Paramètres!$A$1:$I$89,3,0)*VLOOKUP('Données projet'!$B$16,Paramètres!$A$1:$I$89,5,0)</f>
        <v>0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86.164294406232727</v>
      </c>
      <c r="FK89" s="59">
        <f t="shared" si="102"/>
        <v>138.91188401562334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37.590144111123593</v>
      </c>
      <c r="FR89" s="21">
        <f>EXP(-LN(2)/25)*FR88+(1-EXP(-LN(2)/25))/(LN(2)/25)*Calculateur!FM89*Calculateur!FO89*VLOOKUP('Données projet'!$B$16,Paramètres!$A$1:$I$89,3,0)*0.475*44/12</f>
        <v>20.145603216505048</v>
      </c>
      <c r="FS89" s="21">
        <f>EXP(-LN(2)/2)*FS88+(1-EXP(-LN(2)/2))/(LN(2)/2)*FM89*FP89*VLOOKUP('Données projet'!$B$16,Paramètres!$A$1:$I$89,3,0)*0.475*44/12</f>
        <v>4.2963957241241501E-3</v>
      </c>
      <c r="FT89" s="22">
        <f t="shared" si="78"/>
        <v>57.74004372335277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150.21793637331223</v>
      </c>
      <c r="T90" s="59">
        <f t="shared" si="88"/>
        <v>364.59164590134486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34.486384817463538</v>
      </c>
      <c r="AA90" s="21">
        <f>EXP(-LN(2)/25)*AA89+(1-EXP(-LN(2)/25))/(LN(2)/25)*Calculateur!V90*Calculateur!X90*VLOOKUP('Données projet'!$B$9,Paramètres!$A$1:$I$89,3,0)*0.475*44/12</f>
        <v>4.6374722070515402</v>
      </c>
      <c r="AB90" s="21">
        <f>EXP(-LN(2)/2)*AB89+(1-EXP(-LN(2)/2))/(LN(2)/2)*V90*Y90*VLOOKUP('Données projet'!$B$9,Paramètres!$A$1:$I$89,3,0)*0.475*44/12</f>
        <v>5.0985520447179355E-8</v>
      </c>
      <c r="AC90" s="22">
        <f t="shared" si="57"/>
        <v>39.123857075500595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4.2</v>
      </c>
      <c r="AI90" s="13">
        <f>IF('Données projet'!$A$62&gt;35,AI89+AH90-AQ89,IF(A90&lt;'Données projet'!$A$62,$AF$205^A90,IF(A90='Données projet'!$A$62,'Données projet'!$B$62,AI89+AH90-AQ89)))</f>
        <v>194.39999999999998</v>
      </c>
      <c r="AJ90" s="13">
        <f>AI90*VLOOKUP('Données projet'!$B$10,Paramètres!$A$1:$I$89,3,0)*VLOOKUP('Données projet'!$B$10,Paramètres!$A$1:$I$89,5,0)</f>
        <v>212.28479999999999</v>
      </c>
      <c r="AK90" s="13">
        <f t="shared" si="89"/>
        <v>52.434557099704193</v>
      </c>
      <c r="AL90" s="20">
        <f t="shared" si="58"/>
        <v>461.05288028198476</v>
      </c>
      <c r="AM90" s="59">
        <f t="shared" si="59"/>
        <v>754.38621361531807</v>
      </c>
      <c r="AN90" s="59">
        <f ca="1">AVERAGE(OFFSET($AM$3,0,0,'Données projet'!$E$10+1,1))-AVERAGE(OFFSET($H$3,0,0,'Données projet'!$E$10+1,1))</f>
        <v>223.92539057016376</v>
      </c>
      <c r="AO90" s="59">
        <f t="shared" si="90"/>
        <v>94.125825809616856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18.513520955914352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18.513520955914352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4.2</v>
      </c>
      <c r="BD90" s="12">
        <f>IF('Données projet'!$A$88&gt;35,BD89+BC90-BL89,IF(A90&lt;'Données projet'!$A$88,$BA$205^A90,IF(A90='Données projet'!$A$88,'Données projet'!$B$88,BD89+BC90-BL89)))</f>
        <v>194.39999999999998</v>
      </c>
      <c r="BE90" s="13">
        <f>BD90*VLOOKUP('Données projet'!$B$11,Paramètres!$A$1:$I$89,3,0)*VLOOKUP('Données projet'!$B$11,Paramètres!$A$1:$I$89,5,0)</f>
        <v>221.38271999999998</v>
      </c>
      <c r="BF90" s="13">
        <f t="shared" si="91"/>
        <v>54.415303406517452</v>
      </c>
      <c r="BG90" s="20">
        <f t="shared" si="61"/>
        <v>480.3482240996845</v>
      </c>
      <c r="BH90" s="59">
        <f t="shared" si="62"/>
        <v>773.68155743301782</v>
      </c>
      <c r="BI90" s="59">
        <f ca="1">AVERAGE(OFFSET($BH$3,0,0,'Données projet'!$E$11+1,1))-AVERAGE(OFFSET($H$3,0,0,'Données projet'!$E$11+1,1))</f>
        <v>236.39682613502913</v>
      </c>
      <c r="BJ90" s="59">
        <f t="shared" si="92"/>
        <v>99.639724892155641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19.306957568310679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19.306957568310679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4.2</v>
      </c>
      <c r="CT90" s="12">
        <f>IF('Données projet'!$A$140&gt;35,CT89+CS90-DB89,IF(A90&lt;'Données projet'!$A$140,$CQ$205^A90,IF(A90='Données projet'!$A$140,'Données projet'!$B$140,CT89+CS90-DB89)))</f>
        <v>194.39999999999998</v>
      </c>
      <c r="CU90" s="17">
        <f>CT90*VLOOKUP('Données projet'!$B$13,Paramètres!$A$1:$I$89,3,0)*VLOOKUP('Données projet'!$B$13,Paramètres!$A$1:$I$89,5,0)</f>
        <v>163.76256000000001</v>
      </c>
      <c r="CV90" s="13">
        <f t="shared" si="95"/>
        <v>41.690019860015774</v>
      </c>
      <c r="CW90" s="20">
        <f t="shared" si="67"/>
        <v>357.82990992286085</v>
      </c>
      <c r="CX90" s="59">
        <f t="shared" si="68"/>
        <v>651.16324325619416</v>
      </c>
      <c r="CY90" s="59">
        <f ca="1">AVERAGE(OFFSET($CX$3,0,0,'Données projet'!$E$13+1,1))-AVERAGE(OFFSET($H$3,0,0,'Données projet'!$E$13+1,1))</f>
        <v>157.20393815370375</v>
      </c>
      <c r="CZ90" s="59">
        <f t="shared" si="96"/>
        <v>64.616965816756363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14.281859023133931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14.281859023133931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-1.1368683772161603E-13</v>
      </c>
      <c r="DP90" s="17">
        <f>DO90*VLOOKUP('Données projet'!$B$14,Paramètres!$A$1:$I$89,3,0)*VLOOKUP('Données projet'!$B$14,Paramètres!$A$1:$I$89,5,0)</f>
        <v>-9.2222762759774927E-14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221.78186926953776</v>
      </c>
      <c r="DU90" s="59">
        <f t="shared" si="98"/>
        <v>276.69392352410654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58.255721309836233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58.255721309836233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4.2</v>
      </c>
      <c r="EJ90" s="12">
        <f>IF('Données projet'!$A$192&gt;35,EJ89+EI90-ER89,IF(A90&lt;'Données projet'!$A$192,$EG$205^A90,IF(A90='Données projet'!$A$192,'Données projet'!$B$192,EJ89+EI90-ER89)))</f>
        <v>194.39999999999998</v>
      </c>
      <c r="EK90" s="17">
        <f>EJ90*VLOOKUP('Données projet'!$B$15,Paramètres!$A$1:$I$89,3,0)*VLOOKUP('Données projet'!$B$15,Paramètres!$A$1:$I$89,5,0)</f>
        <v>209.25215999999995</v>
      </c>
      <c r="EL90" s="13">
        <f t="shared" si="99"/>
        <v>51.772129927379012</v>
      </c>
      <c r="EM90" s="20">
        <f t="shared" si="73"/>
        <v>454.61730495685168</v>
      </c>
      <c r="EN90" s="59">
        <f t="shared" si="74"/>
        <v>747.950638290185</v>
      </c>
      <c r="EO90" s="59">
        <f ca="1">AVERAGE(OFFSET($EN$3,0,0,'Données projet'!$E$15+1,1))-AVERAGE(OFFSET($H$3,0,0,'Données projet'!$E$15+1,1))</f>
        <v>219.76574638403434</v>
      </c>
      <c r="EP90" s="59">
        <f t="shared" si="100"/>
        <v>92.286636088269972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18.249042085115573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18.249042085115573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>
        <f>FE90*VLOOKUP('Données projet'!$B$16,Paramètres!$A$1:$I$89,3,0)*VLOOKUP('Données projet'!$B$16,Paramètres!$A$1:$I$89,5,0)</f>
        <v>0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86.164294406232727</v>
      </c>
      <c r="FK90" s="59">
        <f t="shared" si="102"/>
        <v>138.91188401562334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36.853024312828445</v>
      </c>
      <c r="FR90" s="21">
        <f>EXP(-LN(2)/25)*FR89+(1-EXP(-LN(2)/25))/(LN(2)/25)*Calculateur!FM90*Calculateur!FO90*VLOOKUP('Données projet'!$B$16,Paramètres!$A$1:$I$89,3,0)*0.475*44/12</f>
        <v>19.594720637138487</v>
      </c>
      <c r="FS90" s="21">
        <f>EXP(-LN(2)/2)*FS89+(1-EXP(-LN(2)/2))/(LN(2)/2)*FM90*FP90*VLOOKUP('Données projet'!$B$16,Paramètres!$A$1:$I$89,3,0)*0.475*44/12</f>
        <v>3.0380105511890738E-3</v>
      </c>
      <c r="FT90" s="22">
        <f t="shared" si="78"/>
        <v>56.450782960518119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150.21793637331223</v>
      </c>
      <c r="T91" s="59">
        <f t="shared" si="88"/>
        <v>364.59164590134486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33.810127845810818</v>
      </c>
      <c r="AA91" s="21">
        <f>EXP(-LN(2)/25)*AA90+(1-EXP(-LN(2)/25))/(LN(2)/25)*Calculateur!V91*Calculateur!X91*VLOOKUP('Données projet'!$B$9,Paramètres!$A$1:$I$89,3,0)*0.475*44/12</f>
        <v>4.5106602856756517</v>
      </c>
      <c r="AB91" s="21">
        <f>EXP(-LN(2)/2)*AB90+(1-EXP(-LN(2)/2))/(LN(2)/2)*V91*Y91*VLOOKUP('Données projet'!$B$9,Paramètres!$A$1:$I$89,3,0)*0.475*44/12</f>
        <v>3.6052207250525897E-8</v>
      </c>
      <c r="AC91" s="22">
        <f t="shared" si="57"/>
        <v>38.320788167538673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4.2</v>
      </c>
      <c r="AI91" s="13">
        <f>IF('Données projet'!$A$62&gt;35,AI90+AH91-AQ90,IF(A91&lt;'Données projet'!$A$62,$AF$205^A91,IF(A91='Données projet'!$A$62,'Données projet'!$B$62,AI90+AH91-AQ90)))</f>
        <v>198.59999999999997</v>
      </c>
      <c r="AJ91" s="13">
        <f>AI91*VLOOKUP('Données projet'!$B$10,Paramètres!$A$1:$I$89,3,0)*VLOOKUP('Données projet'!$B$10,Paramètres!$A$1:$I$89,5,0)</f>
        <v>216.87119999999993</v>
      </c>
      <c r="AK91" s="13">
        <f t="shared" si="89"/>
        <v>53.434290630986176</v>
      </c>
      <c r="AL91" s="20">
        <f t="shared" si="58"/>
        <v>470.78206284896743</v>
      </c>
      <c r="AM91" s="59">
        <f t="shared" si="59"/>
        <v>764.11539618230074</v>
      </c>
      <c r="AN91" s="59">
        <f ca="1">AVERAGE(OFFSET($AM$3,0,0,'Données projet'!$E$10+1,1))-AVERAGE(OFFSET($H$3,0,0,'Données projet'!$E$10+1,1))</f>
        <v>223.92539057016376</v>
      </c>
      <c r="AO91" s="59">
        <f t="shared" si="90"/>
        <v>94.125825809616856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18.150482102101648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18.150482102101648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4.2</v>
      </c>
      <c r="BD91" s="12">
        <f>IF('Données projet'!$A$88&gt;35,BD90+BC91-BL90,IF(A91&lt;'Données projet'!$A$88,$BA$205^A91,IF(A91='Données projet'!$A$88,'Données projet'!$B$88,BD90+BC91-BL90)))</f>
        <v>198.59999999999997</v>
      </c>
      <c r="BE91" s="13">
        <f>BD91*VLOOKUP('Données projet'!$B$11,Paramètres!$A$1:$I$89,3,0)*VLOOKUP('Données projet'!$B$11,Paramètres!$A$1:$I$89,5,0)</f>
        <v>226.16567999999998</v>
      </c>
      <c r="BF91" s="13">
        <f t="shared" si="91"/>
        <v>55.452802461328488</v>
      </c>
      <c r="BG91" s="20">
        <f t="shared" si="61"/>
        <v>490.48552362014703</v>
      </c>
      <c r="BH91" s="59">
        <f t="shared" si="62"/>
        <v>783.81885695348035</v>
      </c>
      <c r="BI91" s="59">
        <f ca="1">AVERAGE(OFFSET($BH$3,0,0,'Données projet'!$E$11+1,1))-AVERAGE(OFFSET($H$3,0,0,'Données projet'!$E$11+1,1))</f>
        <v>236.39682613502913</v>
      </c>
      <c r="BJ91" s="59">
        <f t="shared" si="92"/>
        <v>99.639724892155641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18.928359906477432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18.928359906477432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4.2</v>
      </c>
      <c r="CT91" s="12">
        <f>IF('Données projet'!$A$140&gt;35,CT90+CS91-DB90,IF(A91&lt;'Données projet'!$A$140,$CQ$205^A91,IF(A91='Données projet'!$A$140,'Données projet'!$B$140,CT90+CS91-DB90)))</f>
        <v>198.59999999999997</v>
      </c>
      <c r="CU91" s="17">
        <f>CT91*VLOOKUP('Données projet'!$B$13,Paramètres!$A$1:$I$89,3,0)*VLOOKUP('Données projet'!$B$13,Paramètres!$A$1:$I$89,5,0)</f>
        <v>167.30063999999999</v>
      </c>
      <c r="CV91" s="13">
        <f t="shared" si="95"/>
        <v>42.4848947112445</v>
      </c>
      <c r="CW91" s="20">
        <f t="shared" si="67"/>
        <v>365.37647295541746</v>
      </c>
      <c r="CX91" s="59">
        <f t="shared" si="68"/>
        <v>658.70980628875077</v>
      </c>
      <c r="CY91" s="59">
        <f ca="1">AVERAGE(OFFSET($CX$3,0,0,'Données projet'!$E$13+1,1))-AVERAGE(OFFSET($H$3,0,0,'Données projet'!$E$13+1,1))</f>
        <v>157.20393815370375</v>
      </c>
      <c r="CZ91" s="59">
        <f t="shared" si="96"/>
        <v>64.616965816756363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14.001800478764132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14.001800478764132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-1.1368683772161603E-13</v>
      </c>
      <c r="DP91" s="17">
        <f>DO91*VLOOKUP('Données projet'!$B$14,Paramètres!$A$1:$I$89,3,0)*VLOOKUP('Données projet'!$B$14,Paramètres!$A$1:$I$89,5,0)</f>
        <v>-9.2222762759774927E-14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221.78186926953776</v>
      </c>
      <c r="DU91" s="59">
        <f t="shared" si="98"/>
        <v>276.69392352410654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57.113362147431801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57.113362147431801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4.2</v>
      </c>
      <c r="EJ91" s="12">
        <f>IF('Données projet'!$A$192&gt;35,EJ90+EI91-ER90,IF(A91&lt;'Données projet'!$A$192,$EG$205^A91,IF(A91='Données projet'!$A$192,'Données projet'!$B$192,EJ90+EI91-ER90)))</f>
        <v>198.59999999999997</v>
      </c>
      <c r="EK91" s="17">
        <f>EJ91*VLOOKUP('Données projet'!$B$15,Paramètres!$A$1:$I$89,3,0)*VLOOKUP('Données projet'!$B$15,Paramètres!$A$1:$I$89,5,0)</f>
        <v>213.77303999999995</v>
      </c>
      <c r="EL91" s="13">
        <f t="shared" si="99"/>
        <v>52.759233416703239</v>
      </c>
      <c r="EM91" s="20">
        <f t="shared" si="73"/>
        <v>464.21037620075805</v>
      </c>
      <c r="EN91" s="59">
        <f t="shared" si="74"/>
        <v>757.54370953409136</v>
      </c>
      <c r="EO91" s="59">
        <f ca="1">AVERAGE(OFFSET($EN$3,0,0,'Données projet'!$E$15+1,1))-AVERAGE(OFFSET($H$3,0,0,'Données projet'!$E$15+1,1))</f>
        <v>219.76574638403434</v>
      </c>
      <c r="EP91" s="59">
        <f t="shared" si="100"/>
        <v>92.286636088269972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17.891189500643051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17.891189500643051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>
        <f>FE91*VLOOKUP('Données projet'!$B$16,Paramètres!$A$1:$I$89,3,0)*VLOOKUP('Données projet'!$B$16,Paramètres!$A$1:$I$89,5,0)</f>
        <v>0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86.164294406232727</v>
      </c>
      <c r="FK91" s="59">
        <f t="shared" si="102"/>
        <v>138.91188401562334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36.130358984179182</v>
      </c>
      <c r="FR91" s="21">
        <f>EXP(-LN(2)/25)*FR90+(1-EXP(-LN(2)/25))/(LN(2)/25)*Calculateur!FM91*Calculateur!FO91*VLOOKUP('Données projet'!$B$16,Paramètres!$A$1:$I$89,3,0)*0.475*44/12</f>
        <v>19.058901970874359</v>
      </c>
      <c r="FS91" s="21">
        <f>EXP(-LN(2)/2)*FS90+(1-EXP(-LN(2)/2))/(LN(2)/2)*FM91*FP91*VLOOKUP('Données projet'!$B$16,Paramètres!$A$1:$I$89,3,0)*0.475*44/12</f>
        <v>2.1481978620620751E-3</v>
      </c>
      <c r="FT91" s="22">
        <f t="shared" si="78"/>
        <v>55.191409152915604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150.21793637331223</v>
      </c>
      <c r="T92" s="59">
        <f t="shared" si="88"/>
        <v>364.59164590134486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33.147131860896188</v>
      </c>
      <c r="AA92" s="21">
        <f>EXP(-LN(2)/25)*AA91+(1-EXP(-LN(2)/25))/(LN(2)/25)*Calculateur!V92*Calculateur!X92*VLOOKUP('Données projet'!$B$9,Paramètres!$A$1:$I$89,3,0)*0.475*44/12</f>
        <v>4.3873160429585356</v>
      </c>
      <c r="AB92" s="21">
        <f>EXP(-LN(2)/2)*AB91+(1-EXP(-LN(2)/2))/(LN(2)/2)*V92*Y92*VLOOKUP('Données projet'!$B$9,Paramètres!$A$1:$I$89,3,0)*0.475*44/12</f>
        <v>2.5492760223589677E-8</v>
      </c>
      <c r="AC92" s="22">
        <f t="shared" si="57"/>
        <v>37.534447929347486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4.2</v>
      </c>
      <c r="AI92" s="13">
        <f>IF('Données projet'!$A$62&gt;35,AI91+AH92-AQ91,IF(A92&lt;'Données projet'!$A$62,$AF$205^A92,IF(A92='Données projet'!$A$62,'Données projet'!$B$62,AI91+AH92-AQ91)))</f>
        <v>202.79999999999995</v>
      </c>
      <c r="AJ92" s="13">
        <f>AI92*VLOOKUP('Données projet'!$B$10,Paramètres!$A$1:$I$89,3,0)*VLOOKUP('Données projet'!$B$10,Paramètres!$A$1:$I$89,5,0)</f>
        <v>221.45759999999993</v>
      </c>
      <c r="AK92" s="13">
        <f t="shared" si="89"/>
        <v>54.431566019643263</v>
      </c>
      <c r="AL92" s="20">
        <f t="shared" si="58"/>
        <v>480.50696415087856</v>
      </c>
      <c r="AM92" s="59">
        <f t="shared" si="59"/>
        <v>773.84029748421187</v>
      </c>
      <c r="AN92" s="59">
        <f ca="1">AVERAGE(OFFSET($AM$3,0,0,'Données projet'!$E$10+1,1))-AVERAGE(OFFSET($H$3,0,0,'Données projet'!$E$10+1,1))</f>
        <v>223.92539057016376</v>
      </c>
      <c r="AO92" s="59">
        <f t="shared" si="90"/>
        <v>94.125825809616856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17.794562218780378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17.794562218780378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4.2</v>
      </c>
      <c r="BD92" s="12">
        <f>IF('Données projet'!$A$88&gt;35,BD91+BC92-BL91,IF(A92&lt;'Données projet'!$A$88,$BA$205^A92,IF(A92='Données projet'!$A$88,'Données projet'!$B$88,BD91+BC92-BL91)))</f>
        <v>202.79999999999995</v>
      </c>
      <c r="BE92" s="13">
        <f>BD92*VLOOKUP('Données projet'!$B$11,Paramètres!$A$1:$I$89,3,0)*VLOOKUP('Données projet'!$B$11,Paramètres!$A$1:$I$89,5,0)</f>
        <v>230.94863999999993</v>
      </c>
      <c r="BF92" s="13">
        <f t="shared" si="91"/>
        <v>56.48775051572774</v>
      </c>
      <c r="BG92" s="20">
        <f t="shared" si="61"/>
        <v>500.6183801482257</v>
      </c>
      <c r="BH92" s="59">
        <f t="shared" si="62"/>
        <v>793.95171348155895</v>
      </c>
      <c r="BI92" s="59">
        <f ca="1">AVERAGE(OFFSET($BH$3,0,0,'Données projet'!$E$11+1,1))-AVERAGE(OFFSET($H$3,0,0,'Données projet'!$E$11+1,1))</f>
        <v>236.39682613502913</v>
      </c>
      <c r="BJ92" s="59">
        <f t="shared" si="92"/>
        <v>99.639724892155641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18.557186313870965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18.557186313870965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4.2</v>
      </c>
      <c r="CT92" s="12">
        <f>IF('Données projet'!$A$140&gt;35,CT91+CS92-DB91,IF(A92&lt;'Données projet'!$A$140,$CQ$205^A92,IF(A92='Données projet'!$A$140,'Données projet'!$B$140,CT91+CS92-DB91)))</f>
        <v>202.79999999999995</v>
      </c>
      <c r="CU92" s="17">
        <f>CT92*VLOOKUP('Données projet'!$B$13,Paramètres!$A$1:$I$89,3,0)*VLOOKUP('Données projet'!$B$13,Paramètres!$A$1:$I$89,5,0)</f>
        <v>170.83872</v>
      </c>
      <c r="CV92" s="13">
        <f t="shared" si="95"/>
        <v>43.277815125923688</v>
      </c>
      <c r="CW92" s="20">
        <f t="shared" si="67"/>
        <v>372.91963201098378</v>
      </c>
      <c r="CX92" s="59">
        <f t="shared" si="68"/>
        <v>666.25296534431709</v>
      </c>
      <c r="CY92" s="59">
        <f ca="1">AVERAGE(OFFSET($CX$3,0,0,'Données projet'!$E$13+1,1))-AVERAGE(OFFSET($H$3,0,0,'Données projet'!$E$13+1,1))</f>
        <v>157.20393815370375</v>
      </c>
      <c r="CZ92" s="59">
        <f t="shared" si="96"/>
        <v>64.616965816756363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13.727233711630578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13.727233711630578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-1.1368683772161603E-13</v>
      </c>
      <c r="DP92" s="17">
        <f>DO92*VLOOKUP('Données projet'!$B$14,Paramètres!$A$1:$I$89,3,0)*VLOOKUP('Données projet'!$B$14,Paramètres!$A$1:$I$89,5,0)</f>
        <v>-9.2222762759774927E-14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221.78186926953776</v>
      </c>
      <c r="DU92" s="59">
        <f t="shared" si="98"/>
        <v>276.69392352410654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55.99340395143183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55.99340395143183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4.2</v>
      </c>
      <c r="EJ92" s="12">
        <f>IF('Données projet'!$A$192&gt;35,EJ91+EI92-ER91,IF(A92&lt;'Données projet'!$A$192,$EG$205^A92,IF(A92='Données projet'!$A$192,'Données projet'!$B$192,EJ91+EI92-ER91)))</f>
        <v>202.79999999999995</v>
      </c>
      <c r="EK92" s="17">
        <f>EJ92*VLOOKUP('Données projet'!$B$15,Paramètres!$A$1:$I$89,3,0)*VLOOKUP('Données projet'!$B$15,Paramètres!$A$1:$I$89,5,0)</f>
        <v>218.29391999999996</v>
      </c>
      <c r="EL92" s="13">
        <f t="shared" si="99"/>
        <v>53.743909818122162</v>
      </c>
      <c r="EM92" s="20">
        <f t="shared" si="73"/>
        <v>473.79922026656277</v>
      </c>
      <c r="EN92" s="59">
        <f t="shared" si="74"/>
        <v>767.13255359989603</v>
      </c>
      <c r="EO92" s="59">
        <f ca="1">AVERAGE(OFFSET($EN$3,0,0,'Données projet'!$E$15+1,1))-AVERAGE(OFFSET($H$3,0,0,'Données projet'!$E$15+1,1))</f>
        <v>219.76574638403434</v>
      </c>
      <c r="EP92" s="59">
        <f t="shared" si="100"/>
        <v>92.286636088269972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17.540354187083512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17.540354187083512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>
        <f>FE92*VLOOKUP('Données projet'!$B$16,Paramètres!$A$1:$I$89,3,0)*VLOOKUP('Données projet'!$B$16,Paramètres!$A$1:$I$89,5,0)</f>
        <v>0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86.164294406232727</v>
      </c>
      <c r="FK92" s="59">
        <f t="shared" si="102"/>
        <v>138.91188401562334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35.421864681842401</v>
      </c>
      <c r="FR92" s="21">
        <f>EXP(-LN(2)/25)*FR91+(1-EXP(-LN(2)/25))/(LN(2)/25)*Calculateur!FM92*Calculateur!FO92*VLOOKUP('Données projet'!$B$16,Paramètres!$A$1:$I$89,3,0)*0.475*44/12</f>
        <v>18.537735294216706</v>
      </c>
      <c r="FS92" s="21">
        <f>EXP(-LN(2)/2)*FS91+(1-EXP(-LN(2)/2))/(LN(2)/2)*FM92*FP92*VLOOKUP('Données projet'!$B$16,Paramètres!$A$1:$I$89,3,0)*0.475*44/12</f>
        <v>1.5190052755945369E-3</v>
      </c>
      <c r="FT92" s="22">
        <f t="shared" si="78"/>
        <v>53.961118981334707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150.21793637331223</v>
      </c>
      <c r="T93" s="59">
        <f t="shared" si="88"/>
        <v>364.59164590134486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32.49713682285811</v>
      </c>
      <c r="AA93" s="21">
        <f>EXP(-LN(2)/25)*AA92+(1-EXP(-LN(2)/25))/(LN(2)/25)*Calculateur!V93*Calculateur!X93*VLOOKUP('Données projet'!$B$9,Paramètres!$A$1:$I$89,3,0)*0.475*44/12</f>
        <v>4.2673446550449112</v>
      </c>
      <c r="AB93" s="21">
        <f>EXP(-LN(2)/2)*AB92+(1-EXP(-LN(2)/2))/(LN(2)/2)*V93*Y93*VLOOKUP('Données projet'!$B$9,Paramètres!$A$1:$I$89,3,0)*0.475*44/12</f>
        <v>1.8026103625262948E-8</v>
      </c>
      <c r="AC93" s="22">
        <f t="shared" si="57"/>
        <v>36.764481495929125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207</v>
      </c>
      <c r="AG93" s="12">
        <f>VLOOKUP(A93,'Données projet'!$A$61:$I$81,9,0)</f>
        <v>4.2</v>
      </c>
      <c r="AH93" s="12">
        <f t="array" ref="AH93">INDEX(AG:AG,MIN(IF(ISNUMBER(AG93:AG289),ROW(AG93:AG289),"")))</f>
        <v>4.2</v>
      </c>
      <c r="AI93" s="13">
        <f>IF('Données projet'!$A$62&gt;35,AI92+AH93-AQ92,IF(A93&lt;'Données projet'!$A$62,$AF$205^A93,IF(A93='Données projet'!$A$62,'Données projet'!$B$62,AI92+AH93-AQ92)))</f>
        <v>206.99999999999994</v>
      </c>
      <c r="AJ93" s="13">
        <f>AI93*VLOOKUP('Données projet'!$B$10,Paramètres!$A$1:$I$89,3,0)*VLOOKUP('Données projet'!$B$10,Paramètres!$A$1:$I$89,5,0)</f>
        <v>226.04399999999993</v>
      </c>
      <c r="AK93" s="13">
        <f t="shared" si="89"/>
        <v>55.426440039423454</v>
      </c>
      <c r="AL93" s="20">
        <f t="shared" si="58"/>
        <v>490.22768306866232</v>
      </c>
      <c r="AM93" s="59">
        <f t="shared" si="59"/>
        <v>783.56101640199563</v>
      </c>
      <c r="AN93" s="59">
        <f ca="1">AVERAGE(OFFSET($AM$3,0,0,'Données projet'!$E$10+1,1))-AVERAGE(OFFSET($H$3,0,0,'Données projet'!$E$10+1,1))</f>
        <v>223.92539057016376</v>
      </c>
      <c r="AO93" s="59">
        <f t="shared" si="90"/>
        <v>94.125825809616856</v>
      </c>
      <c r="AP93" s="15">
        <f>IF(ISNA(VLOOKUP(A93,'Données projet'!$A$61:$I$81,3,0)),0,VLOOKUP(A93,'Données projet'!$A$61:$I$81,3,0))</f>
        <v>14</v>
      </c>
      <c r="AQ93" s="15">
        <f>IF(ISNA(VLOOKUP(A93,'Données projet'!$A$61:$I$81,4,0)),0,VLOOKUP(A93,'Données projet'!$A$61:$I$81,4,0))</f>
        <v>14</v>
      </c>
      <c r="AR93" s="16">
        <f>IF(ISNA(VLOOKUP(A93,'Données projet'!$A$61:$I$81,5,0)),0%,VLOOKUP(A93,'Données projet'!$A$61:$I$81,5,0)*VLOOKUP('Données projet'!$B$10,Paramètres!$A$1:$I$89,7,0))</f>
        <v>0.25800000000000001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21.805932947154677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21.805932947154677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207</v>
      </c>
      <c r="BB93" s="12">
        <f>VLOOKUP(A93,'Données projet'!$A$87:$I$107,9,0)</f>
        <v>4.2</v>
      </c>
      <c r="BC93" s="12">
        <f t="array" ref="BC93">INDEX(BB:BB,MIN(IF(ISNUMBER(BB93:BB289),ROW(BB93:BB289),"")))</f>
        <v>4.2</v>
      </c>
      <c r="BD93" s="12">
        <f>IF('Données projet'!$A$88&gt;35,BD92+BC93-BL92,IF(A93&lt;'Données projet'!$A$88,$BA$205^A93,IF(A93='Données projet'!$A$88,'Données projet'!$B$88,BD92+BC93-BL92)))</f>
        <v>206.99999999999994</v>
      </c>
      <c r="BE93" s="13">
        <f>BD93*VLOOKUP('Données projet'!$B$11,Paramètres!$A$1:$I$89,3,0)*VLOOKUP('Données projet'!$B$11,Paramètres!$A$1:$I$89,5,0)</f>
        <v>235.73159999999993</v>
      </c>
      <c r="BF93" s="13">
        <f t="shared" si="91"/>
        <v>57.520206488125218</v>
      </c>
      <c r="BG93" s="20">
        <f t="shared" si="61"/>
        <v>510.74689630015132</v>
      </c>
      <c r="BH93" s="59">
        <f t="shared" si="62"/>
        <v>804.08022963348458</v>
      </c>
      <c r="BI93" s="59">
        <f ca="1">AVERAGE(OFFSET($BH$3,0,0,'Données projet'!$E$11+1,1))-AVERAGE(OFFSET($H$3,0,0,'Données projet'!$E$11+1,1))</f>
        <v>236.39682613502913</v>
      </c>
      <c r="BJ93" s="59">
        <f t="shared" si="92"/>
        <v>99.639724892155641</v>
      </c>
      <c r="BK93" s="15">
        <f>IF(ISNA(VLOOKUP(A93,'Données projet'!$A$87:$I$107,3,0)),0,VLOOKUP(A93,'Données projet'!$A$87:$I$107,3,0))</f>
        <v>14</v>
      </c>
      <c r="BL93" s="15">
        <f>IF(ISNA(VLOOKUP(A93,'Données projet'!$A$87:$I$107,4,0)),0,VLOOKUP(A93,'Données projet'!$A$87:$I$107,4,0))</f>
        <v>14</v>
      </c>
      <c r="BM93" s="16">
        <f>IF(ISNA(VLOOKUP(A93,'Données projet'!$A$87:$I$107,5,0)),0%,VLOOKUP(A93,'Données projet'!$A$87:$I$107,5,0)*VLOOKUP('Données projet'!$B$11,Paramètres!$A$1:$I$89,7,0))</f>
        <v>0.25800000000000001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22.740472930604163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22.740472930604163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207</v>
      </c>
      <c r="CR93" s="12">
        <f>VLOOKUP(A93,'Données projet'!$A$139:$I$159,9,0)</f>
        <v>4.2</v>
      </c>
      <c r="CS93" s="12">
        <f t="array" ref="CS93">INDEX(CR:CR,MIN(IF(ISNUMBER(CR93:CR289),ROW(CR93:CR289),"")))</f>
        <v>4.2</v>
      </c>
      <c r="CT93" s="12">
        <f>IF('Données projet'!$A$140&gt;35,CT92+CS93-DB92,IF(A93&lt;'Données projet'!$A$140,$CQ$205^A93,IF(A93='Données projet'!$A$140,'Données projet'!$B$140,CT92+CS93-DB92)))</f>
        <v>206.99999999999994</v>
      </c>
      <c r="CU93" s="17">
        <f>CT93*VLOOKUP('Données projet'!$B$13,Paramètres!$A$1:$I$89,3,0)*VLOOKUP('Données projet'!$B$13,Paramètres!$A$1:$I$89,5,0)</f>
        <v>174.37679999999997</v>
      </c>
      <c r="CV93" s="13">
        <f t="shared" si="95"/>
        <v>44.06882624410639</v>
      </c>
      <c r="CW93" s="20">
        <f t="shared" si="67"/>
        <v>380.45946570848531</v>
      </c>
      <c r="CX93" s="59">
        <f t="shared" si="68"/>
        <v>673.79279904181863</v>
      </c>
      <c r="CY93" s="59">
        <f ca="1">AVERAGE(OFFSET($CX$3,0,0,'Données projet'!$E$13+1,1))-AVERAGE(OFFSET($H$3,0,0,'Données projet'!$E$13+1,1))</f>
        <v>157.20393815370375</v>
      </c>
      <c r="CZ93" s="59">
        <f t="shared" si="96"/>
        <v>64.616965816756363</v>
      </c>
      <c r="DA93" s="15">
        <f>IF(ISNA(VLOOKUP(A93,'Données projet'!$A$139:$I$159,3,0)),0,VLOOKUP(A93,'Données projet'!$A$139:$I$159,3,0))</f>
        <v>14</v>
      </c>
      <c r="DB93" s="15">
        <f>IF(ISNA(VLOOKUP(A93,'Données projet'!$A$139:$I$159,4,0)),0,VLOOKUP(A93,'Données projet'!$A$139:$I$159,4,0))</f>
        <v>14</v>
      </c>
      <c r="DC93" s="16">
        <f>IF(ISNA(VLOOKUP(A93,'Données projet'!$A$139:$I$159,5,0)),0%,VLOOKUP(A93,'Données projet'!$A$139:$I$159,5,0)*VLOOKUP('Données projet'!$B$13,Paramètres!$A$1:$I$89,7,0))</f>
        <v>0.25800000000000001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16.821719702090753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16.821719702090753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-1.1368683772161603E-13</v>
      </c>
      <c r="DP93" s="17">
        <f>DO93*VLOOKUP('Données projet'!$B$14,Paramètres!$A$1:$I$89,3,0)*VLOOKUP('Données projet'!$B$14,Paramètres!$A$1:$I$89,5,0)</f>
        <v>-9.2222762759774927E-14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221.78186926953776</v>
      </c>
      <c r="DU93" s="59">
        <f t="shared" si="98"/>
        <v>276.69392352410654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54.895407452548376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54.895407452548376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207</v>
      </c>
      <c r="EH93" s="12">
        <f>VLOOKUP(A93,'Données projet'!$A$191:$I$211,9,0)</f>
        <v>4.2</v>
      </c>
      <c r="EI93" s="12">
        <f t="array" ref="EI93">INDEX(EH:EH,MIN(IF(ISNUMBER(EH93:EH289),ROW(EH93:EH289),"")))</f>
        <v>4.2</v>
      </c>
      <c r="EJ93" s="12">
        <f>IF('Données projet'!$A$192&gt;35,EJ92+EI93-ER92,IF(A93&lt;'Données projet'!$A$192,$EG$205^A93,IF(A93='Données projet'!$A$192,'Données projet'!$B$192,EJ92+EI93-ER92)))</f>
        <v>206.99999999999994</v>
      </c>
      <c r="EK93" s="17">
        <f>EJ93*VLOOKUP('Données projet'!$B$15,Paramètres!$A$1:$I$89,3,0)*VLOOKUP('Données projet'!$B$15,Paramètres!$A$1:$I$89,5,0)</f>
        <v>222.81479999999993</v>
      </c>
      <c r="EL93" s="13">
        <f t="shared" si="99"/>
        <v>54.726215188137907</v>
      </c>
      <c r="EM93" s="20">
        <f t="shared" si="73"/>
        <v>483.38393478600671</v>
      </c>
      <c r="EN93" s="59">
        <f t="shared" si="74"/>
        <v>776.71726811934002</v>
      </c>
      <c r="EO93" s="59">
        <f ca="1">AVERAGE(OFFSET($EN$3,0,0,'Données projet'!$E$15+1,1))-AVERAGE(OFFSET($H$3,0,0,'Données projet'!$E$15+1,1))</f>
        <v>219.76574638403434</v>
      </c>
      <c r="EP93" s="59">
        <f t="shared" si="100"/>
        <v>92.286636088269972</v>
      </c>
      <c r="EQ93" s="15">
        <f>IF(ISNA(VLOOKUP(A93,'Données projet'!$A$191:$I$211,3,0)),0,VLOOKUP(A93,'Données projet'!$A$191:$I$211,3,0))</f>
        <v>14</v>
      </c>
      <c r="ER93" s="15">
        <f>IF(ISNA(VLOOKUP(A93,'Données projet'!$A$191:$I$211,4,0)),0,VLOOKUP(A93,'Données projet'!$A$191:$I$211,4,0))</f>
        <v>14</v>
      </c>
      <c r="ES93" s="16">
        <f>IF(ISNA(VLOOKUP(A93,'Données projet'!$A$191:$I$211,5,0)),0%,VLOOKUP(A93,'Données projet'!$A$191:$I$211,5,0)*VLOOKUP('Données projet'!$B$15,Paramètres!$A$1:$I$89,7,0))</f>
        <v>0.25800000000000001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21.494419619338174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21.494419619338174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>
        <f>FE93*VLOOKUP('Données projet'!$B$16,Paramètres!$A$1:$I$89,3,0)*VLOOKUP('Données projet'!$B$16,Paramètres!$A$1:$I$89,5,0)</f>
        <v>0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86.164294406232727</v>
      </c>
      <c r="FK93" s="59">
        <f t="shared" si="102"/>
        <v>138.91188401562334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34.727263520635589</v>
      </c>
      <c r="FR93" s="21">
        <f>EXP(-LN(2)/25)*FR92+(1-EXP(-LN(2)/25))/(LN(2)/25)*Calculateur!FM93*Calculateur!FO93*VLOOKUP('Données projet'!$B$16,Paramètres!$A$1:$I$89,3,0)*0.475*44/12</f>
        <v>18.030819947739218</v>
      </c>
      <c r="FS93" s="21">
        <f>EXP(-LN(2)/2)*FS92+(1-EXP(-LN(2)/2))/(LN(2)/2)*FM93*FP93*VLOOKUP('Données projet'!$B$16,Paramètres!$A$1:$I$89,3,0)*0.475*44/12</f>
        <v>1.0740989310310375E-3</v>
      </c>
      <c r="FT93" s="22">
        <f t="shared" si="78"/>
        <v>52.759157567305834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150.21793637331223</v>
      </c>
      <c r="T94" s="59">
        <f t="shared" si="88"/>
        <v>364.59164590134486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31.859887791058135</v>
      </c>
      <c r="AA94" s="21">
        <f>EXP(-LN(2)/25)*AA93+(1-EXP(-LN(2)/25))/(LN(2)/25)*Calculateur!V94*Calculateur!X94*VLOOKUP('Données projet'!$B$9,Paramètres!$A$1:$I$89,3,0)*0.475*44/12</f>
        <v>4.1506538910428059</v>
      </c>
      <c r="AB94" s="21">
        <f>EXP(-LN(2)/2)*AB93+(1-EXP(-LN(2)/2))/(LN(2)/2)*V94*Y94*VLOOKUP('Données projet'!$B$9,Paramètres!$A$1:$I$89,3,0)*0.475*44/12</f>
        <v>1.2746380111794839E-8</v>
      </c>
      <c r="AC94" s="22">
        <f t="shared" si="57"/>
        <v>36.010541694847326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2.2999999999999998</v>
      </c>
      <c r="AI94" s="13">
        <f>IF('Données projet'!$A$62&gt;35,AI93+AH94-AQ93,IF(A94&lt;'Données projet'!$A$62,$AF$205^A94,IF(A94='Données projet'!$A$62,'Données projet'!$B$62,AI93+AH94-AQ93)))</f>
        <v>195.29999999999995</v>
      </c>
      <c r="AJ94" s="13">
        <f>AI94*VLOOKUP('Données projet'!$B$10,Paramètres!$A$1:$I$89,3,0)*VLOOKUP('Données projet'!$B$10,Paramètres!$A$1:$I$89,5,0)</f>
        <v>213.26759999999993</v>
      </c>
      <c r="AK94" s="13">
        <f t="shared" si="89"/>
        <v>52.648995583178795</v>
      </c>
      <c r="AL94" s="20">
        <f t="shared" si="58"/>
        <v>463.13807064070289</v>
      </c>
      <c r="AM94" s="59">
        <f t="shared" si="59"/>
        <v>756.47140397403621</v>
      </c>
      <c r="AN94" s="59">
        <f ca="1">AVERAGE(OFFSET($AM$3,0,0,'Données projet'!$E$10+1,1))-AVERAGE(OFFSET($H$3,0,0,'Données projet'!$E$10+1,1))</f>
        <v>223.92539057016376</v>
      </c>
      <c r="AO94" s="59">
        <f t="shared" si="90"/>
        <v>94.125825809616856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21.378331902366774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21.378331902366774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2.2999999999999998</v>
      </c>
      <c r="BD94" s="12">
        <f>IF('Données projet'!$A$88&gt;35,BD93+BC94-BL93,IF(A94&lt;'Données projet'!$A$88,$BA$205^A94,IF(A94='Données projet'!$A$88,'Données projet'!$B$88,BD93+BC94-BL93)))</f>
        <v>195.29999999999995</v>
      </c>
      <c r="BE94" s="13">
        <f>BD94*VLOOKUP('Données projet'!$B$11,Paramètres!$A$1:$I$89,3,0)*VLOOKUP('Données projet'!$B$11,Paramètres!$A$1:$I$89,5,0)</f>
        <v>222.40763999999996</v>
      </c>
      <c r="BF94" s="13">
        <f t="shared" si="91"/>
        <v>54.637842430125843</v>
      </c>
      <c r="BG94" s="20">
        <f t="shared" si="61"/>
        <v>482.5208818991357</v>
      </c>
      <c r="BH94" s="59">
        <f t="shared" si="62"/>
        <v>775.85421523246896</v>
      </c>
      <c r="BI94" s="59">
        <f ca="1">AVERAGE(OFFSET($BH$3,0,0,'Données projet'!$E$11+1,1))-AVERAGE(OFFSET($H$3,0,0,'Données projet'!$E$11+1,1))</f>
        <v>236.39682613502913</v>
      </c>
      <c r="BJ94" s="59">
        <f t="shared" si="92"/>
        <v>99.639724892155641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22.294546126753922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22.294546126753922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2.2999999999999998</v>
      </c>
      <c r="CT94" s="12">
        <f>IF('Données projet'!$A$140&gt;35,CT93+CS94-DB93,IF(A94&lt;'Données projet'!$A$140,$CQ$205^A94,IF(A94='Données projet'!$A$140,'Données projet'!$B$140,CT93+CS94-DB93)))</f>
        <v>195.29999999999995</v>
      </c>
      <c r="CU94" s="17">
        <f>CT94*VLOOKUP('Données projet'!$B$13,Paramètres!$A$1:$I$89,3,0)*VLOOKUP('Données projet'!$B$13,Paramètres!$A$1:$I$89,5,0)</f>
        <v>164.52071999999998</v>
      </c>
      <c r="CV94" s="13">
        <f t="shared" si="95"/>
        <v>41.860517049832985</v>
      </c>
      <c r="CW94" s="20">
        <f t="shared" si="67"/>
        <v>359.44732119512577</v>
      </c>
      <c r="CX94" s="59">
        <f t="shared" si="68"/>
        <v>652.78065452845908</v>
      </c>
      <c r="CY94" s="59">
        <f ca="1">AVERAGE(OFFSET($CX$3,0,0,'Données projet'!$E$13+1,1))-AVERAGE(OFFSET($H$3,0,0,'Données projet'!$E$13+1,1))</f>
        <v>157.20393815370375</v>
      </c>
      <c r="CZ94" s="59">
        <f t="shared" si="96"/>
        <v>64.616965816756363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16.491856038968656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16.491856038968656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-1.1368683772161603E-13</v>
      </c>
      <c r="DP94" s="17">
        <f>DO94*VLOOKUP('Données projet'!$B$14,Paramètres!$A$1:$I$89,3,0)*VLOOKUP('Données projet'!$B$14,Paramètres!$A$1:$I$89,5,0)</f>
        <v>-9.2222762759774927E-14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221.78186926953776</v>
      </c>
      <c r="DU94" s="59">
        <f t="shared" si="98"/>
        <v>276.69392352410654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53.818941995296285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53.818941995296285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2.2999999999999998</v>
      </c>
      <c r="EJ94" s="12">
        <f>IF('Données projet'!$A$192&gt;35,EJ93+EI94-ER93,IF(A94&lt;'Données projet'!$A$192,$EG$205^A94,IF(A94='Données projet'!$A$192,'Données projet'!$B$192,EJ93+EI94-ER93)))</f>
        <v>195.29999999999995</v>
      </c>
      <c r="EK94" s="17">
        <f>EJ94*VLOOKUP('Données projet'!$B$15,Paramètres!$A$1:$I$89,3,0)*VLOOKUP('Données projet'!$B$15,Paramètres!$A$1:$I$89,5,0)</f>
        <v>210.22091999999992</v>
      </c>
      <c r="EL94" s="13">
        <f t="shared" si="99"/>
        <v>51.983859321922559</v>
      </c>
      <c r="EM94" s="20">
        <f t="shared" si="73"/>
        <v>456.67332398568163</v>
      </c>
      <c r="EN94" s="59">
        <f t="shared" si="74"/>
        <v>750.00665731901495</v>
      </c>
      <c r="EO94" s="59">
        <f ca="1">AVERAGE(OFFSET($EN$3,0,0,'Données projet'!$E$15+1,1))-AVERAGE(OFFSET($H$3,0,0,'Données projet'!$E$15+1,1))</f>
        <v>219.76574638403434</v>
      </c>
      <c r="EP94" s="59">
        <f t="shared" si="100"/>
        <v>92.286636088269972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21.072927160904385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21.072927160904385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>
        <f>FE94*VLOOKUP('Données projet'!$B$16,Paramètres!$A$1:$I$89,3,0)*VLOOKUP('Données projet'!$B$16,Paramètres!$A$1:$I$89,5,0)</f>
        <v>0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86.164294406232727</v>
      </c>
      <c r="FK94" s="59">
        <f t="shared" si="102"/>
        <v>138.91188401562334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34.046283064535167</v>
      </c>
      <c r="FR94" s="21">
        <f>EXP(-LN(2)/25)*FR93+(1-EXP(-LN(2)/25))/(LN(2)/25)*Calculateur!FM94*Calculateur!FO94*VLOOKUP('Données projet'!$B$16,Paramètres!$A$1:$I$89,3,0)*0.475*44/12</f>
        <v>17.537766228068676</v>
      </c>
      <c r="FS94" s="21">
        <f>EXP(-LN(2)/2)*FS93+(1-EXP(-LN(2)/2))/(LN(2)/2)*FM94*FP94*VLOOKUP('Données projet'!$B$16,Paramètres!$A$1:$I$89,3,0)*0.475*44/12</f>
        <v>7.5950263779726846E-4</v>
      </c>
      <c r="FT94" s="22">
        <f t="shared" si="78"/>
        <v>51.584808795241642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150.21793637331223</v>
      </c>
      <c r="T95" s="59">
        <f t="shared" si="88"/>
        <v>364.59164590134486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31.235134824088227</v>
      </c>
      <c r="AA95" s="21">
        <f>EXP(-LN(2)/25)*AA94+(1-EXP(-LN(2)/25))/(LN(2)/25)*Calculateur!V95*Calculateur!X95*VLOOKUP('Données projet'!$B$9,Paramètres!$A$1:$I$89,3,0)*0.475*44/12</f>
        <v>4.0371540421188383</v>
      </c>
      <c r="AB95" s="21">
        <f>EXP(-LN(2)/2)*AB94+(1-EXP(-LN(2)/2))/(LN(2)/2)*V95*Y95*VLOOKUP('Données projet'!$B$9,Paramètres!$A$1:$I$89,3,0)*0.475*44/12</f>
        <v>9.0130518126314741E-9</v>
      </c>
      <c r="AC95" s="22">
        <f t="shared" si="57"/>
        <v>35.272288875220113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2.2999999999999998</v>
      </c>
      <c r="AI95" s="13">
        <f>IF('Données projet'!$A$62&gt;35,AI94+AH95-AQ94,IF(A95&lt;'Données projet'!$A$62,$AF$205^A95,IF(A95='Données projet'!$A$62,'Données projet'!$B$62,AI94+AH95-AQ94)))</f>
        <v>197.59999999999997</v>
      </c>
      <c r="AJ95" s="13">
        <f>AI95*VLOOKUP('Données projet'!$B$10,Paramètres!$A$1:$I$89,3,0)*VLOOKUP('Données projet'!$B$10,Paramètres!$A$1:$I$89,5,0)</f>
        <v>215.77919999999995</v>
      </c>
      <c r="AK95" s="13">
        <f t="shared" si="89"/>
        <v>53.196483976998607</v>
      </c>
      <c r="AL95" s="20">
        <f t="shared" si="58"/>
        <v>468.4659829266057</v>
      </c>
      <c r="AM95" s="59">
        <f t="shared" si="59"/>
        <v>761.79931625993902</v>
      </c>
      <c r="AN95" s="59">
        <f ca="1">AVERAGE(OFFSET($AM$3,0,0,'Données projet'!$E$10+1,1))-AVERAGE(OFFSET($H$3,0,0,'Données projet'!$E$10+1,1))</f>
        <v>223.92539057016376</v>
      </c>
      <c r="AO95" s="59">
        <f t="shared" si="90"/>
        <v>94.125825809616856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20.959115853256279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20.959115853256279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2.2999999999999998</v>
      </c>
      <c r="BD95" s="12">
        <f>IF('Données projet'!$A$88&gt;35,BD94+BC95-BL94,IF(A95&lt;'Données projet'!$A$88,$BA$205^A95,IF(A95='Données projet'!$A$88,'Données projet'!$B$88,BD94+BC95-BL94)))</f>
        <v>197.59999999999997</v>
      </c>
      <c r="BE95" s="13">
        <f>BD95*VLOOKUP('Données projet'!$B$11,Paramètres!$A$1:$I$89,3,0)*VLOOKUP('Données projet'!$B$11,Paramètres!$A$1:$I$89,5,0)</f>
        <v>225.02687999999995</v>
      </c>
      <c r="BF95" s="13">
        <f t="shared" si="91"/>
        <v>55.206012520789585</v>
      </c>
      <c r="BG95" s="20">
        <f t="shared" si="61"/>
        <v>488.07228780704173</v>
      </c>
      <c r="BH95" s="59">
        <f t="shared" si="62"/>
        <v>781.40562114037505</v>
      </c>
      <c r="BI95" s="59">
        <f ca="1">AVERAGE(OFFSET($BH$3,0,0,'Données projet'!$E$11+1,1))-AVERAGE(OFFSET($H$3,0,0,'Données projet'!$E$11+1,1))</f>
        <v>236.39682613502913</v>
      </c>
      <c r="BJ95" s="59">
        <f t="shared" si="92"/>
        <v>99.639724892155641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21.857363675538689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21.857363675538689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2.2999999999999998</v>
      </c>
      <c r="CT95" s="12">
        <f>IF('Données projet'!$A$140&gt;35,CT94+CS95-DB94,IF(A95&lt;'Données projet'!$A$140,$CQ$205^A95,IF(A95='Données projet'!$A$140,'Données projet'!$B$140,CT94+CS95-DB94)))</f>
        <v>197.59999999999997</v>
      </c>
      <c r="CU95" s="17">
        <f>CT95*VLOOKUP('Données projet'!$B$13,Paramètres!$A$1:$I$89,3,0)*VLOOKUP('Données projet'!$B$13,Paramètres!$A$1:$I$89,5,0)</f>
        <v>166.45823999999999</v>
      </c>
      <c r="CV95" s="13">
        <f t="shared" si="95"/>
        <v>42.295817799452642</v>
      </c>
      <c r="CW95" s="20">
        <f t="shared" si="67"/>
        <v>363.5799840007133</v>
      </c>
      <c r="CX95" s="59">
        <f t="shared" si="68"/>
        <v>656.91331733404661</v>
      </c>
      <c r="CY95" s="59">
        <f ca="1">AVERAGE(OFFSET($CX$3,0,0,'Données projet'!$E$13+1,1))-AVERAGE(OFFSET($H$3,0,0,'Données projet'!$E$13+1,1))</f>
        <v>157.20393815370375</v>
      </c>
      <c r="CZ95" s="59">
        <f t="shared" si="96"/>
        <v>64.616965816756363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16.168460801083416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16.168460801083416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-1.1368683772161603E-13</v>
      </c>
      <c r="DP95" s="17">
        <f>DO95*VLOOKUP('Données projet'!$B$14,Paramètres!$A$1:$I$89,3,0)*VLOOKUP('Données projet'!$B$14,Paramètres!$A$1:$I$89,5,0)</f>
        <v>-9.2222762759774927E-14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221.78186926953776</v>
      </c>
      <c r="DU95" s="59">
        <f t="shared" si="98"/>
        <v>276.69392352410654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52.76358536908181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52.76358536908181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2.2999999999999998</v>
      </c>
      <c r="EJ95" s="12">
        <f>IF('Données projet'!$A$192&gt;35,EJ94+EI95-ER94,IF(A95&lt;'Données projet'!$A$192,$EG$205^A95,IF(A95='Données projet'!$A$192,'Données projet'!$B$192,EJ94+EI95-ER94)))</f>
        <v>197.59999999999997</v>
      </c>
      <c r="EK95" s="17">
        <f>EJ95*VLOOKUP('Données projet'!$B$15,Paramètres!$A$1:$I$89,3,0)*VLOOKUP('Données projet'!$B$15,Paramètres!$A$1:$I$89,5,0)</f>
        <v>212.69663999999995</v>
      </c>
      <c r="EL95" s="13">
        <f t="shared" si="99"/>
        <v>52.524431071287658</v>
      </c>
      <c r="EM95" s="20">
        <f t="shared" si="73"/>
        <v>461.92669878249262</v>
      </c>
      <c r="EN95" s="59">
        <f t="shared" si="74"/>
        <v>755.26003211582588</v>
      </c>
      <c r="EO95" s="59">
        <f ca="1">AVERAGE(OFFSET($EN$3,0,0,'Données projet'!$E$15+1,1))-AVERAGE(OFFSET($H$3,0,0,'Données projet'!$E$15+1,1))</f>
        <v>219.76574638403434</v>
      </c>
      <c r="EP95" s="59">
        <f t="shared" si="100"/>
        <v>92.286636088269972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20.659699912495469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20.659699912495469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>
        <f>FE95*VLOOKUP('Données projet'!$B$16,Paramètres!$A$1:$I$89,3,0)*VLOOKUP('Données projet'!$B$16,Paramètres!$A$1:$I$89,5,0)</f>
        <v>0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86.164294406232727</v>
      </c>
      <c r="FK95" s="59">
        <f t="shared" si="102"/>
        <v>138.91188401562334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33.378656219821814</v>
      </c>
      <c r="FR95" s="21">
        <f>EXP(-LN(2)/25)*FR94+(1-EXP(-LN(2)/25))/(LN(2)/25)*Calculateur!FM95*Calculateur!FO95*VLOOKUP('Données projet'!$B$16,Paramètres!$A$1:$I$89,3,0)*0.475*44/12</f>
        <v>17.058195088291097</v>
      </c>
      <c r="FS95" s="21">
        <f>EXP(-LN(2)/2)*FS94+(1-EXP(-LN(2)/2))/(LN(2)/2)*FM95*FP95*VLOOKUP('Données projet'!$B$16,Paramètres!$A$1:$I$89,3,0)*0.475*44/12</f>
        <v>5.3704946551551877E-4</v>
      </c>
      <c r="FT95" s="22">
        <f t="shared" si="78"/>
        <v>50.437388357578421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150.21793637331223</v>
      </c>
      <c r="T96" s="59">
        <f t="shared" si="88"/>
        <v>364.59164590134486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30.622632881738916</v>
      </c>
      <c r="AA96" s="21">
        <f>EXP(-LN(2)/25)*AA95+(1-EXP(-LN(2)/25))/(LN(2)/25)*Calculateur!V96*Calculateur!X96*VLOOKUP('Données projet'!$B$9,Paramètres!$A$1:$I$89,3,0)*0.475*44/12</f>
        <v>3.9267578525323947</v>
      </c>
      <c r="AB96" s="21">
        <f>EXP(-LN(2)/2)*AB95+(1-EXP(-LN(2)/2))/(LN(2)/2)*V96*Y96*VLOOKUP('Données projet'!$B$9,Paramètres!$A$1:$I$89,3,0)*0.475*44/12</f>
        <v>6.3731900558974193E-9</v>
      </c>
      <c r="AC96" s="22">
        <f t="shared" si="57"/>
        <v>34.549390740644505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2.2999999999999998</v>
      </c>
      <c r="AI96" s="13">
        <f>IF('Données projet'!$A$62&gt;35,AI95+AH96-AQ95,IF(A96&lt;'Données projet'!$A$62,$AF$205^A96,IF(A96='Données projet'!$A$62,'Données projet'!$B$62,AI95+AH96-AQ95)))</f>
        <v>199.89999999999998</v>
      </c>
      <c r="AJ96" s="13">
        <f>AI96*VLOOKUP('Données projet'!$B$10,Paramètres!$A$1:$I$89,3,0)*VLOOKUP('Données projet'!$B$10,Paramètres!$A$1:$I$89,5,0)</f>
        <v>218.29079999999996</v>
      </c>
      <c r="AK96" s="13">
        <f t="shared" si="89"/>
        <v>53.743231086192139</v>
      </c>
      <c r="AL96" s="20">
        <f t="shared" si="58"/>
        <v>473.79260414178452</v>
      </c>
      <c r="AM96" s="59">
        <f t="shared" si="59"/>
        <v>767.12593747511778</v>
      </c>
      <c r="AN96" s="59">
        <f ca="1">AVERAGE(OFFSET($AM$3,0,0,'Données projet'!$E$10+1,1))-AVERAGE(OFFSET($H$3,0,0,'Données projet'!$E$10+1,1))</f>
        <v>223.92539057016376</v>
      </c>
      <c r="AO96" s="59">
        <f t="shared" si="90"/>
        <v>94.125825809616856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20.548120375172299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20.548120375172299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2.2999999999999998</v>
      </c>
      <c r="BD96" s="12">
        <f>IF('Données projet'!$A$88&gt;35,BD95+BC96-BL95,IF(A96&lt;'Données projet'!$A$88,$BA$205^A96,IF(A96='Données projet'!$A$88,'Données projet'!$B$88,BD95+BC96-BL95)))</f>
        <v>199.89999999999998</v>
      </c>
      <c r="BE96" s="13">
        <f>BD96*VLOOKUP('Données projet'!$B$11,Paramètres!$A$1:$I$89,3,0)*VLOOKUP('Données projet'!$B$11,Paramètres!$A$1:$I$89,5,0)</f>
        <v>227.64612</v>
      </c>
      <c r="BF96" s="13">
        <f t="shared" si="91"/>
        <v>55.773413324363219</v>
      </c>
      <c r="BG96" s="20">
        <f t="shared" si="61"/>
        <v>493.62235387326592</v>
      </c>
      <c r="BH96" s="59">
        <f t="shared" si="62"/>
        <v>786.95568720659924</v>
      </c>
      <c r="BI96" s="59">
        <f ca="1">AVERAGE(OFFSET($BH$3,0,0,'Données projet'!$E$11+1,1))-AVERAGE(OFFSET($H$3,0,0,'Données projet'!$E$11+1,1))</f>
        <v>236.39682613502913</v>
      </c>
      <c r="BJ96" s="59">
        <f t="shared" si="92"/>
        <v>99.639724892155641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21.428754105536825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21.428754105536825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2.2999999999999998</v>
      </c>
      <c r="CT96" s="12">
        <f>IF('Données projet'!$A$140&gt;35,CT95+CS96-DB95,IF(A96&lt;'Données projet'!$A$140,$CQ$205^A96,IF(A96='Données projet'!$A$140,'Données projet'!$B$140,CT95+CS96-DB95)))</f>
        <v>199.89999999999998</v>
      </c>
      <c r="CU96" s="17">
        <f>CT96*VLOOKUP('Données projet'!$B$13,Paramètres!$A$1:$I$89,3,0)*VLOOKUP('Données projet'!$B$13,Paramètres!$A$1:$I$89,5,0)</f>
        <v>168.39576</v>
      </c>
      <c r="CV96" s="13">
        <f t="shared" si="95"/>
        <v>42.730529163512422</v>
      </c>
      <c r="CW96" s="20">
        <f t="shared" si="67"/>
        <v>367.71162029311745</v>
      </c>
      <c r="CX96" s="59">
        <f t="shared" si="68"/>
        <v>661.04495362645071</v>
      </c>
      <c r="CY96" s="59">
        <f ca="1">AVERAGE(OFFSET($CX$3,0,0,'Données projet'!$E$13+1,1))-AVERAGE(OFFSET($H$3,0,0,'Données projet'!$E$13+1,1))</f>
        <v>157.20393815370375</v>
      </c>
      <c r="CZ96" s="59">
        <f t="shared" si="96"/>
        <v>64.616965816756363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15.851407146561488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15.851407146561488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-1.1368683772161603E-13</v>
      </c>
      <c r="DP96" s="17">
        <f>DO96*VLOOKUP('Données projet'!$B$14,Paramètres!$A$1:$I$89,3,0)*VLOOKUP('Données projet'!$B$14,Paramètres!$A$1:$I$89,5,0)</f>
        <v>-9.2222762759774927E-14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221.78186926953776</v>
      </c>
      <c r="DU96" s="59">
        <f t="shared" si="98"/>
        <v>276.69392352410654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51.728923642603419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51.728923642603419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2.2999999999999998</v>
      </c>
      <c r="EJ96" s="12">
        <f>IF('Données projet'!$A$192&gt;35,EJ95+EI96-ER95,IF(A96&lt;'Données projet'!$A$192,$EG$205^A96,IF(A96='Données projet'!$A$192,'Données projet'!$B$192,EJ95+EI96-ER95)))</f>
        <v>199.89999999999998</v>
      </c>
      <c r="EK96" s="17">
        <f>EJ96*VLOOKUP('Données projet'!$B$15,Paramètres!$A$1:$I$89,3,0)*VLOOKUP('Données projet'!$B$15,Paramètres!$A$1:$I$89,5,0)</f>
        <v>215.17235999999997</v>
      </c>
      <c r="EL96" s="13">
        <f t="shared" si="99"/>
        <v>53.064270900977832</v>
      </c>
      <c r="EM96" s="20">
        <f t="shared" si="73"/>
        <v>467.17879881920294</v>
      </c>
      <c r="EN96" s="59">
        <f t="shared" si="74"/>
        <v>760.5121321525362</v>
      </c>
      <c r="EO96" s="59">
        <f ca="1">AVERAGE(OFFSET($EN$3,0,0,'Données projet'!$E$15+1,1))-AVERAGE(OFFSET($H$3,0,0,'Données projet'!$E$15+1,1))</f>
        <v>219.76574638403434</v>
      </c>
      <c r="EP96" s="59">
        <f t="shared" si="100"/>
        <v>92.286636088269972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20.254575798384117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20.254575798384117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>
        <f>FE96*VLOOKUP('Données projet'!$B$16,Paramètres!$A$1:$I$89,3,0)*VLOOKUP('Données projet'!$B$16,Paramètres!$A$1:$I$89,5,0)</f>
        <v>0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86.164294406232727</v>
      </c>
      <c r="FK96" s="59">
        <f t="shared" si="102"/>
        <v>138.91188401562334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32.724121130321123</v>
      </c>
      <c r="FR96" s="21">
        <f>EXP(-LN(2)/25)*FR95+(1-EXP(-LN(2)/25))/(LN(2)/25)*Calculateur!FM96*Calculateur!FO96*VLOOKUP('Données projet'!$B$16,Paramètres!$A$1:$I$89,3,0)*0.475*44/12</f>
        <v>16.591737846550284</v>
      </c>
      <c r="FS96" s="21">
        <f>EXP(-LN(2)/2)*FS95+(1-EXP(-LN(2)/2))/(LN(2)/2)*FM96*FP96*VLOOKUP('Données projet'!$B$16,Paramètres!$A$1:$I$89,3,0)*0.475*44/12</f>
        <v>3.7975131889863423E-4</v>
      </c>
      <c r="FT96" s="22">
        <f t="shared" si="78"/>
        <v>49.316238728190307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150.21793637331223</v>
      </c>
      <c r="T97" s="59">
        <f t="shared" si="88"/>
        <v>364.59164590134486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30.022141728889778</v>
      </c>
      <c r="AA97" s="21">
        <f>EXP(-LN(2)/25)*AA96+(1-EXP(-LN(2)/25))/(LN(2)/25)*Calculateur!V97*Calculateur!X97*VLOOKUP('Données projet'!$B$9,Paramètres!$A$1:$I$89,3,0)*0.475*44/12</f>
        <v>3.8193804525556758</v>
      </c>
      <c r="AB97" s="21">
        <f>EXP(-LN(2)/2)*AB96+(1-EXP(-LN(2)/2))/(LN(2)/2)*V97*Y97*VLOOKUP('Données projet'!$B$9,Paramètres!$A$1:$I$89,3,0)*0.475*44/12</f>
        <v>4.5065259063157371E-9</v>
      </c>
      <c r="AC97" s="22">
        <f t="shared" si="57"/>
        <v>33.84152218595198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2.2999999999999998</v>
      </c>
      <c r="AI97" s="13">
        <f>IF('Données projet'!$A$62&gt;35,AI96+AH97-AQ96,IF(A97&lt;'Données projet'!$A$62,$AF$205^A97,IF(A97='Données projet'!$A$62,'Données projet'!$B$62,AI96+AH97-AQ96)))</f>
        <v>202.2</v>
      </c>
      <c r="AJ97" s="13">
        <f>AI97*VLOOKUP('Données projet'!$B$10,Paramètres!$A$1:$I$89,3,0)*VLOOKUP('Données projet'!$B$10,Paramètres!$A$1:$I$89,5,0)</f>
        <v>220.80240000000001</v>
      </c>
      <c r="AK97" s="13">
        <f t="shared" si="89"/>
        <v>54.289246426625823</v>
      </c>
      <c r="AL97" s="20">
        <f t="shared" si="58"/>
        <v>479.1179508597067</v>
      </c>
      <c r="AM97" s="59">
        <f t="shared" si="59"/>
        <v>772.45128419304001</v>
      </c>
      <c r="AN97" s="59">
        <f ca="1">AVERAGE(OFFSET($AM$3,0,0,'Données projet'!$E$10+1,1))-AVERAGE(OFFSET($H$3,0,0,'Données projet'!$E$10+1,1))</f>
        <v>223.92539057016376</v>
      </c>
      <c r="AO97" s="59">
        <f t="shared" si="90"/>
        <v>94.125825809616856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20.145184267731057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20.145184267731057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2.2999999999999998</v>
      </c>
      <c r="BD97" s="12">
        <f>IF('Données projet'!$A$88&gt;35,BD96+BC97-BL96,IF(A97&lt;'Données projet'!$A$88,$BA$205^A97,IF(A97='Données projet'!$A$88,'Données projet'!$B$88,BD96+BC97-BL96)))</f>
        <v>202.2</v>
      </c>
      <c r="BE97" s="13">
        <f>BD97*VLOOKUP('Données projet'!$B$11,Paramètres!$A$1:$I$89,3,0)*VLOOKUP('Données projet'!$B$11,Paramètres!$A$1:$I$89,5,0)</f>
        <v>230.26535999999999</v>
      </c>
      <c r="BF97" s="13">
        <f t="shared" si="91"/>
        <v>56.340054716180745</v>
      </c>
      <c r="BG97" s="20">
        <f t="shared" si="61"/>
        <v>499.17109729734813</v>
      </c>
      <c r="BH97" s="59">
        <f t="shared" si="62"/>
        <v>792.50443063068144</v>
      </c>
      <c r="BI97" s="59">
        <f ca="1">AVERAGE(OFFSET($BH$3,0,0,'Données projet'!$E$11+1,1))-AVERAGE(OFFSET($H$3,0,0,'Données projet'!$E$11+1,1))</f>
        <v>236.39682613502913</v>
      </c>
      <c r="BJ97" s="59">
        <f t="shared" si="92"/>
        <v>99.639724892155641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21.008549307776672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21.008549307776672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2.2999999999999998</v>
      </c>
      <c r="CT97" s="12">
        <f>IF('Données projet'!$A$140&gt;35,CT96+CS97-DB96,IF(A97&lt;'Données projet'!$A$140,$CQ$205^A97,IF(A97='Données projet'!$A$140,'Données projet'!$B$140,CT96+CS97-DB96)))</f>
        <v>202.2</v>
      </c>
      <c r="CU97" s="17">
        <f>CT97*VLOOKUP('Données projet'!$B$13,Paramètres!$A$1:$I$89,3,0)*VLOOKUP('Données projet'!$B$13,Paramètres!$A$1:$I$89,5,0)</f>
        <v>170.33328</v>
      </c>
      <c r="CV97" s="13">
        <f t="shared" si="95"/>
        <v>43.164658707951425</v>
      </c>
      <c r="CW97" s="20">
        <f t="shared" si="67"/>
        <v>371.84224324968204</v>
      </c>
      <c r="CX97" s="59">
        <f t="shared" si="68"/>
        <v>665.1755765830153</v>
      </c>
      <c r="CY97" s="59">
        <f ca="1">AVERAGE(OFFSET($CX$3,0,0,'Données projet'!$E$13+1,1))-AVERAGE(OFFSET($H$3,0,0,'Données projet'!$E$13+1,1))</f>
        <v>157.20393815370375</v>
      </c>
      <c r="CZ97" s="59">
        <f t="shared" si="96"/>
        <v>64.616965816756363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15.540570720821101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15.540570720821101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-1.1368683772161603E-13</v>
      </c>
      <c r="DP97" s="17">
        <f>DO97*VLOOKUP('Données projet'!$B$14,Paramètres!$A$1:$I$89,3,0)*VLOOKUP('Données projet'!$B$14,Paramètres!$A$1:$I$89,5,0)</f>
        <v>-9.2222762759774927E-14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221.78186926953776</v>
      </c>
      <c r="DU97" s="59">
        <f t="shared" si="98"/>
        <v>276.69392352410654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50.714551001499935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50.714551001499935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2.2999999999999998</v>
      </c>
      <c r="EJ97" s="12">
        <f>IF('Données projet'!$A$192&gt;35,EJ96+EI97-ER96,IF(A97&lt;'Données projet'!$A$192,$EG$205^A97,IF(A97='Données projet'!$A$192,'Données projet'!$B$192,EJ96+EI97-ER96)))</f>
        <v>202.2</v>
      </c>
      <c r="EK97" s="17">
        <f>EJ97*VLOOKUP('Données projet'!$B$15,Paramètres!$A$1:$I$89,3,0)*VLOOKUP('Données projet'!$B$15,Paramètres!$A$1:$I$89,5,0)</f>
        <v>217.64807999999996</v>
      </c>
      <c r="EL97" s="13">
        <f t="shared" si="99"/>
        <v>53.603388206641782</v>
      </c>
      <c r="EM97" s="20">
        <f t="shared" si="73"/>
        <v>472.42964045990101</v>
      </c>
      <c r="EN97" s="59">
        <f t="shared" si="74"/>
        <v>765.76297379323432</v>
      </c>
      <c r="EO97" s="59">
        <f ca="1">AVERAGE(OFFSET($EN$3,0,0,'Données projet'!$E$15+1,1))-AVERAGE(OFFSET($H$3,0,0,'Données projet'!$E$15+1,1))</f>
        <v>219.76574638403434</v>
      </c>
      <c r="EP97" s="59">
        <f t="shared" si="100"/>
        <v>92.286636088269972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19.857395921049179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19.857395921049179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>
        <f>FE97*VLOOKUP('Données projet'!$B$16,Paramètres!$A$1:$I$89,3,0)*VLOOKUP('Données projet'!$B$16,Paramètres!$A$1:$I$89,5,0)</f>
        <v>0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86.164294406232727</v>
      </c>
      <c r="FK97" s="59">
        <f t="shared" si="102"/>
        <v>138.91188401562334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32.082421074698551</v>
      </c>
      <c r="FR97" s="21">
        <f>EXP(-LN(2)/25)*FR96+(1-EXP(-LN(2)/25))/(LN(2)/25)*Calculateur!FM97*Calculateur!FO97*VLOOKUP('Données projet'!$B$16,Paramètres!$A$1:$I$89,3,0)*0.475*44/12</f>
        <v>16.138035902614796</v>
      </c>
      <c r="FS97" s="21">
        <f>EXP(-LN(2)/2)*FS96+(1-EXP(-LN(2)/2))/(LN(2)/2)*FM97*FP97*VLOOKUP('Données projet'!$B$16,Paramètres!$A$1:$I$89,3,0)*0.475*44/12</f>
        <v>2.6852473275775938E-4</v>
      </c>
      <c r="FT97" s="22">
        <f t="shared" si="78"/>
        <v>48.220725502046108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150.21793637331223</v>
      </c>
      <c r="T98" s="59">
        <f t="shared" si="88"/>
        <v>364.59164590134486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29.433425841284574</v>
      </c>
      <c r="AA98" s="21">
        <f>EXP(-LN(2)/25)*AA97+(1-EXP(-LN(2)/25))/(LN(2)/25)*Calculateur!V98*Calculateur!X98*VLOOKUP('Données projet'!$B$9,Paramètres!$A$1:$I$89,3,0)*0.475*44/12</f>
        <v>3.7149392932280523</v>
      </c>
      <c r="AB98" s="21">
        <f>EXP(-LN(2)/2)*AB97+(1-EXP(-LN(2)/2))/(LN(2)/2)*V98*Y98*VLOOKUP('Données projet'!$B$9,Paramètres!$A$1:$I$89,3,0)*0.475*44/12</f>
        <v>3.1865950279487097E-9</v>
      </c>
      <c r="AC98" s="22">
        <f t="shared" si="57"/>
        <v>33.148365137699216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2.2999999999999998</v>
      </c>
      <c r="AI98" s="13">
        <f>IF('Données projet'!$A$62&gt;35,AI97+AH98-AQ97,IF(A98&lt;'Données projet'!$A$62,$AF$205^A98,IF(A98='Données projet'!$A$62,'Données projet'!$B$62,AI97+AH98-AQ97)))</f>
        <v>204.5</v>
      </c>
      <c r="AJ98" s="13">
        <f>AI98*VLOOKUP('Données projet'!$B$10,Paramètres!$A$1:$I$89,3,0)*VLOOKUP('Données projet'!$B$10,Paramètres!$A$1:$I$89,5,0)</f>
        <v>223.31399999999996</v>
      </c>
      <c r="AK98" s="13">
        <f t="shared" si="89"/>
        <v>54.834539285220103</v>
      </c>
      <c r="AL98" s="20">
        <f t="shared" si="58"/>
        <v>484.44203925509163</v>
      </c>
      <c r="AM98" s="59">
        <f t="shared" si="59"/>
        <v>777.77537258842494</v>
      </c>
      <c r="AN98" s="59">
        <f ca="1">AVERAGE(OFFSET($AM$3,0,0,'Données projet'!$E$10+1,1))-AVERAGE(OFFSET($H$3,0,0,'Données projet'!$E$10+1,1))</f>
        <v>223.92539057016376</v>
      </c>
      <c r="AO98" s="59">
        <f t="shared" si="90"/>
        <v>94.125825809616856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19.75014949158998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19.75014949158998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2.2999999999999998</v>
      </c>
      <c r="BD98" s="12">
        <f>IF('Données projet'!$A$88&gt;35,BD97+BC98-BL97,IF(A98&lt;'Données projet'!$A$88,$BA$205^A98,IF(A98='Données projet'!$A$88,'Données projet'!$B$88,BD97+BC98-BL97)))</f>
        <v>204.5</v>
      </c>
      <c r="BE98" s="13">
        <f>BD98*VLOOKUP('Données projet'!$B$11,Paramètres!$A$1:$I$89,3,0)*VLOOKUP('Données projet'!$B$11,Paramètres!$A$1:$I$89,5,0)</f>
        <v>232.88460000000001</v>
      </c>
      <c r="BF98" s="13">
        <f t="shared" si="91"/>
        <v>56.905946333981497</v>
      </c>
      <c r="BG98" s="20">
        <f t="shared" si="61"/>
        <v>504.71853486501777</v>
      </c>
      <c r="BH98" s="59">
        <f t="shared" si="62"/>
        <v>798.05186819835103</v>
      </c>
      <c r="BI98" s="59">
        <f ca="1">AVERAGE(OFFSET($BH$3,0,0,'Données projet'!$E$11+1,1))-AVERAGE(OFFSET($H$3,0,0,'Données projet'!$E$11+1,1))</f>
        <v>236.39682613502913</v>
      </c>
      <c r="BJ98" s="59">
        <f t="shared" si="92"/>
        <v>99.639724892155641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20.596584469800977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20.596584469800977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2.2999999999999998</v>
      </c>
      <c r="CT98" s="12">
        <f>IF('Données projet'!$A$140&gt;35,CT97+CS98-DB97,IF(A98&lt;'Données projet'!$A$140,$CQ$205^A98,IF(A98='Données projet'!$A$140,'Données projet'!$B$140,CT97+CS98-DB97)))</f>
        <v>204.5</v>
      </c>
      <c r="CU98" s="17">
        <f>CT98*VLOOKUP('Données projet'!$B$13,Paramètres!$A$1:$I$89,3,0)*VLOOKUP('Données projet'!$B$13,Paramètres!$A$1:$I$89,5,0)</f>
        <v>172.27080000000001</v>
      </c>
      <c r="CV98" s="13">
        <f t="shared" si="95"/>
        <v>43.598213816676633</v>
      </c>
      <c r="CW98" s="20">
        <f t="shared" si="67"/>
        <v>375.97186573071184</v>
      </c>
      <c r="CX98" s="59">
        <f t="shared" si="68"/>
        <v>669.30519906404515</v>
      </c>
      <c r="CY98" s="59">
        <f ca="1">AVERAGE(OFFSET($CX$3,0,0,'Données projet'!$E$13+1,1))-AVERAGE(OFFSET($H$3,0,0,'Données projet'!$E$13+1,1))</f>
        <v>157.20393815370375</v>
      </c>
      <c r="CZ98" s="59">
        <f t="shared" si="96"/>
        <v>64.616965816756363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15.235829607797983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15.235829607797983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-1.1368683772161603E-13</v>
      </c>
      <c r="DP98" s="17">
        <f>DO98*VLOOKUP('Données projet'!$B$14,Paramètres!$A$1:$I$89,3,0)*VLOOKUP('Données projet'!$B$14,Paramètres!$A$1:$I$89,5,0)</f>
        <v>-9.2222762759774927E-14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221.78186926953776</v>
      </c>
      <c r="DU98" s="59">
        <f t="shared" si="98"/>
        <v>276.69392352410654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49.720069589182266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49.720069589182266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2.2999999999999998</v>
      </c>
      <c r="EJ98" s="12">
        <f>IF('Données projet'!$A$192&gt;35,EJ97+EI98-ER97,IF(A98&lt;'Données projet'!$A$192,$EG$205^A98,IF(A98='Données projet'!$A$192,'Données projet'!$B$192,EJ97+EI98-ER97)))</f>
        <v>204.5</v>
      </c>
      <c r="EK98" s="17">
        <f>EJ98*VLOOKUP('Données projet'!$B$15,Paramètres!$A$1:$I$89,3,0)*VLOOKUP('Données projet'!$B$15,Paramètres!$A$1:$I$89,5,0)</f>
        <v>220.12379999999999</v>
      </c>
      <c r="EL98" s="13">
        <f t="shared" si="99"/>
        <v>54.141792157874484</v>
      </c>
      <c r="EM98" s="20">
        <f t="shared" si="73"/>
        <v>477.67923967496472</v>
      </c>
      <c r="EN98" s="59">
        <f t="shared" si="74"/>
        <v>771.01257300829798</v>
      </c>
      <c r="EO98" s="59">
        <f ca="1">AVERAGE(OFFSET($EN$3,0,0,'Données projet'!$E$15+1,1))-AVERAGE(OFFSET($H$3,0,0,'Données projet'!$E$15+1,1))</f>
        <v>219.76574638403434</v>
      </c>
      <c r="EP98" s="59">
        <f t="shared" si="100"/>
        <v>92.286636088269972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19.468004498852974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19.468004498852974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>
        <f>FE98*VLOOKUP('Données projet'!$B$16,Paramètres!$A$1:$I$89,3,0)*VLOOKUP('Données projet'!$B$16,Paramètres!$A$1:$I$89,5,0)</f>
        <v>0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86.164294406232727</v>
      </c>
      <c r="FK98" s="59">
        <f t="shared" si="102"/>
        <v>138.91188401562334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31.453304365768354</v>
      </c>
      <c r="FR98" s="21">
        <f>EXP(-LN(2)/25)*FR97+(1-EXP(-LN(2)/25))/(LN(2)/25)*Calculateur!FM98*Calculateur!FO98*VLOOKUP('Données projet'!$B$16,Paramètres!$A$1:$I$89,3,0)*0.475*44/12</f>
        <v>15.69674046219537</v>
      </c>
      <c r="FS98" s="21">
        <f>EXP(-LN(2)/2)*FS97+(1-EXP(-LN(2)/2))/(LN(2)/2)*FM98*FP98*VLOOKUP('Données projet'!$B$16,Paramètres!$A$1:$I$89,3,0)*0.475*44/12</f>
        <v>1.8987565944931711E-4</v>
      </c>
      <c r="FT98" s="22">
        <f t="shared" si="78"/>
        <v>47.150234703623177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150.21793637331223</v>
      </c>
      <c r="T99" s="59">
        <f t="shared" si="88"/>
        <v>364.59164590134486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28.856254313154071</v>
      </c>
      <c r="AA99" s="21">
        <f>EXP(-LN(2)/25)*AA98+(1-EXP(-LN(2)/25))/(LN(2)/25)*Calculateur!V99*Calculateur!X99*VLOOKUP('Données projet'!$B$9,Paramètres!$A$1:$I$89,3,0)*0.475*44/12</f>
        <v>3.6133540828945643</v>
      </c>
      <c r="AB99" s="21">
        <f>EXP(-LN(2)/2)*AB98+(1-EXP(-LN(2)/2))/(LN(2)/2)*V99*Y99*VLOOKUP('Données projet'!$B$9,Paramètres!$A$1:$I$89,3,0)*0.475*44/12</f>
        <v>2.2532629531578685E-9</v>
      </c>
      <c r="AC99" s="22">
        <f t="shared" si="57"/>
        <v>32.469608398301901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2.2999999999999998</v>
      </c>
      <c r="AI99" s="13">
        <f>IF('Données projet'!$A$62&gt;35,AI98+AH99-AQ98,IF(A99&lt;'Données projet'!$A$62,$AF$205^A99,IF(A99='Données projet'!$A$62,'Données projet'!$B$62,AI98+AH99-AQ98)))</f>
        <v>206.8</v>
      </c>
      <c r="AJ99" s="13">
        <f>AI99*VLOOKUP('Données projet'!$B$10,Paramètres!$A$1:$I$89,3,0)*VLOOKUP('Données projet'!$B$10,Paramètres!$A$1:$I$89,5,0)</f>
        <v>225.82559999999998</v>
      </c>
      <c r="AK99" s="13">
        <f t="shared" si="89"/>
        <v>55.37911872796942</v>
      </c>
      <c r="AL99" s="20">
        <f t="shared" si="58"/>
        <v>489.76488511787994</v>
      </c>
      <c r="AM99" s="59">
        <f t="shared" si="59"/>
        <v>783.09821845121326</v>
      </c>
      <c r="AN99" s="59">
        <f ca="1">AVERAGE(OFFSET($AM$3,0,0,'Données projet'!$E$10+1,1))-AVERAGE(OFFSET($H$3,0,0,'Données projet'!$E$10+1,1))</f>
        <v>223.92539057016376</v>
      </c>
      <c r="AO99" s="59">
        <f t="shared" si="90"/>
        <v>94.125825809616856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19.362861106461608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19.362861106461608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2.2999999999999998</v>
      </c>
      <c r="BD99" s="12">
        <f>IF('Données projet'!$A$88&gt;35,BD98+BC99-BL98,IF(A99&lt;'Données projet'!$A$88,$BA$205^A99,IF(A99='Données projet'!$A$88,'Données projet'!$B$88,BD98+BC99-BL98)))</f>
        <v>206.8</v>
      </c>
      <c r="BE99" s="13">
        <f>BD99*VLOOKUP('Données projet'!$B$11,Paramètres!$A$1:$I$89,3,0)*VLOOKUP('Données projet'!$B$11,Paramètres!$A$1:$I$89,5,0)</f>
        <v>235.50384</v>
      </c>
      <c r="BF99" s="13">
        <f t="shared" si="91"/>
        <v>57.471097586233107</v>
      </c>
      <c r="BG99" s="20">
        <f t="shared" si="61"/>
        <v>510.26468296268939</v>
      </c>
      <c r="BH99" s="59">
        <f t="shared" si="62"/>
        <v>803.59801629602271</v>
      </c>
      <c r="BI99" s="59">
        <f ca="1">AVERAGE(OFFSET($BH$3,0,0,'Données projet'!$E$11+1,1))-AVERAGE(OFFSET($H$3,0,0,'Données projet'!$E$11+1,1))</f>
        <v>236.39682613502913</v>
      </c>
      <c r="BJ99" s="59">
        <f t="shared" si="92"/>
        <v>99.639724892155641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20.192698011024245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20.192698011024245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2.2999999999999998</v>
      </c>
      <c r="CT99" s="12">
        <f>IF('Données projet'!$A$140&gt;35,CT98+CS99-DB98,IF(A99&lt;'Données projet'!$A$140,$CQ$205^A99,IF(A99='Données projet'!$A$140,'Données projet'!$B$140,CT98+CS99-DB98)))</f>
        <v>206.8</v>
      </c>
      <c r="CU99" s="17">
        <f>CT99*VLOOKUP('Données projet'!$B$13,Paramètres!$A$1:$I$89,3,0)*VLOOKUP('Données projet'!$B$13,Paramètres!$A$1:$I$89,5,0)</f>
        <v>174.20832000000001</v>
      </c>
      <c r="CV99" s="13">
        <f t="shared" si="95"/>
        <v>44.031201697939835</v>
      </c>
      <c r="CW99" s="20">
        <f t="shared" si="67"/>
        <v>380.10050029057857</v>
      </c>
      <c r="CX99" s="59">
        <f t="shared" si="68"/>
        <v>673.43383362391182</v>
      </c>
      <c r="CY99" s="59">
        <f ca="1">AVERAGE(OFFSET($CX$3,0,0,'Données projet'!$E$13+1,1))-AVERAGE(OFFSET($H$3,0,0,'Données projet'!$E$13+1,1))</f>
        <v>157.20393815370375</v>
      </c>
      <c r="CZ99" s="59">
        <f t="shared" si="96"/>
        <v>64.616965816756363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14.937064282127524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14.937064282127524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-1.1368683772161603E-13</v>
      </c>
      <c r="DP99" s="17">
        <f>DO99*VLOOKUP('Données projet'!$B$14,Paramètres!$A$1:$I$89,3,0)*VLOOKUP('Données projet'!$B$14,Paramètres!$A$1:$I$89,5,0)</f>
        <v>-9.2222762759774927E-14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221.78186926953776</v>
      </c>
      <c r="DU99" s="59">
        <f t="shared" si="98"/>
        <v>276.69392352410654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48.74508935078638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48.74508935078638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2.2999999999999998</v>
      </c>
      <c r="EJ99" s="12">
        <f>IF('Données projet'!$A$192&gt;35,EJ98+EI99-ER98,IF(A99&lt;'Données projet'!$A$192,$EG$205^A99,IF(A99='Données projet'!$A$192,'Données projet'!$B$192,EJ98+EI99-ER98)))</f>
        <v>206.8</v>
      </c>
      <c r="EK99" s="17">
        <f>EJ99*VLOOKUP('Données projet'!$B$15,Paramètres!$A$1:$I$89,3,0)*VLOOKUP('Données projet'!$B$15,Paramètres!$A$1:$I$89,5,0)</f>
        <v>222.59952000000001</v>
      </c>
      <c r="EL99" s="13">
        <f t="shared" si="99"/>
        <v>54.679491706135877</v>
      </c>
      <c r="EM99" s="20">
        <f t="shared" si="73"/>
        <v>482.92761205485334</v>
      </c>
      <c r="EN99" s="59">
        <f t="shared" si="74"/>
        <v>776.26094538818666</v>
      </c>
      <c r="EO99" s="59">
        <f ca="1">AVERAGE(OFFSET($EN$3,0,0,'Données projet'!$E$15+1,1))-AVERAGE(OFFSET($H$3,0,0,'Données projet'!$E$15+1,1))</f>
        <v>219.76574638403434</v>
      </c>
      <c r="EP99" s="59">
        <f t="shared" si="100"/>
        <v>92.286636088269972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19.08624880494072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19.08624880494072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>
        <f>FE99*VLOOKUP('Données projet'!$B$16,Paramètres!$A$1:$I$89,3,0)*VLOOKUP('Données projet'!$B$16,Paramètres!$A$1:$I$89,5,0)</f>
        <v>0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86.164294406232727</v>
      </c>
      <c r="FK99" s="59">
        <f t="shared" si="102"/>
        <v>138.91188401562334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30.836524251776975</v>
      </c>
      <c r="FR99" s="21">
        <f>EXP(-LN(2)/25)*FR98+(1-EXP(-LN(2)/25))/(LN(2)/25)*Calculateur!FM99*Calculateur!FO99*VLOOKUP('Données projet'!$B$16,Paramètres!$A$1:$I$89,3,0)*0.475*44/12</f>
        <v>15.267512268800932</v>
      </c>
      <c r="FS99" s="21">
        <f>EXP(-LN(2)/2)*FS98+(1-EXP(-LN(2)/2))/(LN(2)/2)*FM99*FP99*VLOOKUP('Données projet'!$B$16,Paramètres!$A$1:$I$89,3,0)*0.475*44/12</f>
        <v>1.3426236637887969E-4</v>
      </c>
      <c r="FT99" s="22">
        <f t="shared" si="78"/>
        <v>46.104170782944287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150.21793637331223</v>
      </c>
      <c r="T100" s="59">
        <f t="shared" si="88"/>
        <v>364.59164590134486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28.29040076665034</v>
      </c>
      <c r="AA100" s="21">
        <f>EXP(-LN(2)/25)*AA99+(1-EXP(-LN(2)/25))/(LN(2)/25)*Calculateur!V100*Calculateur!X100*VLOOKUP('Données projet'!$B$9,Paramètres!$A$1:$I$89,3,0)*0.475*44/12</f>
        <v>3.5145467254797795</v>
      </c>
      <c r="AB100" s="21">
        <f>EXP(-LN(2)/2)*AB99+(1-EXP(-LN(2)/2))/(LN(2)/2)*V100*Y100*VLOOKUP('Données projet'!$B$9,Paramètres!$A$1:$I$89,3,0)*0.475*44/12</f>
        <v>1.5932975139743548E-9</v>
      </c>
      <c r="AC100" s="22">
        <f t="shared" si="57"/>
        <v>31.804947493723414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2.2999999999999998</v>
      </c>
      <c r="AI100" s="13">
        <f>IF('Données projet'!$A$62&gt;35,AI99+AH100-AQ99,IF(A100&lt;'Données projet'!$A$62,$AF$205^A100,IF(A100='Données projet'!$A$62,'Données projet'!$B$62,AI99+AH100-AQ99)))</f>
        <v>209.10000000000002</v>
      </c>
      <c r="AJ100" s="13">
        <f>AI100*VLOOKUP('Données projet'!$B$10,Paramètres!$A$1:$I$89,3,0)*VLOOKUP('Données projet'!$B$10,Paramètres!$A$1:$I$89,5,0)</f>
        <v>228.33720000000002</v>
      </c>
      <c r="AK100" s="13">
        <f t="shared" si="89"/>
        <v>55.922993607595103</v>
      </c>
      <c r="AL100" s="20">
        <f t="shared" si="58"/>
        <v>495.08650386656154</v>
      </c>
      <c r="AM100" s="59">
        <f t="shared" si="59"/>
        <v>788.4198371998948</v>
      </c>
      <c r="AN100" s="59">
        <f ca="1">AVERAGE(OFFSET($AM$3,0,0,'Données projet'!$E$10+1,1))-AVERAGE(OFFSET($H$3,0,0,'Données projet'!$E$10+1,1))</f>
        <v>223.92539057016376</v>
      </c>
      <c r="AO100" s="59">
        <f t="shared" si="90"/>
        <v>94.125825809616856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18.983167210343012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18.983167210343012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2.2999999999999998</v>
      </c>
      <c r="BD100" s="12">
        <f>IF('Données projet'!$A$88&gt;35,BD99+BC100-BL99,IF(A100&lt;'Données projet'!$A$88,$BA$205^A100,IF(A100='Données projet'!$A$88,'Données projet'!$B$88,BD99+BC100-BL99)))</f>
        <v>209.10000000000002</v>
      </c>
      <c r="BE100" s="13">
        <f>BD100*VLOOKUP('Données projet'!$B$11,Paramètres!$A$1:$I$89,3,0)*VLOOKUP('Données projet'!$B$11,Paramètres!$A$1:$I$89,5,0)</f>
        <v>238.12308000000002</v>
      </c>
      <c r="BF100" s="13">
        <f t="shared" si="91"/>
        <v>58.035517660073666</v>
      </c>
      <c r="BG100" s="20">
        <f t="shared" si="61"/>
        <v>515.80955759129495</v>
      </c>
      <c r="BH100" s="59">
        <f t="shared" si="62"/>
        <v>809.14289092462832</v>
      </c>
      <c r="BI100" s="59">
        <f ca="1">AVERAGE(OFFSET($BH$3,0,0,'Données projet'!$E$11+1,1))-AVERAGE(OFFSET($H$3,0,0,'Données projet'!$E$11+1,1))</f>
        <v>236.39682613502913</v>
      </c>
      <c r="BJ100" s="59">
        <f t="shared" si="92"/>
        <v>99.639724892155641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19.79673151935771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19.79673151935771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2.2999999999999998</v>
      </c>
      <c r="CT100" s="12">
        <f>IF('Données projet'!$A$140&gt;35,CT99+CS100-DB99,IF(A100&lt;'Données projet'!$A$140,$CQ$205^A100,IF(A100='Données projet'!$A$140,'Données projet'!$B$140,CT99+CS100-DB99)))</f>
        <v>209.10000000000002</v>
      </c>
      <c r="CU100" s="17">
        <f>CT100*VLOOKUP('Données projet'!$B$13,Paramètres!$A$1:$I$89,3,0)*VLOOKUP('Données projet'!$B$13,Paramètres!$A$1:$I$89,5,0)</f>
        <v>176.14584000000002</v>
      </c>
      <c r="CV100" s="13">
        <f t="shared" si="95"/>
        <v>44.46362939042217</v>
      </c>
      <c r="CW100" s="20">
        <f t="shared" si="67"/>
        <v>384.22815918831861</v>
      </c>
      <c r="CX100" s="59">
        <f t="shared" si="68"/>
        <v>677.56149252165187</v>
      </c>
      <c r="CY100" s="59">
        <f ca="1">AVERAGE(OFFSET($CX$3,0,0,'Données projet'!$E$13+1,1))-AVERAGE(OFFSET($H$3,0,0,'Données projet'!$E$13+1,1))</f>
        <v>157.20393815370375</v>
      </c>
      <c r="CZ100" s="59">
        <f t="shared" si="96"/>
        <v>64.616965816756363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14.644157562264608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14.644157562264608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-1.1368683772161603E-13</v>
      </c>
      <c r="DP100" s="17">
        <f>DO100*VLOOKUP('Données projet'!$B$14,Paramètres!$A$1:$I$89,3,0)*VLOOKUP('Données projet'!$B$14,Paramètres!$A$1:$I$89,5,0)</f>
        <v>-9.2222762759774927E-14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221.78186926953776</v>
      </c>
      <c r="DU100" s="59">
        <f t="shared" si="98"/>
        <v>276.69392352410654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47.789227880186218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47.789227880186218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2.2999999999999998</v>
      </c>
      <c r="EJ100" s="12">
        <f>IF('Données projet'!$A$192&gt;35,EJ99+EI100-ER99,IF(A100&lt;'Données projet'!$A$192,$EG$205^A100,IF(A100='Données projet'!$A$192,'Données projet'!$B$192,EJ99+EI100-ER99)))</f>
        <v>209.10000000000002</v>
      </c>
      <c r="EK100" s="17">
        <f>EJ100*VLOOKUP('Données projet'!$B$15,Paramètres!$A$1:$I$89,3,0)*VLOOKUP('Données projet'!$B$15,Paramètres!$A$1:$I$89,5,0)</f>
        <v>225.07524000000001</v>
      </c>
      <c r="EL100" s="13">
        <f t="shared" si="99"/>
        <v>55.216495592307254</v>
      </c>
      <c r="EM100" s="20">
        <f t="shared" si="73"/>
        <v>488.17477282326837</v>
      </c>
      <c r="EN100" s="59">
        <f t="shared" si="74"/>
        <v>781.50810615660168</v>
      </c>
      <c r="EO100" s="59">
        <f ca="1">AVERAGE(OFFSET($EN$3,0,0,'Données projet'!$E$15+1,1))-AVERAGE(OFFSET($H$3,0,0,'Données projet'!$E$15+1,1))</f>
        <v>219.76574638403434</v>
      </c>
      <c r="EP100" s="59">
        <f t="shared" si="100"/>
        <v>92.286636088269972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18.711979107338106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18.711979107338106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>
        <f>FE100*VLOOKUP('Données projet'!$B$16,Paramètres!$A$1:$I$89,3,0)*VLOOKUP('Données projet'!$B$16,Paramètres!$A$1:$I$89,5,0)</f>
        <v>0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86.164294406232727</v>
      </c>
      <c r="FK100" s="59">
        <f t="shared" si="102"/>
        <v>138.91188401562334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30.231838819622244</v>
      </c>
      <c r="FR100" s="21">
        <f>EXP(-LN(2)/25)*FR99+(1-EXP(-LN(2)/25))/(LN(2)/25)*Calculateur!FM100*Calculateur!FO100*VLOOKUP('Données projet'!$B$16,Paramètres!$A$1:$I$89,3,0)*0.475*44/12</f>
        <v>14.850021342926995</v>
      </c>
      <c r="FS100" s="21">
        <f>EXP(-LN(2)/2)*FS99+(1-EXP(-LN(2)/2))/(LN(2)/2)*FM100*FP100*VLOOKUP('Données projet'!$B$16,Paramètres!$A$1:$I$89,3,0)*0.475*44/12</f>
        <v>9.4937829724658557E-5</v>
      </c>
      <c r="FT100" s="22">
        <f t="shared" si="78"/>
        <v>45.081955100378963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150.21793637331223</v>
      </c>
      <c r="T101" s="59">
        <f t="shared" si="88"/>
        <v>364.59164590134486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27.735643263056961</v>
      </c>
      <c r="AA101" s="21">
        <f>EXP(-LN(2)/25)*AA100+(1-EXP(-LN(2)/25))/(LN(2)/25)*Calculateur!V101*Calculateur!X101*VLOOKUP('Données projet'!$B$9,Paramètres!$A$1:$I$89,3,0)*0.475*44/12</f>
        <v>3.4184412604495553</v>
      </c>
      <c r="AB101" s="21">
        <f>EXP(-LN(2)/2)*AB100+(1-EXP(-LN(2)/2))/(LN(2)/2)*V101*Y101*VLOOKUP('Données projet'!$B$9,Paramètres!$A$1:$I$89,3,0)*0.475*44/12</f>
        <v>1.1266314765789343E-9</v>
      </c>
      <c r="AC101" s="22">
        <f t="shared" si="57"/>
        <v>31.154084524633149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2.2999999999999998</v>
      </c>
      <c r="AI101" s="13">
        <f>IF('Données projet'!$A$62&gt;35,AI100+AH101-AQ100,IF(A101&lt;'Données projet'!$A$62,$AF$205^A101,IF(A101='Données projet'!$A$62,'Données projet'!$B$62,AI100+AH101-AQ100)))</f>
        <v>211.40000000000003</v>
      </c>
      <c r="AJ101" s="13">
        <f>AI101*VLOOKUP('Données projet'!$B$10,Paramètres!$A$1:$I$89,3,0)*VLOOKUP('Données projet'!$B$10,Paramètres!$A$1:$I$89,5,0)</f>
        <v>230.84880000000004</v>
      </c>
      <c r="AK101" s="13">
        <f t="shared" si="89"/>
        <v>56.466172570851946</v>
      </c>
      <c r="AL101" s="20">
        <f t="shared" si="58"/>
        <v>500.40691056090049</v>
      </c>
      <c r="AM101" s="59">
        <f t="shared" si="59"/>
        <v>793.7402438942338</v>
      </c>
      <c r="AN101" s="59">
        <f ca="1">AVERAGE(OFFSET($AM$3,0,0,'Données projet'!$E$10+1,1))-AVERAGE(OFFSET($H$3,0,0,'Données projet'!$E$10+1,1))</f>
        <v>223.92539057016376</v>
      </c>
      <c r="AO101" s="59">
        <f t="shared" si="90"/>
        <v>94.125825809616856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18.610918879936893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18.610918879936893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2.2999999999999998</v>
      </c>
      <c r="BD101" s="12">
        <f>IF('Données projet'!$A$88&gt;35,BD100+BC101-BL100,IF(A101&lt;'Données projet'!$A$88,$BA$205^A101,IF(A101='Données projet'!$A$88,'Données projet'!$B$88,BD100+BC101-BL100)))</f>
        <v>211.40000000000003</v>
      </c>
      <c r="BE101" s="13">
        <f>BD101*VLOOKUP('Données projet'!$B$11,Paramètres!$A$1:$I$89,3,0)*VLOOKUP('Données projet'!$B$11,Paramètres!$A$1:$I$89,5,0)</f>
        <v>240.74232000000006</v>
      </c>
      <c r="BF101" s="13">
        <f t="shared" si="91"/>
        <v>58.599215528894327</v>
      </c>
      <c r="BG101" s="20">
        <f t="shared" si="61"/>
        <v>521.35317437949095</v>
      </c>
      <c r="BH101" s="59">
        <f t="shared" si="62"/>
        <v>814.68650771282432</v>
      </c>
      <c r="BI101" s="59">
        <f ca="1">AVERAGE(OFFSET($BH$3,0,0,'Données projet'!$E$11+1,1))-AVERAGE(OFFSET($H$3,0,0,'Données projet'!$E$11+1,1))</f>
        <v>236.39682613502913</v>
      </c>
      <c r="BJ101" s="59">
        <f t="shared" si="92"/>
        <v>99.639724892155641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19.408529689077042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19.408529689077042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2.2999999999999998</v>
      </c>
      <c r="CT101" s="12">
        <f>IF('Données projet'!$A$140&gt;35,CT100+CS101-DB100,IF(A101&lt;'Données projet'!$A$140,$CQ$205^A101,IF(A101='Données projet'!$A$140,'Données projet'!$B$140,CT100+CS101-DB100)))</f>
        <v>211.40000000000003</v>
      </c>
      <c r="CU101" s="17">
        <f>CT101*VLOOKUP('Données projet'!$B$13,Paramètres!$A$1:$I$89,3,0)*VLOOKUP('Données projet'!$B$13,Paramètres!$A$1:$I$89,5,0)</f>
        <v>178.08336000000003</v>
      </c>
      <c r="CV101" s="13">
        <f t="shared" si="95"/>
        <v>44.895503769043486</v>
      </c>
      <c r="CW101" s="20">
        <f t="shared" si="67"/>
        <v>388.35485439775078</v>
      </c>
      <c r="CX101" s="59">
        <f t="shared" si="68"/>
        <v>681.6881877310841</v>
      </c>
      <c r="CY101" s="59">
        <f ca="1">AVERAGE(OFFSET($CX$3,0,0,'Données projet'!$E$13+1,1))-AVERAGE(OFFSET($H$3,0,0,'Données projet'!$E$13+1,1))</f>
        <v>157.20393815370375</v>
      </c>
      <c r="CZ101" s="59">
        <f t="shared" si="96"/>
        <v>64.616965816756363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14.356994564522745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14.356994564522745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-1.1368683772161603E-13</v>
      </c>
      <c r="DP101" s="17">
        <f>DO101*VLOOKUP('Données projet'!$B$14,Paramètres!$A$1:$I$89,3,0)*VLOOKUP('Données projet'!$B$14,Paramètres!$A$1:$I$89,5,0)</f>
        <v>-9.2222762759774927E-14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221.78186926953776</v>
      </c>
      <c r="DU101" s="59">
        <f t="shared" si="98"/>
        <v>276.69392352410654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46.852110270006591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46.852110270006591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2.2999999999999998</v>
      </c>
      <c r="EJ101" s="12">
        <f>IF('Données projet'!$A$192&gt;35,EJ100+EI101-ER100,IF(A101&lt;'Données projet'!$A$192,$EG$205^A101,IF(A101='Données projet'!$A$192,'Données projet'!$B$192,EJ100+EI101-ER100)))</f>
        <v>211.40000000000003</v>
      </c>
      <c r="EK101" s="17">
        <f>EJ101*VLOOKUP('Données projet'!$B$15,Paramètres!$A$1:$I$89,3,0)*VLOOKUP('Données projet'!$B$15,Paramètres!$A$1:$I$89,5,0)</f>
        <v>227.55096000000003</v>
      </c>
      <c r="EL101" s="13">
        <f t="shared" si="99"/>
        <v>55.752812353905504</v>
      </c>
      <c r="EM101" s="20">
        <f t="shared" si="73"/>
        <v>493.42073684971882</v>
      </c>
      <c r="EN101" s="59">
        <f t="shared" si="74"/>
        <v>786.75407018305214</v>
      </c>
      <c r="EO101" s="59">
        <f ca="1">AVERAGE(OFFSET($EN$3,0,0,'Données projet'!$E$15+1,1))-AVERAGE(OFFSET($H$3,0,0,'Données projet'!$E$15+1,1))</f>
        <v>219.76574638403434</v>
      </c>
      <c r="EP101" s="59">
        <f t="shared" si="100"/>
        <v>92.286636088269972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18.345048610223504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18.345048610223504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>
        <f>FE101*VLOOKUP('Données projet'!$B$16,Paramètres!$A$1:$I$89,3,0)*VLOOKUP('Données projet'!$B$16,Paramètres!$A$1:$I$89,5,0)</f>
        <v>0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86.164294406232727</v>
      </c>
      <c r="FK101" s="59">
        <f t="shared" si="102"/>
        <v>138.91188401562334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29.639010899970373</v>
      </c>
      <c r="FR101" s="21">
        <f>EXP(-LN(2)/25)*FR100+(1-EXP(-LN(2)/25))/(LN(2)/25)*Calculateur!FM101*Calculateur!FO101*VLOOKUP('Données projet'!$B$16,Paramètres!$A$1:$I$89,3,0)*0.475*44/12</f>
        <v>14.443946728375975</v>
      </c>
      <c r="FS101" s="21">
        <f>EXP(-LN(2)/2)*FS100+(1-EXP(-LN(2)/2))/(LN(2)/2)*FM101*FP101*VLOOKUP('Données projet'!$B$16,Paramètres!$A$1:$I$89,3,0)*0.475*44/12</f>
        <v>6.7131183189439846E-5</v>
      </c>
      <c r="FT101" s="22">
        <f t="shared" si="78"/>
        <v>44.083024759529536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150.21793637331223</v>
      </c>
      <c r="T102" s="59">
        <f t="shared" si="88"/>
        <v>364.59164590134486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27.191764215740381</v>
      </c>
      <c r="AA102" s="21">
        <f>EXP(-LN(2)/25)*AA101+(1-EXP(-LN(2)/25))/(LN(2)/25)*Calculateur!V102*Calculateur!X102*VLOOKUP('Données projet'!$B$9,Paramètres!$A$1:$I$89,3,0)*0.475*44/12</f>
        <v>3.3249638044145491</v>
      </c>
      <c r="AB102" s="21">
        <f>EXP(-LN(2)/2)*AB101+(1-EXP(-LN(2)/2))/(LN(2)/2)*V102*Y102*VLOOKUP('Données projet'!$B$9,Paramètres!$A$1:$I$89,3,0)*0.475*44/12</f>
        <v>7.9664875698717742E-10</v>
      </c>
      <c r="AC102" s="22">
        <f t="shared" si="57"/>
        <v>30.516728020951579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2.2999999999999998</v>
      </c>
      <c r="AI102" s="13">
        <f>IF('Données projet'!$A$62&gt;35,AI101+AH102-AQ101,IF(A102&lt;'Données projet'!$A$62,$AF$205^A102,IF(A102='Données projet'!$A$62,'Données projet'!$B$62,AI101+AH102-AQ101)))</f>
        <v>213.70000000000005</v>
      </c>
      <c r="AJ102" s="13">
        <f>AI102*VLOOKUP('Données projet'!$B$10,Paramètres!$A$1:$I$89,3,0)*VLOOKUP('Données projet'!$B$10,Paramètres!$A$1:$I$89,5,0)</f>
        <v>233.36040000000006</v>
      </c>
      <c r="AK102" s="13">
        <f t="shared" si="89"/>
        <v>57.008664065508064</v>
      </c>
      <c r="AL102" s="20">
        <f t="shared" si="58"/>
        <v>505.7261199140932</v>
      </c>
      <c r="AM102" s="59">
        <f t="shared" si="59"/>
        <v>799.05945324742652</v>
      </c>
      <c r="AN102" s="59">
        <f ca="1">AVERAGE(OFFSET($AM$3,0,0,'Données projet'!$E$10+1,1))-AVERAGE(OFFSET($H$3,0,0,'Données projet'!$E$10+1,1))</f>
        <v>223.92539057016376</v>
      </c>
      <c r="AO102" s="59">
        <f t="shared" si="90"/>
        <v>94.125825809616856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18.245970112240975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18.245970112240975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2.2999999999999998</v>
      </c>
      <c r="BD102" s="12">
        <f>IF('Données projet'!$A$88&gt;35,BD101+BC102-BL101,IF(A102&lt;'Données projet'!$A$88,$BA$205^A102,IF(A102='Données projet'!$A$88,'Données projet'!$B$88,BD101+BC102-BL101)))</f>
        <v>213.70000000000005</v>
      </c>
      <c r="BE102" s="13">
        <f>BD102*VLOOKUP('Données projet'!$B$11,Paramètres!$A$1:$I$89,3,0)*VLOOKUP('Données projet'!$B$11,Paramètres!$A$1:$I$89,5,0)</f>
        <v>243.36156000000005</v>
      </c>
      <c r="BF102" s="13">
        <f t="shared" si="91"/>
        <v>59.162199959582537</v>
      </c>
      <c r="BG102" s="20">
        <f t="shared" si="61"/>
        <v>526.89554859627299</v>
      </c>
      <c r="BH102" s="59">
        <f t="shared" si="62"/>
        <v>820.22888192960636</v>
      </c>
      <c r="BI102" s="59">
        <f ca="1">AVERAGE(OFFSET($BH$3,0,0,'Données projet'!$E$11+1,1))-AVERAGE(OFFSET($H$3,0,0,'Données projet'!$E$11+1,1))</f>
        <v>236.39682613502913</v>
      </c>
      <c r="BJ102" s="59">
        <f t="shared" si="92"/>
        <v>99.639724892155641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19.027940259908444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19.027940259908444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2.2999999999999998</v>
      </c>
      <c r="CT102" s="12">
        <f>IF('Données projet'!$A$140&gt;35,CT101+CS102-DB101,IF(A102&lt;'Données projet'!$A$140,$CQ$205^A102,IF(A102='Données projet'!$A$140,'Données projet'!$B$140,CT101+CS102-DB101)))</f>
        <v>213.70000000000005</v>
      </c>
      <c r="CU102" s="17">
        <f>CT102*VLOOKUP('Données projet'!$B$13,Paramètres!$A$1:$I$89,3,0)*VLOOKUP('Données projet'!$B$13,Paramètres!$A$1:$I$89,5,0)</f>
        <v>180.02088000000006</v>
      </c>
      <c r="CV102" s="13">
        <f t="shared" si="95"/>
        <v>45.326831550512075</v>
      </c>
      <c r="CW102" s="20">
        <f t="shared" si="67"/>
        <v>392.48059761714194</v>
      </c>
      <c r="CX102" s="59">
        <f t="shared" si="68"/>
        <v>685.8139309504752</v>
      </c>
      <c r="CY102" s="59">
        <f ca="1">AVERAGE(OFFSET($CX$3,0,0,'Données projet'!$E$13+1,1))-AVERAGE(OFFSET($H$3,0,0,'Données projet'!$E$13+1,1))</f>
        <v>157.20393815370375</v>
      </c>
      <c r="CZ102" s="59">
        <f t="shared" si="96"/>
        <v>64.616965816756363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14.075462658014466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14.075462658014466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-1.1368683772161603E-13</v>
      </c>
      <c r="DP102" s="17">
        <f>DO102*VLOOKUP('Données projet'!$B$14,Paramètres!$A$1:$I$89,3,0)*VLOOKUP('Données projet'!$B$14,Paramètres!$A$1:$I$89,5,0)</f>
        <v>-9.2222762759774927E-14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221.78186926953776</v>
      </c>
      <c r="DU102" s="59">
        <f t="shared" si="98"/>
        <v>276.69392352410654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45.933368964577284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45.933368964577284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2.2999999999999998</v>
      </c>
      <c r="EJ102" s="12">
        <f>IF('Données projet'!$A$192&gt;35,EJ101+EI102-ER101,IF(A102&lt;'Données projet'!$A$192,$EG$205^A102,IF(A102='Données projet'!$A$192,'Données projet'!$B$192,EJ101+EI102-ER101)))</f>
        <v>213.70000000000005</v>
      </c>
      <c r="EK102" s="17">
        <f>EJ102*VLOOKUP('Données projet'!$B$15,Paramètres!$A$1:$I$89,3,0)*VLOOKUP('Données projet'!$B$15,Paramètres!$A$1:$I$89,5,0)</f>
        <v>230.02668000000006</v>
      </c>
      <c r="EL102" s="13">
        <f t="shared" si="99"/>
        <v>56.288450331974616</v>
      </c>
      <c r="EM102" s="20">
        <f t="shared" si="73"/>
        <v>498.66551866152253</v>
      </c>
      <c r="EN102" s="59">
        <f t="shared" si="74"/>
        <v>791.99885199485584</v>
      </c>
      <c r="EO102" s="59">
        <f ca="1">AVERAGE(OFFSET($EN$3,0,0,'Données projet'!$E$15+1,1))-AVERAGE(OFFSET($H$3,0,0,'Données projet'!$E$15+1,1))</f>
        <v>219.76574638403434</v>
      </c>
      <c r="EP102" s="59">
        <f t="shared" si="100"/>
        <v>92.286636088269972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17.985313396351813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17.985313396351813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>
        <f>FE102*VLOOKUP('Données projet'!$B$16,Paramètres!$A$1:$I$89,3,0)*VLOOKUP('Données projet'!$B$16,Paramètres!$A$1:$I$89,5,0)</f>
        <v>0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86.164294406232727</v>
      </c>
      <c r="FK102" s="59">
        <f t="shared" si="102"/>
        <v>138.91188401562334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29.057807974233548</v>
      </c>
      <c r="FR102" s="21">
        <f>EXP(-LN(2)/25)*FR101+(1-EXP(-LN(2)/25))/(LN(2)/25)*Calculateur!FM102*Calculateur!FO102*VLOOKUP('Données projet'!$B$16,Paramètres!$A$1:$I$89,3,0)*0.475*44/12</f>
        <v>14.048976245514387</v>
      </c>
      <c r="FS102" s="21">
        <f>EXP(-LN(2)/2)*FS101+(1-EXP(-LN(2)/2))/(LN(2)/2)*FM102*FP102*VLOOKUP('Données projet'!$B$16,Paramètres!$A$1:$I$89,3,0)*0.475*44/12</f>
        <v>4.7468914862329279E-5</v>
      </c>
      <c r="FT102" s="22">
        <f t="shared" si="78"/>
        <v>43.106831688662801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150.21793637331223</v>
      </c>
      <c r="T103" s="59">
        <f t="shared" si="88"/>
        <v>364.59164590134486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26.658550304808216</v>
      </c>
      <c r="AA103" s="21">
        <f>EXP(-LN(2)/25)*AA102+(1-EXP(-LN(2)/25))/(LN(2)/25)*Calculateur!V103*Calculateur!X103*VLOOKUP('Données projet'!$B$9,Paramètres!$A$1:$I$89,3,0)*0.475*44/12</f>
        <v>3.2340424943305859</v>
      </c>
      <c r="AB103" s="21">
        <f>EXP(-LN(2)/2)*AB102+(1-EXP(-LN(2)/2))/(LN(2)/2)*V103*Y103*VLOOKUP('Données projet'!$B$9,Paramètres!$A$1:$I$89,3,0)*0.475*44/12</f>
        <v>5.6331573828946713E-10</v>
      </c>
      <c r="AC103" s="22">
        <f t="shared" si="57"/>
        <v>29.892592799702118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216</v>
      </c>
      <c r="AG103" s="12">
        <f>VLOOKUP(A103,'Données projet'!$A$61:$I$81,9,0)</f>
        <v>2.2999999999999998</v>
      </c>
      <c r="AH103" s="12">
        <f t="array" ref="AH103">INDEX(AG:AG,MIN(IF(ISNUMBER(AG103:AG299),ROW(AG103:AG299),"")))</f>
        <v>2.2999999999999998</v>
      </c>
      <c r="AI103" s="13">
        <f>IF('Données projet'!$A$62&gt;35,AI102+AH103-AQ102,IF(A103&lt;'Données projet'!$A$62,$AF$205^A103,IF(A103='Données projet'!$A$62,'Données projet'!$B$62,AI102+AH103-AQ102)))</f>
        <v>216.00000000000006</v>
      </c>
      <c r="AJ103" s="13">
        <f>AI103*VLOOKUP('Données projet'!$B$10,Paramètres!$A$1:$I$89,3,0)*VLOOKUP('Données projet'!$B$10,Paramètres!$A$1:$I$89,5,0)</f>
        <v>235.87200000000004</v>
      </c>
      <c r="AK103" s="13">
        <f t="shared" si="89"/>
        <v>57.550476347015277</v>
      </c>
      <c r="AL103" s="20">
        <f t="shared" si="58"/>
        <v>511.04414630438492</v>
      </c>
      <c r="AM103" s="59">
        <f t="shared" si="59"/>
        <v>804.37747963771824</v>
      </c>
      <c r="AN103" s="59">
        <f ca="1">AVERAGE(OFFSET($AM$3,0,0,'Données projet'!$E$10+1,1))-AVERAGE(OFFSET($H$3,0,0,'Données projet'!$E$10+1,1))</f>
        <v>223.92539057016376</v>
      </c>
      <c r="AO103" s="59">
        <f t="shared" si="90"/>
        <v>94.125825809616856</v>
      </c>
      <c r="AP103" s="15">
        <f>IF(ISNA(VLOOKUP(A103,'Données projet'!$A$61:$I$81,3,0)),0,VLOOKUP(A103,'Données projet'!$A$61:$I$81,3,0))</f>
        <v>16</v>
      </c>
      <c r="AQ103" s="15">
        <f>IF(ISNA(VLOOKUP(A103,'Données projet'!$A$61:$I$81,4,0)),0,VLOOKUP(A103,'Données projet'!$A$61:$I$81,4,0))</f>
        <v>14</v>
      </c>
      <c r="AR103" s="16">
        <f>IF(ISNA(VLOOKUP(A103,'Données projet'!$A$61:$I$81,5,0)),0%,VLOOKUP(A103,'Données projet'!$A$61:$I$81,5,0)*VLOOKUP('Données projet'!$B$10,Paramètres!$A$1:$I$89,7,0))</f>
        <v>0.30099999999999999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22.975207547135028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22.975207547135028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216</v>
      </c>
      <c r="BB103" s="12">
        <f>VLOOKUP(A103,'Données projet'!$A$87:$I$107,9,0)</f>
        <v>2.2999999999999998</v>
      </c>
      <c r="BC103" s="12">
        <f t="array" ref="BC103">INDEX(BB:BB,MIN(IF(ISNUMBER(BB103:BB299),ROW(BB103:BB299),"")))</f>
        <v>2.2999999999999998</v>
      </c>
      <c r="BD103" s="12">
        <f>IF('Données projet'!$A$88&gt;35,BD102+BC103-BL102,IF(A103&lt;'Données projet'!$A$88,$BA$205^A103,IF(A103='Données projet'!$A$88,'Données projet'!$B$88,BD102+BC103-BL102)))</f>
        <v>216.00000000000006</v>
      </c>
      <c r="BE103" s="13">
        <f>BD103*VLOOKUP('Données projet'!$B$11,Paramètres!$A$1:$I$89,3,0)*VLOOKUP('Données projet'!$B$11,Paramètres!$A$1:$I$89,5,0)</f>
        <v>245.98080000000007</v>
      </c>
      <c r="BF103" s="13">
        <f t="shared" si="91"/>
        <v>59.724479519444863</v>
      </c>
      <c r="BG103" s="20">
        <f t="shared" si="61"/>
        <v>532.43669516303328</v>
      </c>
      <c r="BH103" s="59">
        <f t="shared" si="62"/>
        <v>825.77002849636665</v>
      </c>
      <c r="BI103" s="59">
        <f ca="1">AVERAGE(OFFSET($BH$3,0,0,'Données projet'!$E$11+1,1))-AVERAGE(OFFSET($H$3,0,0,'Données projet'!$E$11+1,1))</f>
        <v>236.39682613502913</v>
      </c>
      <c r="BJ103" s="59">
        <f t="shared" si="92"/>
        <v>99.639724892155641</v>
      </c>
      <c r="BK103" s="15">
        <f>IF(ISNA(VLOOKUP(A103,'Données projet'!$A$87:$I$107,3,0)),0,VLOOKUP(A103,'Données projet'!$A$87:$I$107,3,0))</f>
        <v>16</v>
      </c>
      <c r="BL103" s="15">
        <f>IF(ISNA(VLOOKUP(A103,'Données projet'!$A$87:$I$107,4,0)),0,VLOOKUP(A103,'Données projet'!$A$87:$I$107,4,0))</f>
        <v>14</v>
      </c>
      <c r="BM103" s="16">
        <f>IF(ISNA(VLOOKUP(A103,'Données projet'!$A$87:$I$107,5,0)),0%,VLOOKUP(A103,'Données projet'!$A$87:$I$107,5,0)*VLOOKUP('Données projet'!$B$11,Paramètres!$A$1:$I$89,7,0))</f>
        <v>0.30099999999999999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23.959859299155099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23.959859299155099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216</v>
      </c>
      <c r="CR103" s="12">
        <f>VLOOKUP(A103,'Données projet'!$A$139:$I$159,9,0)</f>
        <v>2.2999999999999998</v>
      </c>
      <c r="CS103" s="12">
        <f t="array" ref="CS103">INDEX(CR:CR,MIN(IF(ISNUMBER(CR103:CR299),ROW(CR103:CR299),"")))</f>
        <v>2.2999999999999998</v>
      </c>
      <c r="CT103" s="12">
        <f>IF('Données projet'!$A$140&gt;35,CT102+CS103-DB102,IF(A103&lt;'Données projet'!$A$140,$CQ$205^A103,IF(A103='Données projet'!$A$140,'Données projet'!$B$140,CT102+CS103-DB102)))</f>
        <v>216.00000000000006</v>
      </c>
      <c r="CU103" s="17">
        <f>CT103*VLOOKUP('Données projet'!$B$13,Paramètres!$A$1:$I$89,3,0)*VLOOKUP('Données projet'!$B$13,Paramètres!$A$1:$I$89,5,0)</f>
        <v>181.95840000000007</v>
      </c>
      <c r="CV103" s="13">
        <f t="shared" si="95"/>
        <v>45.757619298628008</v>
      </c>
      <c r="CW103" s="20">
        <f t="shared" si="67"/>
        <v>396.60540027844394</v>
      </c>
      <c r="CX103" s="59">
        <f t="shared" si="68"/>
        <v>689.93873361177725</v>
      </c>
      <c r="CY103" s="59">
        <f ca="1">AVERAGE(OFFSET($CX$3,0,0,'Données projet'!$E$13+1,1))-AVERAGE(OFFSET($H$3,0,0,'Données projet'!$E$13+1,1))</f>
        <v>157.20393815370375</v>
      </c>
      <c r="CZ103" s="59">
        <f t="shared" si="96"/>
        <v>64.616965816756363</v>
      </c>
      <c r="DA103" s="15">
        <f>IF(ISNA(VLOOKUP(A103,'Données projet'!$A$139:$I$159,3,0)),0,VLOOKUP(A103,'Données projet'!$A$139:$I$159,3,0))</f>
        <v>16</v>
      </c>
      <c r="DB103" s="15">
        <f>IF(ISNA(VLOOKUP(A103,'Données projet'!$A$139:$I$159,4,0)),0,VLOOKUP(A103,'Données projet'!$A$139:$I$159,4,0))</f>
        <v>14</v>
      </c>
      <c r="DC103" s="16">
        <f>IF(ISNA(VLOOKUP(A103,'Données projet'!$A$139:$I$159,5,0)),0%,VLOOKUP(A103,'Données projet'!$A$139:$I$159,5,0)*VLOOKUP('Données projet'!$B$13,Paramètres!$A$1:$I$89,7,0))</f>
        <v>0.30099999999999999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17.723731536361306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17.723731536361306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-1.1368683772161603E-13</v>
      </c>
      <c r="DP103" s="17">
        <f>DO103*VLOOKUP('Données projet'!$B$14,Paramètres!$A$1:$I$89,3,0)*VLOOKUP('Données projet'!$B$14,Paramètres!$A$1:$I$89,5,0)</f>
        <v>-9.2222762759774927E-14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221.78186926953776</v>
      </c>
      <c r="DU103" s="59">
        <f t="shared" si="98"/>
        <v>276.69392352410654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45.032643615770581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45.032643615770581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216</v>
      </c>
      <c r="EH103" s="12">
        <f>VLOOKUP(A103,'Données projet'!$A$191:$I$211,9,0)</f>
        <v>2.2999999999999998</v>
      </c>
      <c r="EI103" s="12">
        <f t="array" ref="EI103">INDEX(EH:EH,MIN(IF(ISNUMBER(EH103:EH299),ROW(EH103:EH299),"")))</f>
        <v>2.2999999999999998</v>
      </c>
      <c r="EJ103" s="12">
        <f>IF('Données projet'!$A$192&gt;35,EJ102+EI103-ER102,IF(A103&lt;'Données projet'!$A$192,$EG$205^A103,IF(A103='Données projet'!$A$192,'Données projet'!$B$192,EJ102+EI103-ER102)))</f>
        <v>216.00000000000006</v>
      </c>
      <c r="EK103" s="17">
        <f>EJ103*VLOOKUP('Données projet'!$B$15,Paramètres!$A$1:$I$89,3,0)*VLOOKUP('Données projet'!$B$15,Paramètres!$A$1:$I$89,5,0)</f>
        <v>232.50240000000005</v>
      </c>
      <c r="EL103" s="13">
        <f t="shared" si="99"/>
        <v>56.823417677671891</v>
      </c>
      <c r="EM103" s="20">
        <f t="shared" si="73"/>
        <v>503.90913245527855</v>
      </c>
      <c r="EN103" s="59">
        <f t="shared" si="74"/>
        <v>797.24246578861187</v>
      </c>
      <c r="EO103" s="59">
        <f ca="1">AVERAGE(OFFSET($EN$3,0,0,'Données projet'!$E$15+1,1))-AVERAGE(OFFSET($H$3,0,0,'Données projet'!$E$15+1,1))</f>
        <v>219.76574638403434</v>
      </c>
      <c r="EP103" s="59">
        <f t="shared" si="100"/>
        <v>92.286636088269972</v>
      </c>
      <c r="EQ103" s="15">
        <f>IF(ISNA(VLOOKUP(A103,'Données projet'!$A$191:$I$211,3,0)),0,VLOOKUP(A103,'Données projet'!$A$191:$I$211,3,0))</f>
        <v>16</v>
      </c>
      <c r="ER103" s="15">
        <f>IF(ISNA(VLOOKUP(A103,'Données projet'!$A$191:$I$211,4,0)),0,VLOOKUP(A103,'Données projet'!$A$191:$I$211,4,0))</f>
        <v>14</v>
      </c>
      <c r="ES103" s="16">
        <f>IF(ISNA(VLOOKUP(A103,'Données projet'!$A$191:$I$211,5,0)),0%,VLOOKUP(A103,'Données projet'!$A$191:$I$211,5,0)*VLOOKUP('Données projet'!$B$15,Paramètres!$A$1:$I$89,7,0))</f>
        <v>0.30099999999999999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22.646990296461667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22.646990296461667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>
        <f>FE103*VLOOKUP('Données projet'!$B$16,Paramètres!$A$1:$I$89,3,0)*VLOOKUP('Données projet'!$B$16,Paramètres!$A$1:$I$89,5,0)</f>
        <v>0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86.164294406232727</v>
      </c>
      <c r="FK103" s="59">
        <f t="shared" si="102"/>
        <v>138.91188401562334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28.48800208337164</v>
      </c>
      <c r="FR103" s="21">
        <f>EXP(-LN(2)/25)*FR102+(1-EXP(-LN(2)/25))/(LN(2)/25)*Calculateur!FM103*Calculateur!FO103*VLOOKUP('Données projet'!$B$16,Paramètres!$A$1:$I$89,3,0)*0.475*44/12</f>
        <v>13.664806251277245</v>
      </c>
      <c r="FS103" s="21">
        <f>EXP(-LN(2)/2)*FS102+(1-EXP(-LN(2)/2))/(LN(2)/2)*FM103*FP103*VLOOKUP('Données projet'!$B$16,Paramètres!$A$1:$I$89,3,0)*0.475*44/12</f>
        <v>3.3565591594719923E-5</v>
      </c>
      <c r="FT103" s="22">
        <f t="shared" si="78"/>
        <v>42.152841900240475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150.21793637331223</v>
      </c>
      <c r="T104" s="59">
        <f t="shared" si="88"/>
        <v>364.59164590134486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26.135792393441061</v>
      </c>
      <c r="AA104" s="21">
        <f>EXP(-LN(2)/25)*AA103+(1-EXP(-LN(2)/25))/(LN(2)/25)*Calculateur!V104*Calculateur!X104*VLOOKUP('Données projet'!$B$9,Paramètres!$A$1:$I$89,3,0)*0.475*44/12</f>
        <v>3.1456074322522127</v>
      </c>
      <c r="AB104" s="21">
        <f>EXP(-LN(2)/2)*AB103+(1-EXP(-LN(2)/2))/(LN(2)/2)*V104*Y104*VLOOKUP('Données projet'!$B$9,Paramètres!$A$1:$I$89,3,0)*0.475*44/12</f>
        <v>3.9832437849358871E-10</v>
      </c>
      <c r="AC104" s="22">
        <f t="shared" si="57"/>
        <v>29.281399826091597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1.7</v>
      </c>
      <c r="AI104" s="13">
        <f>IF('Données projet'!$A$62&gt;35,AI103+AH104-AQ103,IF(A104&lt;'Données projet'!$A$62,$AF$205^A104,IF(A104='Données projet'!$A$62,'Données projet'!$B$62,AI103+AH104-AQ103)))</f>
        <v>203.70000000000005</v>
      </c>
      <c r="AJ104" s="13">
        <f>AI104*VLOOKUP('Données projet'!$B$10,Paramètres!$A$1:$I$89,3,0)*VLOOKUP('Données projet'!$B$10,Paramètres!$A$1:$I$89,5,0)</f>
        <v>222.44040000000007</v>
      </c>
      <c r="AK104" s="13">
        <f t="shared" si="89"/>
        <v>54.644953578118447</v>
      </c>
      <c r="AL104" s="20">
        <f t="shared" si="58"/>
        <v>482.59032414855642</v>
      </c>
      <c r="AM104" s="59">
        <f t="shared" si="59"/>
        <v>775.92365748188968</v>
      </c>
      <c r="AN104" s="59">
        <f ca="1">AVERAGE(OFFSET($AM$3,0,0,'Données projet'!$E$10+1,1))-AVERAGE(OFFSET($H$3,0,0,'Données projet'!$E$10+1,1))</f>
        <v>223.92539057016376</v>
      </c>
      <c r="AO104" s="59">
        <f t="shared" si="90"/>
        <v>94.125825809616856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22.524677740628597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22.524677740628597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1.7</v>
      </c>
      <c r="BD104" s="12">
        <f>IF('Données projet'!$A$88&gt;35,BD103+BC104-BL103,IF(A104&lt;'Données projet'!$A$88,$BA$205^A104,IF(A104='Données projet'!$A$88,'Données projet'!$B$88,BD103+BC104-BL103)))</f>
        <v>203.70000000000005</v>
      </c>
      <c r="BE104" s="13">
        <f>BD104*VLOOKUP('Données projet'!$B$11,Paramètres!$A$1:$I$89,3,0)*VLOOKUP('Données projet'!$B$11,Paramètres!$A$1:$I$89,5,0)</f>
        <v>231.97356000000005</v>
      </c>
      <c r="BF104" s="13">
        <f t="shared" si="91"/>
        <v>56.709198915025297</v>
      </c>
      <c r="BG104" s="20">
        <f t="shared" si="61"/>
        <v>502.78913844366917</v>
      </c>
      <c r="BH104" s="59">
        <f t="shared" si="62"/>
        <v>796.12247177700249</v>
      </c>
      <c r="BI104" s="59">
        <f ca="1">AVERAGE(OFFSET($BH$3,0,0,'Données projet'!$E$11+1,1))-AVERAGE(OFFSET($H$3,0,0,'Données projet'!$E$11+1,1))</f>
        <v>236.39682613502913</v>
      </c>
      <c r="BJ104" s="59">
        <f t="shared" si="92"/>
        <v>99.639724892155641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23.490021072369821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23.490021072369821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1.7</v>
      </c>
      <c r="CT104" s="12">
        <f>IF('Données projet'!$A$140&gt;35,CT103+CS104-DB103,IF(A104&lt;'Données projet'!$A$140,$CQ$205^A104,IF(A104='Données projet'!$A$140,'Données projet'!$B$140,CT103+CS104-DB103)))</f>
        <v>203.70000000000005</v>
      </c>
      <c r="CU104" s="17">
        <f>CT104*VLOOKUP('Données projet'!$B$13,Paramètres!$A$1:$I$89,3,0)*VLOOKUP('Données projet'!$B$13,Paramètres!$A$1:$I$89,5,0)</f>
        <v>171.59688000000006</v>
      </c>
      <c r="CV104" s="13">
        <f t="shared" si="95"/>
        <v>43.447476739233338</v>
      </c>
      <c r="CW104" s="20">
        <f t="shared" si="67"/>
        <v>374.5355879874981</v>
      </c>
      <c r="CX104" s="59">
        <f t="shared" si="68"/>
        <v>667.86892132083142</v>
      </c>
      <c r="CY104" s="59">
        <f ca="1">AVERAGE(OFFSET($CX$3,0,0,'Données projet'!$E$13+1,1))-AVERAGE(OFFSET($H$3,0,0,'Données projet'!$E$13+1,1))</f>
        <v>157.20393815370375</v>
      </c>
      <c r="CZ104" s="59">
        <f t="shared" si="96"/>
        <v>64.616965816756363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17.376179971342058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17.376179971342058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-1.1368683772161603E-13</v>
      </c>
      <c r="DP104" s="17">
        <f>DO104*VLOOKUP('Données projet'!$B$14,Paramètres!$A$1:$I$89,3,0)*VLOOKUP('Données projet'!$B$14,Paramètres!$A$1:$I$89,5,0)</f>
        <v>-9.2222762759774927E-14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221.78186926953776</v>
      </c>
      <c r="DU104" s="59">
        <f t="shared" si="98"/>
        <v>276.69392352410654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44.149580941665768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44.149580941665768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1.7</v>
      </c>
      <c r="EJ104" s="12">
        <f>IF('Données projet'!$A$192&gt;35,EJ103+EI104-ER103,IF(A104&lt;'Données projet'!$A$192,$EG$205^A104,IF(A104='Données projet'!$A$192,'Données projet'!$B$192,EJ103+EI104-ER103)))</f>
        <v>203.70000000000005</v>
      </c>
      <c r="EK104" s="17">
        <f>EJ104*VLOOKUP('Données projet'!$B$15,Paramètres!$A$1:$I$89,3,0)*VLOOKUP('Données projet'!$B$15,Paramètres!$A$1:$I$89,5,0)</f>
        <v>219.26268000000005</v>
      </c>
      <c r="EL104" s="13">
        <f t="shared" si="99"/>
        <v>53.95460156443098</v>
      </c>
      <c r="EM104" s="20">
        <f t="shared" si="73"/>
        <v>475.85343205805066</v>
      </c>
      <c r="EN104" s="59">
        <f t="shared" si="74"/>
        <v>769.18676539138391</v>
      </c>
      <c r="EO104" s="59">
        <f ca="1">AVERAGE(OFFSET($EN$3,0,0,'Données projet'!$E$15+1,1))-AVERAGE(OFFSET($H$3,0,0,'Données projet'!$E$15+1,1))</f>
        <v>219.76574638403434</v>
      </c>
      <c r="EP104" s="59">
        <f t="shared" si="100"/>
        <v>92.286636088269972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22.202896630048183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22.202896630048183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>
        <f>FE104*VLOOKUP('Données projet'!$B$16,Paramètres!$A$1:$I$89,3,0)*VLOOKUP('Données projet'!$B$16,Paramètres!$A$1:$I$89,5,0)</f>
        <v>0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86.164294406232727</v>
      </c>
      <c r="FK104" s="59">
        <f t="shared" si="102"/>
        <v>138.91188401562334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27.929369738482258</v>
      </c>
      <c r="FR104" s="21">
        <f>EXP(-LN(2)/25)*FR103+(1-EXP(-LN(2)/25))/(LN(2)/25)*Calculateur!FM104*Calculateur!FO104*VLOOKUP('Données projet'!$B$16,Paramètres!$A$1:$I$89,3,0)*0.475*44/12</f>
        <v>13.291141405735139</v>
      </c>
      <c r="FS104" s="21">
        <f>EXP(-LN(2)/2)*FS103+(1-EXP(-LN(2)/2))/(LN(2)/2)*FM104*FP104*VLOOKUP('Données projet'!$B$16,Paramètres!$A$1:$I$89,3,0)*0.475*44/12</f>
        <v>2.3734457431164639E-5</v>
      </c>
      <c r="FT104" s="22">
        <f t="shared" si="78"/>
        <v>41.220534878674826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150.21793637331223</v>
      </c>
      <c r="T105" s="59">
        <f t="shared" si="88"/>
        <v>364.59164590134486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25.623285445864973</v>
      </c>
      <c r="AA105" s="21">
        <f>EXP(-LN(2)/25)*AA104+(1-EXP(-LN(2)/25))/(LN(2)/25)*Calculateur!V105*Calculateur!X105*VLOOKUP('Données projet'!$B$9,Paramètres!$A$1:$I$89,3,0)*0.475*44/12</f>
        <v>3.0595906315969703</v>
      </c>
      <c r="AB105" s="21">
        <f>EXP(-LN(2)/2)*AB104+(1-EXP(-LN(2)/2))/(LN(2)/2)*V105*Y105*VLOOKUP('Données projet'!$B$9,Paramètres!$A$1:$I$89,3,0)*0.475*44/12</f>
        <v>2.8165786914473357E-10</v>
      </c>
      <c r="AC105" s="22">
        <f t="shared" si="57"/>
        <v>28.6828760777436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1.7</v>
      </c>
      <c r="AI105" s="13">
        <f>IF('Données projet'!$A$62&gt;35,AI104+AH105-AQ104,IF(A105&lt;'Données projet'!$A$62,$AF$205^A105,IF(A105='Données projet'!$A$62,'Données projet'!$B$62,AI104+AH105-AQ104)))</f>
        <v>205.40000000000003</v>
      </c>
      <c r="AJ105" s="13">
        <f>AI105*VLOOKUP('Données projet'!$B$10,Paramètres!$A$1:$I$89,3,0)*VLOOKUP('Données projet'!$B$10,Paramètres!$A$1:$I$89,5,0)</f>
        <v>224.29680000000002</v>
      </c>
      <c r="AK105" s="13">
        <f t="shared" si="89"/>
        <v>55.047720057866165</v>
      </c>
      <c r="AL105" s="20">
        <f t="shared" si="58"/>
        <v>486.52503910078366</v>
      </c>
      <c r="AM105" s="59">
        <f t="shared" si="59"/>
        <v>779.85837243411697</v>
      </c>
      <c r="AN105" s="59">
        <f ca="1">AVERAGE(OFFSET($AM$3,0,0,'Données projet'!$E$10+1,1))-AVERAGE(OFFSET($H$3,0,0,'Données projet'!$E$10+1,1))</f>
        <v>223.92539057016376</v>
      </c>
      <c r="AO105" s="59">
        <f t="shared" si="90"/>
        <v>94.125825809616856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22.082982548831708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22.082982548831708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1.7</v>
      </c>
      <c r="BD105" s="12">
        <f>IF('Données projet'!$A$88&gt;35,BD104+BC105-BL104,IF(A105&lt;'Données projet'!$A$88,$BA$205^A105,IF(A105='Données projet'!$A$88,'Données projet'!$B$88,BD104+BC105-BL104)))</f>
        <v>205.40000000000003</v>
      </c>
      <c r="BE105" s="13">
        <f>BD105*VLOOKUP('Données projet'!$B$11,Paramètres!$A$1:$I$89,3,0)*VLOOKUP('Données projet'!$B$11,Paramètres!$A$1:$I$89,5,0)</f>
        <v>233.90952000000001</v>
      </c>
      <c r="BF105" s="13">
        <f t="shared" si="91"/>
        <v>57.127180135993228</v>
      </c>
      <c r="BG105" s="20">
        <f t="shared" si="61"/>
        <v>506.88891940352158</v>
      </c>
      <c r="BH105" s="59">
        <f t="shared" si="62"/>
        <v>800.2222527368549</v>
      </c>
      <c r="BI105" s="59">
        <f ca="1">AVERAGE(OFFSET($BH$3,0,0,'Données projet'!$E$11+1,1))-AVERAGE(OFFSET($H$3,0,0,'Données projet'!$E$11+1,1))</f>
        <v>236.39682613502913</v>
      </c>
      <c r="BJ105" s="59">
        <f t="shared" si="92"/>
        <v>99.639724892155641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23.02939608663878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23.02939608663878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1.7</v>
      </c>
      <c r="CT105" s="12">
        <f>IF('Données projet'!$A$140&gt;35,CT104+CS105-DB104,IF(A105&lt;'Données projet'!$A$140,$CQ$205^A105,IF(A105='Données projet'!$A$140,'Données projet'!$B$140,CT104+CS105-DB104)))</f>
        <v>205.40000000000003</v>
      </c>
      <c r="CU105" s="17">
        <f>CT105*VLOOKUP('Données projet'!$B$13,Paramètres!$A$1:$I$89,3,0)*VLOOKUP('Données projet'!$B$13,Paramètres!$A$1:$I$89,5,0)</f>
        <v>173.02896000000004</v>
      </c>
      <c r="CV105" s="13">
        <f t="shared" si="95"/>
        <v>43.767711017320252</v>
      </c>
      <c r="CW105" s="20">
        <f t="shared" si="67"/>
        <v>377.58753535516621</v>
      </c>
      <c r="CX105" s="59">
        <f t="shared" si="68"/>
        <v>670.92086868849947</v>
      </c>
      <c r="CY105" s="59">
        <f ca="1">AVERAGE(OFFSET($CX$3,0,0,'Données projet'!$E$13+1,1))-AVERAGE(OFFSET($H$3,0,0,'Données projet'!$E$13+1,1))</f>
        <v>157.20393815370375</v>
      </c>
      <c r="CZ105" s="59">
        <f t="shared" si="96"/>
        <v>64.616965816756363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17.035443680527315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17.035443680527315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-1.1368683772161603E-13</v>
      </c>
      <c r="DP105" s="17">
        <f>DO105*VLOOKUP('Données projet'!$B$14,Paramètres!$A$1:$I$89,3,0)*VLOOKUP('Données projet'!$B$14,Paramètres!$A$1:$I$89,5,0)</f>
        <v>-9.2222762759774927E-14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221.78186926953776</v>
      </c>
      <c r="DU105" s="59">
        <f t="shared" si="98"/>
        <v>276.69392352410654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43.283834587985098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43.283834587985098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1.7</v>
      </c>
      <c r="EJ105" s="12">
        <f>IF('Données projet'!$A$192&gt;35,EJ104+EI105-ER104,IF(A105&lt;'Données projet'!$A$192,$EG$205^A105,IF(A105='Données projet'!$A$192,'Données projet'!$B$192,EJ104+EI105-ER104)))</f>
        <v>205.40000000000003</v>
      </c>
      <c r="EK105" s="17">
        <f>EJ105*VLOOKUP('Données projet'!$B$15,Paramètres!$A$1:$I$89,3,0)*VLOOKUP('Données projet'!$B$15,Paramètres!$A$1:$I$89,5,0)</f>
        <v>221.09256000000002</v>
      </c>
      <c r="EL105" s="13">
        <f t="shared" si="99"/>
        <v>54.352279730763904</v>
      </c>
      <c r="EM105" s="20">
        <f t="shared" si="73"/>
        <v>479.73309586441377</v>
      </c>
      <c r="EN105" s="59">
        <f t="shared" si="74"/>
        <v>773.06642919774708</v>
      </c>
      <c r="EO105" s="59">
        <f ca="1">AVERAGE(OFFSET($EN$3,0,0,'Données projet'!$E$15+1,1))-AVERAGE(OFFSET($H$3,0,0,'Données projet'!$E$15+1,1))</f>
        <v>219.76574638403434</v>
      </c>
      <c r="EP105" s="59">
        <f t="shared" si="100"/>
        <v>92.286636088269972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21.76751136956268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21.76751136956268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>
        <f>FE105*VLOOKUP('Données projet'!$B$16,Paramètres!$A$1:$I$89,3,0)*VLOOKUP('Données projet'!$B$16,Paramètres!$A$1:$I$89,5,0)</f>
        <v>0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86.164294406232727</v>
      </c>
      <c r="FK105" s="59">
        <f t="shared" si="102"/>
        <v>138.91188401562334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27.381691833144071</v>
      </c>
      <c r="FR105" s="21">
        <f>EXP(-LN(2)/25)*FR104+(1-EXP(-LN(2)/25))/(LN(2)/25)*Calculateur!FM105*Calculateur!FO105*VLOOKUP('Données projet'!$B$16,Paramètres!$A$1:$I$89,3,0)*0.475*44/12</f>
        <v>12.927694445044562</v>
      </c>
      <c r="FS105" s="21">
        <f>EXP(-LN(2)/2)*FS104+(1-EXP(-LN(2)/2))/(LN(2)/2)*FM105*FP105*VLOOKUP('Données projet'!$B$16,Paramètres!$A$1:$I$89,3,0)*0.475*44/12</f>
        <v>1.6782795797359961E-5</v>
      </c>
      <c r="FT105" s="22">
        <f t="shared" si="78"/>
        <v>40.30940306098443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150.21793637331223</v>
      </c>
      <c r="T106" s="59">
        <f t="shared" si="88"/>
        <v>364.59164590134486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25.120828446932482</v>
      </c>
      <c r="AA106" s="21">
        <f>EXP(-LN(2)/25)*AA105+(1-EXP(-LN(2)/25))/(LN(2)/25)*Calculateur!V106*Calculateur!X106*VLOOKUP('Données projet'!$B$9,Paramètres!$A$1:$I$89,3,0)*0.475*44/12</f>
        <v>2.9759259648790728</v>
      </c>
      <c r="AB106" s="21">
        <f>EXP(-LN(2)/2)*AB105+(1-EXP(-LN(2)/2))/(LN(2)/2)*V106*Y106*VLOOKUP('Données projet'!$B$9,Paramètres!$A$1:$I$89,3,0)*0.475*44/12</f>
        <v>1.9916218924679435E-10</v>
      </c>
      <c r="AC106" s="22">
        <f t="shared" si="57"/>
        <v>28.096754412010714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1.7</v>
      </c>
      <c r="AI106" s="13">
        <f>IF('Données projet'!$A$62&gt;35,AI105+AH106-AQ105,IF(A106&lt;'Données projet'!$A$62,$AF$205^A106,IF(A106='Données projet'!$A$62,'Données projet'!$B$62,AI105+AH106-AQ105)))</f>
        <v>207.10000000000002</v>
      </c>
      <c r="AJ106" s="13">
        <f>AI106*VLOOKUP('Données projet'!$B$10,Paramètres!$A$1:$I$89,3,0)*VLOOKUP('Données projet'!$B$10,Paramètres!$A$1:$I$89,5,0)</f>
        <v>226.1532</v>
      </c>
      <c r="AK106" s="13">
        <f t="shared" si="89"/>
        <v>55.450098699178824</v>
      </c>
      <c r="AL106" s="20">
        <f t="shared" si="58"/>
        <v>490.45907856773647</v>
      </c>
      <c r="AM106" s="59">
        <f t="shared" si="59"/>
        <v>783.79241190106973</v>
      </c>
      <c r="AN106" s="59">
        <f ca="1">AVERAGE(OFFSET($AM$3,0,0,'Données projet'!$E$10+1,1))-AVERAGE(OFFSET($H$3,0,0,'Données projet'!$E$10+1,1))</f>
        <v>223.92539057016376</v>
      </c>
      <c r="AO106" s="59">
        <f t="shared" si="90"/>
        <v>94.125825809616856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21.64994873033849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21.64994873033849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1.7</v>
      </c>
      <c r="BD106" s="12">
        <f>IF('Données projet'!$A$88&gt;35,BD105+BC106-BL105,IF(A106&lt;'Données projet'!$A$88,$BA$205^A106,IF(A106='Données projet'!$A$88,'Données projet'!$B$88,BD105+BC106-BL105)))</f>
        <v>207.10000000000002</v>
      </c>
      <c r="BE106" s="13">
        <f>BD106*VLOOKUP('Données projet'!$B$11,Paramètres!$A$1:$I$89,3,0)*VLOOKUP('Données projet'!$B$11,Paramètres!$A$1:$I$89,5,0)</f>
        <v>235.84548000000004</v>
      </c>
      <c r="BF106" s="13">
        <f t="shared" si="91"/>
        <v>57.544758867700622</v>
      </c>
      <c r="BG106" s="20">
        <f t="shared" si="61"/>
        <v>510.98799936124533</v>
      </c>
      <c r="BH106" s="59">
        <f t="shared" si="62"/>
        <v>804.32133269457859</v>
      </c>
      <c r="BI106" s="59">
        <f ca="1">AVERAGE(OFFSET($BH$3,0,0,'Données projet'!$E$11+1,1))-AVERAGE(OFFSET($H$3,0,0,'Données projet'!$E$11+1,1))</f>
        <v>236.39682613502913</v>
      </c>
      <c r="BJ106" s="59">
        <f t="shared" si="92"/>
        <v>99.639724892155641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22.577803675924425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22.577803675924425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1.7</v>
      </c>
      <c r="CT106" s="12">
        <f>IF('Données projet'!$A$140&gt;35,CT105+CS106-DB105,IF(A106&lt;'Données projet'!$A$140,$CQ$205^A106,IF(A106='Données projet'!$A$140,'Données projet'!$B$140,CT105+CS106-DB105)))</f>
        <v>207.10000000000002</v>
      </c>
      <c r="CU106" s="17">
        <f>CT106*VLOOKUP('Données projet'!$B$13,Paramètres!$A$1:$I$89,3,0)*VLOOKUP('Données projet'!$B$13,Paramètres!$A$1:$I$89,5,0)</f>
        <v>174.46104000000003</v>
      </c>
      <c r="CV106" s="13">
        <f t="shared" si="95"/>
        <v>44.087636930219169</v>
      </c>
      <c r="CW106" s="20">
        <f t="shared" si="67"/>
        <v>380.63894565346504</v>
      </c>
      <c r="CX106" s="59">
        <f t="shared" si="68"/>
        <v>673.9722789867983</v>
      </c>
      <c r="CY106" s="59">
        <f ca="1">AVERAGE(OFFSET($CX$3,0,0,'Données projet'!$E$13+1,1))-AVERAGE(OFFSET($H$3,0,0,'Données projet'!$E$13+1,1))</f>
        <v>157.20393815370375</v>
      </c>
      <c r="CZ106" s="59">
        <f t="shared" si="96"/>
        <v>64.616965816756363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16.701389020546834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16.701389020546834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-1.1368683772161603E-13</v>
      </c>
      <c r="DP106" s="17">
        <f>DO106*VLOOKUP('Données projet'!$B$14,Paramètres!$A$1:$I$89,3,0)*VLOOKUP('Données projet'!$B$14,Paramètres!$A$1:$I$89,5,0)</f>
        <v>-9.2222762759774927E-14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221.78186926953776</v>
      </c>
      <c r="DU106" s="59">
        <f t="shared" si="98"/>
        <v>276.69392352410654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42.435064992246971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42.435064992246971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1.7</v>
      </c>
      <c r="EJ106" s="12">
        <f>IF('Données projet'!$A$192&gt;35,EJ105+EI106-ER105,IF(A106&lt;'Données projet'!$A$192,$EG$205^A106,IF(A106='Données projet'!$A$192,'Données projet'!$B$192,EJ105+EI106-ER105)))</f>
        <v>207.10000000000002</v>
      </c>
      <c r="EK106" s="17">
        <f>EJ106*VLOOKUP('Données projet'!$B$15,Paramètres!$A$1:$I$89,3,0)*VLOOKUP('Données projet'!$B$15,Paramètres!$A$1:$I$89,5,0)</f>
        <v>222.92244000000002</v>
      </c>
      <c r="EL106" s="13">
        <f t="shared" si="99"/>
        <v>54.749574958383199</v>
      </c>
      <c r="EM106" s="20">
        <f t="shared" si="73"/>
        <v>483.61209271918409</v>
      </c>
      <c r="EN106" s="59">
        <f t="shared" si="74"/>
        <v>776.9454260525174</v>
      </c>
      <c r="EO106" s="59">
        <f ca="1">AVERAGE(OFFSET($EN$3,0,0,'Données projet'!$E$15+1,1))-AVERAGE(OFFSET($H$3,0,0,'Données projet'!$E$15+1,1))</f>
        <v>219.76574638403434</v>
      </c>
      <c r="EP106" s="59">
        <f t="shared" si="100"/>
        <v>92.286636088269972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21.340663748476508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21.340663748476508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>
        <f>FE106*VLOOKUP('Données projet'!$B$16,Paramètres!$A$1:$I$89,3,0)*VLOOKUP('Données projet'!$B$16,Paramètres!$A$1:$I$89,5,0)</f>
        <v>0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86.164294406232727</v>
      </c>
      <c r="FK106" s="59">
        <f t="shared" si="102"/>
        <v>138.91188401562334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26.844753557479031</v>
      </c>
      <c r="FR106" s="21">
        <f>EXP(-LN(2)/25)*FR105+(1-EXP(-LN(2)/25))/(LN(2)/25)*Calculateur!FM106*Calculateur!FO106*VLOOKUP('Données projet'!$B$16,Paramètres!$A$1:$I$89,3,0)*0.475*44/12</f>
        <v>12.574185960606915</v>
      </c>
      <c r="FS106" s="21">
        <f>EXP(-LN(2)/2)*FS105+(1-EXP(-LN(2)/2))/(LN(2)/2)*FM106*FP106*VLOOKUP('Données projet'!$B$16,Paramètres!$A$1:$I$89,3,0)*0.475*44/12</f>
        <v>1.186722871558232E-5</v>
      </c>
      <c r="FT106" s="22">
        <f t="shared" si="78"/>
        <v>39.418951385314664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150.21793637331223</v>
      </c>
      <c r="T107" s="59">
        <f t="shared" si="88"/>
        <v>364.59164590134486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24.628224323280548</v>
      </c>
      <c r="AA107" s="21">
        <f>EXP(-LN(2)/25)*AA106+(1-EXP(-LN(2)/25))/(LN(2)/25)*Calculateur!V107*Calculateur!X107*VLOOKUP('Données projet'!$B$9,Paramètres!$A$1:$I$89,3,0)*0.475*44/12</f>
        <v>2.8945491128723098</v>
      </c>
      <c r="AB107" s="21">
        <f>EXP(-LN(2)/2)*AB106+(1-EXP(-LN(2)/2))/(LN(2)/2)*V107*Y107*VLOOKUP('Données projet'!$B$9,Paramètres!$A$1:$I$89,3,0)*0.475*44/12</f>
        <v>1.4082893457236678E-10</v>
      </c>
      <c r="AC107" s="22">
        <f t="shared" si="57"/>
        <v>27.522773436293686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1.7</v>
      </c>
      <c r="AI107" s="13">
        <f>IF('Données projet'!$A$62&gt;35,AI106+AH107-AQ106,IF(A107&lt;'Données projet'!$A$62,$AF$205^A107,IF(A107='Données projet'!$A$62,'Données projet'!$B$62,AI106+AH107-AQ106)))</f>
        <v>208.8</v>
      </c>
      <c r="AJ107" s="13">
        <f>AI107*VLOOKUP('Données projet'!$B$10,Paramètres!$A$1:$I$89,3,0)*VLOOKUP('Données projet'!$B$10,Paramètres!$A$1:$I$89,5,0)</f>
        <v>228.00960000000001</v>
      </c>
      <c r="AK107" s="13">
        <f t="shared" si="89"/>
        <v>55.852093054619829</v>
      </c>
      <c r="AL107" s="20">
        <f t="shared" si="58"/>
        <v>494.39244873679621</v>
      </c>
      <c r="AM107" s="59">
        <f t="shared" si="59"/>
        <v>787.72578207012953</v>
      </c>
      <c r="AN107" s="59">
        <f ca="1">AVERAGE(OFFSET($AM$3,0,0,'Données projet'!$E$10+1,1))-AVERAGE(OFFSET($H$3,0,0,'Données projet'!$E$10+1,1))</f>
        <v>223.92539057016376</v>
      </c>
      <c r="AO107" s="59">
        <f t="shared" si="90"/>
        <v>94.125825809616856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21.225406440901377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21.225406440901377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1.7</v>
      </c>
      <c r="BD107" s="12">
        <f>IF('Données projet'!$A$88&gt;35,BD106+BC107-BL106,IF(A107&lt;'Données projet'!$A$88,$BA$205^A107,IF(A107='Données projet'!$A$88,'Données projet'!$B$88,BD106+BC107-BL106)))</f>
        <v>208.8</v>
      </c>
      <c r="BE107" s="13">
        <f>BD107*VLOOKUP('Données projet'!$B$11,Paramètres!$A$1:$I$89,3,0)*VLOOKUP('Données projet'!$B$11,Paramètres!$A$1:$I$89,5,0)</f>
        <v>237.78144000000003</v>
      </c>
      <c r="BF107" s="13">
        <f t="shared" si="91"/>
        <v>57.96193879691095</v>
      </c>
      <c r="BG107" s="20">
        <f t="shared" si="61"/>
        <v>515.08638473795327</v>
      </c>
      <c r="BH107" s="59">
        <f t="shared" si="62"/>
        <v>808.41971807128652</v>
      </c>
      <c r="BI107" s="59">
        <f ca="1">AVERAGE(OFFSET($BH$3,0,0,'Données projet'!$E$11+1,1))-AVERAGE(OFFSET($H$3,0,0,'Données projet'!$E$11+1,1))</f>
        <v>236.39682613502913</v>
      </c>
      <c r="BJ107" s="59">
        <f t="shared" si="92"/>
        <v>99.639724892155641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22.135066716940006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22.135066716940006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1.7</v>
      </c>
      <c r="CT107" s="12">
        <f>IF('Données projet'!$A$140&gt;35,CT106+CS107-DB106,IF(A107&lt;'Données projet'!$A$140,$CQ$205^A107,IF(A107='Données projet'!$A$140,'Données projet'!$B$140,CT106+CS107-DB106)))</f>
        <v>208.8</v>
      </c>
      <c r="CU107" s="17">
        <f>CT107*VLOOKUP('Données projet'!$B$13,Paramètres!$A$1:$I$89,3,0)*VLOOKUP('Données projet'!$B$13,Paramètres!$A$1:$I$89,5,0)</f>
        <v>175.89312000000001</v>
      </c>
      <c r="CV107" s="13">
        <f t="shared" si="95"/>
        <v>44.407257302525892</v>
      </c>
      <c r="CW107" s="20">
        <f t="shared" si="67"/>
        <v>383.68982380189931</v>
      </c>
      <c r="CX107" s="59">
        <f t="shared" si="68"/>
        <v>677.02315713523262</v>
      </c>
      <c r="CY107" s="59">
        <f ca="1">AVERAGE(OFFSET($CX$3,0,0,'Données projet'!$E$13+1,1))-AVERAGE(OFFSET($H$3,0,0,'Données projet'!$E$13+1,1))</f>
        <v>157.20393815370375</v>
      </c>
      <c r="CZ107" s="59">
        <f t="shared" si="96"/>
        <v>64.616965816756363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16.373884968695346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16.373884968695346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-1.1368683772161603E-13</v>
      </c>
      <c r="DP107" s="17">
        <f>DO107*VLOOKUP('Données projet'!$B$14,Paramètres!$A$1:$I$89,3,0)*VLOOKUP('Données projet'!$B$14,Paramètres!$A$1:$I$89,5,0)</f>
        <v>-9.2222762759774927E-14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221.78186926953776</v>
      </c>
      <c r="DU107" s="59">
        <f t="shared" si="98"/>
        <v>276.69392352410654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41.602939250582935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41.602939250582935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1.7</v>
      </c>
      <c r="EJ107" s="12">
        <f>IF('Données projet'!$A$192&gt;35,EJ106+EI107-ER106,IF(A107&lt;'Données projet'!$A$192,$EG$205^A107,IF(A107='Données projet'!$A$192,'Données projet'!$B$192,EJ106+EI107-ER106)))</f>
        <v>208.8</v>
      </c>
      <c r="EK107" s="17">
        <f>EJ107*VLOOKUP('Données projet'!$B$15,Paramètres!$A$1:$I$89,3,0)*VLOOKUP('Données projet'!$B$15,Paramètres!$A$1:$I$89,5,0)</f>
        <v>224.75232000000003</v>
      </c>
      <c r="EL107" s="13">
        <f t="shared" si="99"/>
        <v>55.146490754971083</v>
      </c>
      <c r="EM107" s="20">
        <f t="shared" si="73"/>
        <v>487.4904287315747</v>
      </c>
      <c r="EN107" s="59">
        <f t="shared" si="74"/>
        <v>780.82376206490801</v>
      </c>
      <c r="EO107" s="59">
        <f ca="1">AVERAGE(OFFSET($EN$3,0,0,'Données projet'!$E$15+1,1))-AVERAGE(OFFSET($H$3,0,0,'Données projet'!$E$15+1,1))</f>
        <v>219.76574638403434</v>
      </c>
      <c r="EP107" s="59">
        <f t="shared" si="100"/>
        <v>92.286636088269972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20.922186348888495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20.922186348888495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>
        <f>FE107*VLOOKUP('Données projet'!$B$16,Paramètres!$A$1:$I$89,3,0)*VLOOKUP('Données projet'!$B$16,Paramètres!$A$1:$I$89,5,0)</f>
        <v>0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86.164294406232727</v>
      </c>
      <c r="FK107" s="59">
        <f t="shared" si="102"/>
        <v>138.91188401562334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26.318344313899772</v>
      </c>
      <c r="FR107" s="21">
        <f>EXP(-LN(2)/25)*FR106+(1-EXP(-LN(2)/25))/(LN(2)/25)*Calculateur!FM107*Calculateur!FO107*VLOOKUP('Données projet'!$B$16,Paramètres!$A$1:$I$89,3,0)*0.475*44/12</f>
        <v>12.230344184266418</v>
      </c>
      <c r="FS107" s="21">
        <f>EXP(-LN(2)/2)*FS106+(1-EXP(-LN(2)/2))/(LN(2)/2)*FM107*FP107*VLOOKUP('Données projet'!$B$16,Paramètres!$A$1:$I$89,3,0)*0.475*44/12</f>
        <v>8.3913978986799807E-6</v>
      </c>
      <c r="FT107" s="22">
        <f t="shared" si="78"/>
        <v>38.548696889564084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150.21793637331223</v>
      </c>
      <c r="T108" s="59">
        <f t="shared" si="88"/>
        <v>364.59164590134486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24.145279866034581</v>
      </c>
      <c r="AA108" s="21">
        <f>EXP(-LN(2)/25)*AA107+(1-EXP(-LN(2)/25))/(LN(2)/25)*Calculateur!V108*Calculateur!X108*VLOOKUP('Données projet'!$B$9,Paramètres!$A$1:$I$89,3,0)*0.475*44/12</f>
        <v>2.8153975151630943</v>
      </c>
      <c r="AB108" s="21">
        <f>EXP(-LN(2)/2)*AB107+(1-EXP(-LN(2)/2))/(LN(2)/2)*V108*Y108*VLOOKUP('Données projet'!$B$9,Paramètres!$A$1:$I$89,3,0)*0.475*44/12</f>
        <v>9.9581094623397177E-11</v>
      </c>
      <c r="AC108" s="22">
        <f t="shared" si="57"/>
        <v>26.960677381297259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1.7</v>
      </c>
      <c r="AI108" s="13">
        <f>IF('Données projet'!$A$62&gt;35,AI107+AH108-AQ107,IF(A108&lt;'Données projet'!$A$62,$AF$205^A108,IF(A108='Données projet'!$A$62,'Données projet'!$B$62,AI107+AH108-AQ107)))</f>
        <v>210.5</v>
      </c>
      <c r="AJ108" s="13">
        <f>AI108*VLOOKUP('Données projet'!$B$10,Paramètres!$A$1:$I$89,3,0)*VLOOKUP('Données projet'!$B$10,Paramètres!$A$1:$I$89,5,0)</f>
        <v>229.86599999999999</v>
      </c>
      <c r="AK108" s="13">
        <f t="shared" si="89"/>
        <v>56.253706615564326</v>
      </c>
      <c r="AL108" s="20">
        <f t="shared" si="58"/>
        <v>498.32515568877449</v>
      </c>
      <c r="AM108" s="59">
        <f t="shared" si="59"/>
        <v>791.6584890221078</v>
      </c>
      <c r="AN108" s="59">
        <f ca="1">AVERAGE(OFFSET($AM$3,0,0,'Données projet'!$E$10+1,1))-AVERAGE(OFFSET($H$3,0,0,'Données projet'!$E$10+1,1))</f>
        <v>223.92539057016376</v>
      </c>
      <c r="AO108" s="59">
        <f t="shared" si="90"/>
        <v>94.125825809616856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20.809189166814896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20.809189166814896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1.7</v>
      </c>
      <c r="BD108" s="12">
        <f>IF('Données projet'!$A$88&gt;35,BD107+BC108-BL107,IF(A108&lt;'Données projet'!$A$88,$BA$205^A108,IF(A108='Données projet'!$A$88,'Données projet'!$B$88,BD107+BC108-BL107)))</f>
        <v>210.5</v>
      </c>
      <c r="BE108" s="13">
        <f>BD108*VLOOKUP('Données projet'!$B$11,Paramètres!$A$1:$I$89,3,0)*VLOOKUP('Données projet'!$B$11,Paramètres!$A$1:$I$89,5,0)</f>
        <v>239.7174</v>
      </c>
      <c r="BF108" s="13">
        <f t="shared" si="91"/>
        <v>58.378723546888175</v>
      </c>
      <c r="BG108" s="20">
        <f t="shared" si="61"/>
        <v>519.18408184416353</v>
      </c>
      <c r="BH108" s="59">
        <f t="shared" si="62"/>
        <v>812.51741517749679</v>
      </c>
      <c r="BI108" s="59">
        <f ca="1">AVERAGE(OFFSET($BH$3,0,0,'Données projet'!$E$11+1,1))-AVERAGE(OFFSET($H$3,0,0,'Données projet'!$E$11+1,1))</f>
        <v>236.39682613502913</v>
      </c>
      <c r="BJ108" s="59">
        <f t="shared" si="92"/>
        <v>99.639724892155641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21.701011559678392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21.701011559678392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1.7</v>
      </c>
      <c r="CT108" s="12">
        <f>IF('Données projet'!$A$140&gt;35,CT107+CS108-DB107,IF(A108&lt;'Données projet'!$A$140,$CQ$205^A108,IF(A108='Données projet'!$A$140,'Données projet'!$B$140,CT107+CS108-DB107)))</f>
        <v>210.5</v>
      </c>
      <c r="CU108" s="17">
        <f>CT108*VLOOKUP('Données projet'!$B$13,Paramètres!$A$1:$I$89,3,0)*VLOOKUP('Données projet'!$B$13,Paramètres!$A$1:$I$89,5,0)</f>
        <v>177.3252</v>
      </c>
      <c r="CV108" s="13">
        <f t="shared" si="95"/>
        <v>44.726574910186663</v>
      </c>
      <c r="CW108" s="20">
        <f t="shared" si="67"/>
        <v>386.74017463524177</v>
      </c>
      <c r="CX108" s="59">
        <f t="shared" si="68"/>
        <v>680.07350796857509</v>
      </c>
      <c r="CY108" s="59">
        <f ca="1">AVERAGE(OFFSET($CX$3,0,0,'Données projet'!$E$13+1,1))-AVERAGE(OFFSET($H$3,0,0,'Données projet'!$E$13+1,1))</f>
        <v>157.20393815370375</v>
      </c>
      <c r="CZ108" s="59">
        <f t="shared" si="96"/>
        <v>64.616965816756363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16.052803071542918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16.052803071542918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-1.1368683772161603E-13</v>
      </c>
      <c r="DP108" s="17">
        <f>DO108*VLOOKUP('Données projet'!$B$14,Paramètres!$A$1:$I$89,3,0)*VLOOKUP('Données projet'!$B$14,Paramètres!$A$1:$I$89,5,0)</f>
        <v>-9.2222762759774927E-14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221.78186926953776</v>
      </c>
      <c r="DU108" s="59">
        <f t="shared" si="98"/>
        <v>276.69392352410654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40.787130987166343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40.787130987166343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1.7</v>
      </c>
      <c r="EJ108" s="12">
        <f>IF('Données projet'!$A$192&gt;35,EJ107+EI108-ER107,IF(A108&lt;'Données projet'!$A$192,$EG$205^A108,IF(A108='Données projet'!$A$192,'Données projet'!$B$192,EJ107+EI108-ER107)))</f>
        <v>210.5</v>
      </c>
      <c r="EK108" s="17">
        <f>EJ108*VLOOKUP('Données projet'!$B$15,Paramètres!$A$1:$I$89,3,0)*VLOOKUP('Données projet'!$B$15,Paramètres!$A$1:$I$89,5,0)</f>
        <v>226.58219999999997</v>
      </c>
      <c r="EL108" s="13">
        <f t="shared" si="99"/>
        <v>55.543030567794936</v>
      </c>
      <c r="EM108" s="20">
        <f t="shared" si="73"/>
        <v>491.36810990557609</v>
      </c>
      <c r="EN108" s="59">
        <f t="shared" si="74"/>
        <v>784.70144323890941</v>
      </c>
      <c r="EO108" s="59">
        <f ca="1">AVERAGE(OFFSET($EN$3,0,0,'Données projet'!$E$15+1,1))-AVERAGE(OFFSET($H$3,0,0,'Données projet'!$E$15+1,1))</f>
        <v>219.76574638403434</v>
      </c>
      <c r="EP108" s="59">
        <f t="shared" si="100"/>
        <v>92.286636088269972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20.511915035860394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20.511915035860394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>
        <f>FE108*VLOOKUP('Données projet'!$B$16,Paramètres!$A$1:$I$89,3,0)*VLOOKUP('Données projet'!$B$16,Paramètres!$A$1:$I$89,5,0)</f>
        <v>0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86.164294406232727</v>
      </c>
      <c r="FK108" s="59">
        <f t="shared" si="102"/>
        <v>138.91188401562334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25.802257634509164</v>
      </c>
      <c r="FR108" s="21">
        <f>EXP(-LN(2)/25)*FR107+(1-EXP(-LN(2)/25))/(LN(2)/25)*Calculateur!FM108*Calculateur!FO108*VLOOKUP('Données projet'!$B$16,Paramètres!$A$1:$I$89,3,0)*0.475*44/12</f>
        <v>11.895904779381805</v>
      </c>
      <c r="FS108" s="21">
        <f>EXP(-LN(2)/2)*FS107+(1-EXP(-LN(2)/2))/(LN(2)/2)*FM108*FP108*VLOOKUP('Données projet'!$B$16,Paramètres!$A$1:$I$89,3,0)*0.475*44/12</f>
        <v>5.9336143577911598E-6</v>
      </c>
      <c r="FT108" s="22">
        <f t="shared" si="78"/>
        <v>37.69816834750533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150.21793637331223</v>
      </c>
      <c r="T109" s="59">
        <f t="shared" si="88"/>
        <v>364.59164590134486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23.671805655028173</v>
      </c>
      <c r="AA109" s="21">
        <f>EXP(-LN(2)/25)*AA108+(1-EXP(-LN(2)/25))/(LN(2)/25)*Calculateur!V109*Calculateur!X109*VLOOKUP('Données projet'!$B$9,Paramètres!$A$1:$I$89,3,0)*0.475*44/12</f>
        <v>2.7384103220556391</v>
      </c>
      <c r="AB109" s="21">
        <f>EXP(-LN(2)/2)*AB108+(1-EXP(-LN(2)/2))/(LN(2)/2)*V109*Y109*VLOOKUP('Données projet'!$B$9,Paramètres!$A$1:$I$89,3,0)*0.475*44/12</f>
        <v>7.0414467286183392E-11</v>
      </c>
      <c r="AC109" s="22">
        <f t="shared" si="57"/>
        <v>26.410215977154227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1.7</v>
      </c>
      <c r="AI109" s="13">
        <f>IF('Données projet'!$A$62&gt;35,AI108+AH109-AQ108,IF(A109&lt;'Données projet'!$A$62,$AF$205^A109,IF(A109='Données projet'!$A$62,'Données projet'!$B$62,AI108+AH109-AQ108)))</f>
        <v>212.2</v>
      </c>
      <c r="AJ109" s="13">
        <f>AI109*VLOOKUP('Données projet'!$B$10,Paramètres!$A$1:$I$89,3,0)*VLOOKUP('Données projet'!$B$10,Paramètres!$A$1:$I$89,5,0)</f>
        <v>231.72239999999999</v>
      </c>
      <c r="AK109" s="13">
        <f t="shared" si="89"/>
        <v>56.65494281373892</v>
      </c>
      <c r="AL109" s="20">
        <f t="shared" si="58"/>
        <v>502.25720540059518</v>
      </c>
      <c r="AM109" s="59">
        <f t="shared" si="59"/>
        <v>795.5905387339285</v>
      </c>
      <c r="AN109" s="59">
        <f ca="1">AVERAGE(OFFSET($AM$3,0,0,'Données projet'!$E$10+1,1))-AVERAGE(OFFSET($H$3,0,0,'Données projet'!$E$10+1,1))</f>
        <v>223.92539057016376</v>
      </c>
      <c r="AO109" s="59">
        <f t="shared" si="90"/>
        <v>94.125825809616856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20.401133659605783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20.401133659605783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1.7</v>
      </c>
      <c r="BD109" s="12">
        <f>IF('Données projet'!$A$88&gt;35,BD108+BC109-BL108,IF(A109&lt;'Données projet'!$A$88,$BA$205^A109,IF(A109='Données projet'!$A$88,'Données projet'!$B$88,BD108+BC109-BL108)))</f>
        <v>212.2</v>
      </c>
      <c r="BE109" s="13">
        <f>BD109*VLOOKUP('Données projet'!$B$11,Paramètres!$A$1:$I$89,3,0)*VLOOKUP('Données projet'!$B$11,Paramètres!$A$1:$I$89,5,0)</f>
        <v>241.65335999999996</v>
      </c>
      <c r="BF109" s="13">
        <f t="shared" si="91"/>
        <v>58.79511667899429</v>
      </c>
      <c r="BG109" s="20">
        <f t="shared" si="61"/>
        <v>523.28109688258166</v>
      </c>
      <c r="BH109" s="59">
        <f t="shared" si="62"/>
        <v>816.61443021591504</v>
      </c>
      <c r="BI109" s="59">
        <f ca="1">AVERAGE(OFFSET($BH$3,0,0,'Données projet'!$E$11+1,1))-AVERAGE(OFFSET($H$3,0,0,'Données projet'!$E$11+1,1))</f>
        <v>236.39682613502913</v>
      </c>
      <c r="BJ109" s="59">
        <f t="shared" si="92"/>
        <v>99.639724892155641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21.275467959303175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21.275467959303175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1.7</v>
      </c>
      <c r="CT109" s="12">
        <f>IF('Données projet'!$A$140&gt;35,CT108+CS109-DB108,IF(A109&lt;'Données projet'!$A$140,$CQ$205^A109,IF(A109='Données projet'!$A$140,'Données projet'!$B$140,CT108+CS109-DB108)))</f>
        <v>212.2</v>
      </c>
      <c r="CU109" s="17">
        <f>CT109*VLOOKUP('Données projet'!$B$13,Paramètres!$A$1:$I$89,3,0)*VLOOKUP('Données projet'!$B$13,Paramètres!$A$1:$I$89,5,0)</f>
        <v>178.75728000000001</v>
      </c>
      <c r="CV109" s="13">
        <f t="shared" si="95"/>
        <v>45.045592481721528</v>
      </c>
      <c r="CW109" s="20">
        <f t="shared" si="67"/>
        <v>389.79000290566495</v>
      </c>
      <c r="CX109" s="59">
        <f t="shared" si="68"/>
        <v>683.12333623899826</v>
      </c>
      <c r="CY109" s="59">
        <f ca="1">AVERAGE(OFFSET($CX$3,0,0,'Données projet'!$E$13+1,1))-AVERAGE(OFFSET($H$3,0,0,'Données projet'!$E$13+1,1))</f>
        <v>157.20393815370375</v>
      </c>
      <c r="CZ109" s="59">
        <f t="shared" si="96"/>
        <v>64.616965816756363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15.73801739455303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15.73801739455303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-1.1368683772161603E-13</v>
      </c>
      <c r="DP109" s="17">
        <f>DO109*VLOOKUP('Données projet'!$B$14,Paramètres!$A$1:$I$89,3,0)*VLOOKUP('Données projet'!$B$14,Paramètres!$A$1:$I$89,5,0)</f>
        <v>-9.2222762759774927E-14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221.78186926953776</v>
      </c>
      <c r="DU109" s="59">
        <f t="shared" si="98"/>
        <v>276.69392352410654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39.987320226201447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39.987320226201447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1.7</v>
      </c>
      <c r="EJ109" s="12">
        <f>IF('Données projet'!$A$192&gt;35,EJ108+EI109-ER108,IF(A109&lt;'Données projet'!$A$192,$EG$205^A109,IF(A109='Données projet'!$A$192,'Données projet'!$B$192,EJ108+EI109-ER108)))</f>
        <v>212.2</v>
      </c>
      <c r="EK109" s="17">
        <f>EJ109*VLOOKUP('Données projet'!$B$15,Paramètres!$A$1:$I$89,3,0)*VLOOKUP('Données projet'!$B$15,Paramètres!$A$1:$I$89,5,0)</f>
        <v>228.41207999999997</v>
      </c>
      <c r="EL109" s="13">
        <f t="shared" si="99"/>
        <v>55.939197785226767</v>
      </c>
      <c r="EM109" s="20">
        <f t="shared" si="73"/>
        <v>495.24514214260324</v>
      </c>
      <c r="EN109" s="59">
        <f t="shared" si="74"/>
        <v>788.57847547593656</v>
      </c>
      <c r="EO109" s="59">
        <f ca="1">AVERAGE(OFFSET($EN$3,0,0,'Données projet'!$E$15+1,1))-AVERAGE(OFFSET($H$3,0,0,'Données projet'!$E$15+1,1))</f>
        <v>219.76574638403434</v>
      </c>
      <c r="EP109" s="59">
        <f t="shared" si="100"/>
        <v>92.286636088269972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20.10968889303998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20.10968889303998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>
        <f>FE109*VLOOKUP('Données projet'!$B$16,Paramètres!$A$1:$I$89,3,0)*VLOOKUP('Données projet'!$B$16,Paramètres!$A$1:$I$89,5,0)</f>
        <v>0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86.164294406232727</v>
      </c>
      <c r="FK109" s="59">
        <f t="shared" si="102"/>
        <v>138.91188401562334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25.296291100119614</v>
      </c>
      <c r="FR109" s="21">
        <f>EXP(-LN(2)/25)*FR108+(1-EXP(-LN(2)/25))/(LN(2)/25)*Calculateur!FM109*Calculateur!FO109*VLOOKUP('Données projet'!$B$16,Paramètres!$A$1:$I$89,3,0)*0.475*44/12</f>
        <v>11.570610637611166</v>
      </c>
      <c r="FS109" s="21">
        <f>EXP(-LN(2)/2)*FS108+(1-EXP(-LN(2)/2))/(LN(2)/2)*FM109*FP109*VLOOKUP('Données projet'!$B$16,Paramètres!$A$1:$I$89,3,0)*0.475*44/12</f>
        <v>4.1956989493399904E-6</v>
      </c>
      <c r="FT109" s="22">
        <f t="shared" si="78"/>
        <v>36.866905933429727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150.21793637331223</v>
      </c>
      <c r="T110" s="59">
        <f t="shared" si="88"/>
        <v>364.59164590134486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23.207615984508848</v>
      </c>
      <c r="AA110" s="21">
        <f>EXP(-LN(2)/25)*AA109+(1-EXP(-LN(2)/25))/(LN(2)/25)*Calculateur!V110*Calculateur!X110*VLOOKUP('Données projet'!$B$9,Paramètres!$A$1:$I$89,3,0)*0.475*44/12</f>
        <v>2.6635283477922873</v>
      </c>
      <c r="AB110" s="21">
        <f>EXP(-LN(2)/2)*AB109+(1-EXP(-LN(2)/2))/(LN(2)/2)*V110*Y110*VLOOKUP('Données projet'!$B$9,Paramètres!$A$1:$I$89,3,0)*0.475*44/12</f>
        <v>4.9790547311698589E-11</v>
      </c>
      <c r="AC110" s="22">
        <f t="shared" si="57"/>
        <v>25.871144332350926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1.7</v>
      </c>
      <c r="AI110" s="13">
        <f>IF('Données projet'!$A$62&gt;35,AI109+AH110-AQ109,IF(A110&lt;'Données projet'!$A$62,$AF$205^A110,IF(A110='Données projet'!$A$62,'Données projet'!$B$62,AI109+AH110-AQ109)))</f>
        <v>213.89999999999998</v>
      </c>
      <c r="AJ110" s="13">
        <f>AI110*VLOOKUP('Données projet'!$B$10,Paramètres!$A$1:$I$89,3,0)*VLOOKUP('Données projet'!$B$10,Paramètres!$A$1:$I$89,5,0)</f>
        <v>233.57879999999994</v>
      </c>
      <c r="AK110" s="13">
        <f t="shared" si="89"/>
        <v>57.055805022709947</v>
      </c>
      <c r="AL110" s="20">
        <f t="shared" si="58"/>
        <v>506.18860374788636</v>
      </c>
      <c r="AM110" s="59">
        <f t="shared" si="59"/>
        <v>799.52193708121968</v>
      </c>
      <c r="AN110" s="59">
        <f ca="1">AVERAGE(OFFSET($AM$3,0,0,'Données projet'!$E$10+1,1))-AVERAGE(OFFSET($H$3,0,0,'Données projet'!$E$10+1,1))</f>
        <v>223.92539057016376</v>
      </c>
      <c r="AO110" s="59">
        <f t="shared" si="90"/>
        <v>94.125825809616856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20.001079872003757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20.001079872003757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1.7</v>
      </c>
      <c r="BD110" s="12">
        <f>IF('Données projet'!$A$88&gt;35,BD109+BC110-BL109,IF(A110&lt;'Données projet'!$A$88,$BA$205^A110,IF(A110='Données projet'!$A$88,'Données projet'!$B$88,BD109+BC110-BL109)))</f>
        <v>213.89999999999998</v>
      </c>
      <c r="BE110" s="13">
        <f>BD110*VLOOKUP('Données projet'!$B$11,Paramètres!$A$1:$I$89,3,0)*VLOOKUP('Données projet'!$B$11,Paramètres!$A$1:$I$89,5,0)</f>
        <v>243.58931999999999</v>
      </c>
      <c r="BF110" s="13">
        <f t="shared" si="91"/>
        <v>59.211121694234393</v>
      </c>
      <c r="BG110" s="20">
        <f t="shared" si="61"/>
        <v>527.37743595079155</v>
      </c>
      <c r="BH110" s="59">
        <f t="shared" si="62"/>
        <v>820.71076928412481</v>
      </c>
      <c r="BI110" s="59">
        <f ca="1">AVERAGE(OFFSET($BH$3,0,0,'Données projet'!$E$11+1,1))-AVERAGE(OFFSET($H$3,0,0,'Données projet'!$E$11+1,1))</f>
        <v>236.39682613502913</v>
      </c>
      <c r="BJ110" s="59">
        <f t="shared" si="92"/>
        <v>99.639724892155641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20.858269009375345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20.858269009375345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1.7</v>
      </c>
      <c r="CT110" s="12">
        <f>IF('Données projet'!$A$140&gt;35,CT109+CS110-DB109,IF(A110&lt;'Données projet'!$A$140,$CQ$205^A110,IF(A110='Données projet'!$A$140,'Données projet'!$B$140,CT109+CS110-DB109)))</f>
        <v>213.89999999999998</v>
      </c>
      <c r="CU110" s="17">
        <f>CT110*VLOOKUP('Données projet'!$B$13,Paramètres!$A$1:$I$89,3,0)*VLOOKUP('Données projet'!$B$13,Paramètres!$A$1:$I$89,5,0)</f>
        <v>180.18935999999999</v>
      </c>
      <c r="CV110" s="13">
        <f t="shared" si="95"/>
        <v>45.364312699408472</v>
      </c>
      <c r="CW110" s="20">
        <f t="shared" si="67"/>
        <v>392.83931328480304</v>
      </c>
      <c r="CX110" s="59">
        <f t="shared" si="68"/>
        <v>686.17264661813635</v>
      </c>
      <c r="CY110" s="59">
        <f ca="1">AVERAGE(OFFSET($CX$3,0,0,'Données projet'!$E$13+1,1))-AVERAGE(OFFSET($H$3,0,0,'Données projet'!$E$13+1,1))</f>
        <v>157.20393815370375</v>
      </c>
      <c r="CZ110" s="59">
        <f t="shared" si="96"/>
        <v>64.616965816756363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15.429404472688608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15.429404472688608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-1.1368683772161603E-13</v>
      </c>
      <c r="DP110" s="17">
        <f>DO110*VLOOKUP('Données projet'!$B$14,Paramètres!$A$1:$I$89,3,0)*VLOOKUP('Données projet'!$B$14,Paramètres!$A$1:$I$89,5,0)</f>
        <v>-9.2222762759774927E-14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221.78186926953776</v>
      </c>
      <c r="DU110" s="59">
        <f t="shared" si="98"/>
        <v>276.69392352410654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39.20319326642268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39.20319326642268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1.7</v>
      </c>
      <c r="EJ110" s="12">
        <f>IF('Données projet'!$A$192&gt;35,EJ109+EI110-ER109,IF(A110&lt;'Données projet'!$A$192,$EG$205^A110,IF(A110='Données projet'!$A$192,'Données projet'!$B$192,EJ109+EI110-ER109)))</f>
        <v>213.89999999999998</v>
      </c>
      <c r="EK110" s="17">
        <f>EJ110*VLOOKUP('Données projet'!$B$15,Paramètres!$A$1:$I$89,3,0)*VLOOKUP('Données projet'!$B$15,Paramètres!$A$1:$I$89,5,0)</f>
        <v>230.24195999999998</v>
      </c>
      <c r="EL110" s="13">
        <f t="shared" si="99"/>
        <v>56.334995738213458</v>
      </c>
      <c r="EM110" s="20">
        <f t="shared" si="73"/>
        <v>499.12153124405501</v>
      </c>
      <c r="EN110" s="59">
        <f t="shared" si="74"/>
        <v>792.45486457738832</v>
      </c>
      <c r="EO110" s="59">
        <f ca="1">AVERAGE(OFFSET($EN$3,0,0,'Données projet'!$E$15+1,1))-AVERAGE(OFFSET($H$3,0,0,'Données projet'!$E$15+1,1))</f>
        <v>219.76574638403434</v>
      </c>
      <c r="EP110" s="59">
        <f t="shared" si="100"/>
        <v>92.286636088269972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19.715350159546553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19.715350159546553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>
        <f>FE110*VLOOKUP('Données projet'!$B$16,Paramètres!$A$1:$I$89,3,0)*VLOOKUP('Données projet'!$B$16,Paramètres!$A$1:$I$89,5,0)</f>
        <v>0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86.164294406232727</v>
      </c>
      <c r="FK110" s="59">
        <f t="shared" si="102"/>
        <v>138.91188401562334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24.80024626086033</v>
      </c>
      <c r="FR110" s="21">
        <f>EXP(-LN(2)/25)*FR109+(1-EXP(-LN(2)/25))/(LN(2)/25)*Calculateur!FM110*Calculateur!FO110*VLOOKUP('Données projet'!$B$16,Paramètres!$A$1:$I$89,3,0)*0.475*44/12</f>
        <v>11.25421168125372</v>
      </c>
      <c r="FS110" s="21">
        <f>EXP(-LN(2)/2)*FS109+(1-EXP(-LN(2)/2))/(LN(2)/2)*FM110*FP110*VLOOKUP('Données projet'!$B$16,Paramètres!$A$1:$I$89,3,0)*0.475*44/12</f>
        <v>2.9668071788955799E-6</v>
      </c>
      <c r="FT110" s="22">
        <f t="shared" si="78"/>
        <v>36.054460908921229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150.21793637331223</v>
      </c>
      <c r="T111" s="59">
        <f t="shared" si="88"/>
        <v>364.59164590134486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22.752528790300666</v>
      </c>
      <c r="AA111" s="21">
        <f>EXP(-LN(2)/25)*AA110+(1-EXP(-LN(2)/25))/(LN(2)/25)*Calculateur!V111*Calculateur!X111*VLOOKUP('Données projet'!$B$9,Paramètres!$A$1:$I$89,3,0)*0.475*44/12</f>
        <v>2.5906940250530388</v>
      </c>
      <c r="AB111" s="21">
        <f>EXP(-LN(2)/2)*AB110+(1-EXP(-LN(2)/2))/(LN(2)/2)*V111*Y111*VLOOKUP('Données projet'!$B$9,Paramètres!$A$1:$I$89,3,0)*0.475*44/12</f>
        <v>3.5207233643091696E-11</v>
      </c>
      <c r="AC111" s="22">
        <f t="shared" si="57"/>
        <v>25.343222815388913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1.7</v>
      </c>
      <c r="AI111" s="13">
        <f>IF('Données projet'!$A$62&gt;35,AI110+AH111-AQ110,IF(A111&lt;'Données projet'!$A$62,$AF$205^A111,IF(A111='Données projet'!$A$62,'Données projet'!$B$62,AI110+AH111-AQ110)))</f>
        <v>215.59999999999997</v>
      </c>
      <c r="AJ111" s="13">
        <f>AI111*VLOOKUP('Données projet'!$B$10,Paramètres!$A$1:$I$89,3,0)*VLOOKUP('Données projet'!$B$10,Paramètres!$A$1:$I$89,5,0)</f>
        <v>235.43519999999995</v>
      </c>
      <c r="AK111" s="13">
        <f t="shared" si="89"/>
        <v>57.456296559323789</v>
      </c>
      <c r="AL111" s="20">
        <f t="shared" si="58"/>
        <v>510.11935650748882</v>
      </c>
      <c r="AM111" s="59">
        <f t="shared" si="59"/>
        <v>803.45268984082213</v>
      </c>
      <c r="AN111" s="59">
        <f ca="1">AVERAGE(OFFSET($AM$3,0,0,'Données projet'!$E$10+1,1))-AVERAGE(OFFSET($H$3,0,0,'Données projet'!$E$10+1,1))</f>
        <v>223.92539057016376</v>
      </c>
      <c r="AO111" s="59">
        <f t="shared" si="90"/>
        <v>94.125825809616856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19.60887089516789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19.60887089516789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1.7</v>
      </c>
      <c r="BD111" s="12">
        <f>IF('Données projet'!$A$88&gt;35,BD110+BC111-BL110,IF(A111&lt;'Données projet'!$A$88,$BA$205^A111,IF(A111='Données projet'!$A$88,'Données projet'!$B$88,BD110+BC111-BL110)))</f>
        <v>215.59999999999997</v>
      </c>
      <c r="BE111" s="13">
        <f>BD111*VLOOKUP('Données projet'!$B$11,Paramètres!$A$1:$I$89,3,0)*VLOOKUP('Données projet'!$B$11,Paramètres!$A$1:$I$89,5,0)</f>
        <v>245.52527999999998</v>
      </c>
      <c r="BF111" s="13">
        <f t="shared" si="91"/>
        <v>59.626742034750393</v>
      </c>
      <c r="BG111" s="20">
        <f t="shared" si="61"/>
        <v>531.47310504385689</v>
      </c>
      <c r="BH111" s="59">
        <f t="shared" si="62"/>
        <v>824.80643837719026</v>
      </c>
      <c r="BI111" s="59">
        <f ca="1">AVERAGE(OFFSET($BH$3,0,0,'Données projet'!$E$11+1,1))-AVERAGE(OFFSET($H$3,0,0,'Données projet'!$E$11+1,1))</f>
        <v>236.39682613502913</v>
      </c>
      <c r="BJ111" s="59">
        <f t="shared" si="92"/>
        <v>99.639724892155641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20.44925107638937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20.44925107638937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1.7</v>
      </c>
      <c r="CT111" s="12">
        <f>IF('Données projet'!$A$140&gt;35,CT110+CS111-DB110,IF(A111&lt;'Données projet'!$A$140,$CQ$205^A111,IF(A111='Données projet'!$A$140,'Données projet'!$B$140,CT110+CS111-DB110)))</f>
        <v>215.59999999999997</v>
      </c>
      <c r="CU111" s="17">
        <f>CT111*VLOOKUP('Données projet'!$B$13,Paramètres!$A$1:$I$89,3,0)*VLOOKUP('Données projet'!$B$13,Paramètres!$A$1:$I$89,5,0)</f>
        <v>181.62144000000001</v>
      </c>
      <c r="CV111" s="13">
        <f t="shared" si="95"/>
        <v>45.68273820042775</v>
      </c>
      <c r="CW111" s="20">
        <f t="shared" si="67"/>
        <v>395.88811036574498</v>
      </c>
      <c r="CX111" s="59">
        <f t="shared" si="68"/>
        <v>689.22144369907824</v>
      </c>
      <c r="CY111" s="59">
        <f ca="1">AVERAGE(OFFSET($CX$3,0,0,'Données projet'!$E$13+1,1))-AVERAGE(OFFSET($H$3,0,0,'Données projet'!$E$13+1,1))</f>
        <v>157.20393815370375</v>
      </c>
      <c r="CZ111" s="59">
        <f t="shared" si="96"/>
        <v>64.616965816756363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15.126843261986654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15.126843261986654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-1.1368683772161603E-13</v>
      </c>
      <c r="DP111" s="17">
        <f>DO111*VLOOKUP('Données projet'!$B$14,Paramètres!$A$1:$I$89,3,0)*VLOOKUP('Données projet'!$B$14,Paramètres!$A$1:$I$89,5,0)</f>
        <v>-9.2222762759774927E-14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221.78186926953776</v>
      </c>
      <c r="DU111" s="59">
        <f t="shared" si="98"/>
        <v>276.69392352410654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38.434442558054954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38.434442558054954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1.7</v>
      </c>
      <c r="EJ111" s="12">
        <f>IF('Données projet'!$A$192&gt;35,EJ110+EI111-ER110,IF(A111&lt;'Données projet'!$A$192,$EG$205^A111,IF(A111='Données projet'!$A$192,'Données projet'!$B$192,EJ110+EI111-ER110)))</f>
        <v>215.59999999999997</v>
      </c>
      <c r="EK111" s="17">
        <f>EJ111*VLOOKUP('Données projet'!$B$15,Paramètres!$A$1:$I$89,3,0)*VLOOKUP('Données projet'!$B$15,Paramètres!$A$1:$I$89,5,0)</f>
        <v>232.07183999999992</v>
      </c>
      <c r="EL111" s="13">
        <f t="shared" si="99"/>
        <v>56.730427701698169</v>
      </c>
      <c r="EM111" s="20">
        <f t="shared" si="73"/>
        <v>502.9972829137908</v>
      </c>
      <c r="EN111" s="59">
        <f t="shared" si="74"/>
        <v>796.33061624712411</v>
      </c>
      <c r="EO111" s="59">
        <f ca="1">AVERAGE(OFFSET($EN$3,0,0,'Données projet'!$E$15+1,1))-AVERAGE(OFFSET($H$3,0,0,'Données projet'!$E$15+1,1))</f>
        <v>219.76574638403434</v>
      </c>
      <c r="EP111" s="59">
        <f t="shared" si="100"/>
        <v>92.286636088269972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19.328744168094055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19.328744168094055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>
        <f>FE111*VLOOKUP('Données projet'!$B$16,Paramètres!$A$1:$I$89,3,0)*VLOOKUP('Données projet'!$B$16,Paramètres!$A$1:$I$89,5,0)</f>
        <v>0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86.164294406232727</v>
      </c>
      <c r="FK111" s="59">
        <f t="shared" si="102"/>
        <v>138.91188401562334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24.313928558341445</v>
      </c>
      <c r="FR111" s="21">
        <f>EXP(-LN(2)/25)*FR110+(1-EXP(-LN(2)/25))/(LN(2)/25)*Calculateur!FM111*Calculateur!FO111*VLOOKUP('Données projet'!$B$16,Paramètres!$A$1:$I$89,3,0)*0.475*44/12</f>
        <v>10.946464670996566</v>
      </c>
      <c r="FS111" s="21">
        <f>EXP(-LN(2)/2)*FS110+(1-EXP(-LN(2)/2))/(LN(2)/2)*FM111*FP111*VLOOKUP('Données projet'!$B$16,Paramètres!$A$1:$I$89,3,0)*0.475*44/12</f>
        <v>2.0978494746699952E-6</v>
      </c>
      <c r="FT111" s="22">
        <f t="shared" si="78"/>
        <v>35.260395327187481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150.21793637331223</v>
      </c>
      <c r="T112" s="59">
        <f t="shared" si="88"/>
        <v>364.59164590134486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22.306365578395127</v>
      </c>
      <c r="AA112" s="21">
        <f>EXP(-LN(2)/25)*AA111+(1-EXP(-LN(2)/25))/(LN(2)/25)*Calculateur!V112*Calculateur!X112*VLOOKUP('Données projet'!$B$9,Paramètres!$A$1:$I$89,3,0)*0.475*44/12</f>
        <v>2.5198513606992856</v>
      </c>
      <c r="AB112" s="21">
        <f>EXP(-LN(2)/2)*AB111+(1-EXP(-LN(2)/2))/(LN(2)/2)*V112*Y112*VLOOKUP('Données projet'!$B$9,Paramètres!$A$1:$I$89,3,0)*0.475*44/12</f>
        <v>2.4895273655849294E-11</v>
      </c>
      <c r="AC112" s="22">
        <f t="shared" si="57"/>
        <v>24.826216939119305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1.7</v>
      </c>
      <c r="AI112" s="13">
        <f>IF('Données projet'!$A$62&gt;35,AI111+AH112-AQ111,IF(A112&lt;'Données projet'!$A$62,$AF$205^A112,IF(A112='Données projet'!$A$62,'Données projet'!$B$62,AI111+AH112-AQ111)))</f>
        <v>217.29999999999995</v>
      </c>
      <c r="AJ112" s="13">
        <f>AI112*VLOOKUP('Données projet'!$B$10,Paramètres!$A$1:$I$89,3,0)*VLOOKUP('Données projet'!$B$10,Paramètres!$A$1:$I$89,5,0)</f>
        <v>237.29159999999993</v>
      </c>
      <c r="AK112" s="13">
        <f t="shared" si="89"/>
        <v>57.856420685099586</v>
      </c>
      <c r="AL112" s="20">
        <f t="shared" si="58"/>
        <v>514.04946935988164</v>
      </c>
      <c r="AM112" s="59">
        <f t="shared" si="59"/>
        <v>807.3828026932149</v>
      </c>
      <c r="AN112" s="59">
        <f ca="1">AVERAGE(OFFSET($AM$3,0,0,'Données projet'!$E$10+1,1))-AVERAGE(OFFSET($H$3,0,0,'Données projet'!$E$10+1,1))</f>
        <v>223.92539057016376</v>
      </c>
      <c r="AO112" s="59">
        <f t="shared" si="90"/>
        <v>94.125825809616856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19.22435289714392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19.22435289714392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1.7</v>
      </c>
      <c r="BD112" s="12">
        <f>IF('Données projet'!$A$88&gt;35,BD111+BC112-BL111,IF(A112&lt;'Données projet'!$A$88,$BA$205^A112,IF(A112='Données projet'!$A$88,'Données projet'!$B$88,BD111+BC112-BL111)))</f>
        <v>217.29999999999995</v>
      </c>
      <c r="BE112" s="13">
        <f>BD112*VLOOKUP('Données projet'!$B$11,Paramètres!$A$1:$I$89,3,0)*VLOOKUP('Données projet'!$B$11,Paramètres!$A$1:$I$89,5,0)</f>
        <v>247.46123999999995</v>
      </c>
      <c r="BF112" s="13">
        <f t="shared" si="91"/>
        <v>60.041981085267281</v>
      </c>
      <c r="BG112" s="20">
        <f t="shared" si="61"/>
        <v>535.56811005684028</v>
      </c>
      <c r="BH112" s="59">
        <f t="shared" si="62"/>
        <v>828.90144339017365</v>
      </c>
      <c r="BI112" s="59">
        <f ca="1">AVERAGE(OFFSET($BH$3,0,0,'Données projet'!$E$11+1,1))-AVERAGE(OFFSET($H$3,0,0,'Données projet'!$E$11+1,1))</f>
        <v>236.39682613502913</v>
      </c>
      <c r="BJ112" s="59">
        <f t="shared" si="92"/>
        <v>99.639724892155641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20.048253735592944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20.048253735592944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1.7</v>
      </c>
      <c r="CT112" s="12">
        <f>IF('Données projet'!$A$140&gt;35,CT111+CS112-DB111,IF(A112&lt;'Données projet'!$A$140,$CQ$205^A112,IF(A112='Données projet'!$A$140,'Données projet'!$B$140,CT111+CS112-DB111)))</f>
        <v>217.29999999999995</v>
      </c>
      <c r="CU112" s="17">
        <f>CT112*VLOOKUP('Données projet'!$B$13,Paramètres!$A$1:$I$89,3,0)*VLOOKUP('Données projet'!$B$13,Paramètres!$A$1:$I$89,5,0)</f>
        <v>183.05351999999999</v>
      </c>
      <c r="CV112" s="13">
        <f t="shared" si="95"/>
        <v>46.000871577970024</v>
      </c>
      <c r="CW112" s="20">
        <f t="shared" si="67"/>
        <v>398.93639866496443</v>
      </c>
      <c r="CX112" s="59">
        <f t="shared" si="68"/>
        <v>692.26973199829774</v>
      </c>
      <c r="CY112" s="59">
        <f ca="1">AVERAGE(OFFSET($CX$3,0,0,'Données projet'!$E$13+1,1))-AVERAGE(OFFSET($H$3,0,0,'Données projet'!$E$13+1,1))</f>
        <v>157.20393815370375</v>
      </c>
      <c r="CZ112" s="59">
        <f t="shared" si="96"/>
        <v>64.616965816756363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14.830215092082447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14.830215092082447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-1.1368683772161603E-13</v>
      </c>
      <c r="DP112" s="17">
        <f>DO112*VLOOKUP('Données projet'!$B$14,Paramètres!$A$1:$I$89,3,0)*VLOOKUP('Données projet'!$B$14,Paramètres!$A$1:$I$89,5,0)</f>
        <v>-9.2222762759774927E-14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221.78186926953776</v>
      </c>
      <c r="DU112" s="59">
        <f t="shared" si="98"/>
        <v>276.69392352410654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37.680766582186685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37.680766582186685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1.7</v>
      </c>
      <c r="EJ112" s="12">
        <f>IF('Données projet'!$A$192&gt;35,EJ111+EI112-ER111,IF(A112&lt;'Données projet'!$A$192,$EG$205^A112,IF(A112='Données projet'!$A$192,'Données projet'!$B$192,EJ111+EI112-ER111)))</f>
        <v>217.29999999999995</v>
      </c>
      <c r="EK112" s="17">
        <f>EJ112*VLOOKUP('Données projet'!$B$15,Paramètres!$A$1:$I$89,3,0)*VLOOKUP('Données projet'!$B$15,Paramètres!$A$1:$I$89,5,0)</f>
        <v>233.90171999999993</v>
      </c>
      <c r="EL112" s="13">
        <f t="shared" si="99"/>
        <v>57.125496895995951</v>
      </c>
      <c r="EM112" s="20">
        <f t="shared" si="73"/>
        <v>506.87240276052609</v>
      </c>
      <c r="EN112" s="59">
        <f t="shared" si="74"/>
        <v>800.2057360938594</v>
      </c>
      <c r="EO112" s="59">
        <f ca="1">AVERAGE(OFFSET($EN$3,0,0,'Données projet'!$E$15+1,1))-AVERAGE(OFFSET($H$3,0,0,'Données projet'!$E$15+1,1))</f>
        <v>219.76574638403434</v>
      </c>
      <c r="EP112" s="59">
        <f t="shared" si="100"/>
        <v>92.286636088269972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18.949719284327568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18.949719284327568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>
        <f>FE112*VLOOKUP('Données projet'!$B$16,Paramètres!$A$1:$I$89,3,0)*VLOOKUP('Données projet'!$B$16,Paramètres!$A$1:$I$89,5,0)</f>
        <v>0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86.164294406232727</v>
      </c>
      <c r="FK112" s="59">
        <f t="shared" si="102"/>
        <v>138.91188401562334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23.837147249344447</v>
      </c>
      <c r="FR112" s="21">
        <f>EXP(-LN(2)/25)*FR111+(1-EXP(-LN(2)/25))/(LN(2)/25)*Calculateur!FM112*Calculateur!FO112*VLOOKUP('Données projet'!$B$16,Paramètres!$A$1:$I$89,3,0)*0.475*44/12</f>
        <v>10.647133018918606</v>
      </c>
      <c r="FS112" s="21">
        <f>EXP(-LN(2)/2)*FS111+(1-EXP(-LN(2)/2))/(LN(2)/2)*FM112*FP112*VLOOKUP('Données projet'!$B$16,Paramètres!$A$1:$I$89,3,0)*0.475*44/12</f>
        <v>1.48340358944779E-6</v>
      </c>
      <c r="FT112" s="22">
        <f t="shared" si="78"/>
        <v>34.484281751666636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150.21793637331223</v>
      </c>
      <c r="T113" s="59">
        <f t="shared" si="88"/>
        <v>364.59164590134486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21.868951354942364</v>
      </c>
      <c r="AA113" s="21">
        <f>EXP(-LN(2)/25)*AA112+(1-EXP(-LN(2)/25))/(LN(2)/25)*Calculateur!V113*Calculateur!X113*VLOOKUP('Données projet'!$B$9,Paramètres!$A$1:$I$89,3,0)*0.475*44/12</f>
        <v>2.4509458927277397</v>
      </c>
      <c r="AB113" s="21">
        <f>EXP(-LN(2)/2)*AB112+(1-EXP(-LN(2)/2))/(LN(2)/2)*V113*Y113*VLOOKUP('Données projet'!$B$9,Paramètres!$A$1:$I$89,3,0)*0.475*44/12</f>
        <v>1.7603616821545848E-11</v>
      </c>
      <c r="AC113" s="22">
        <f t="shared" si="57"/>
        <v>24.31989724768771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219</v>
      </c>
      <c r="AG113" s="12">
        <f>VLOOKUP(A113,'Données projet'!$A$61:$I$81,9,0)</f>
        <v>1.7</v>
      </c>
      <c r="AH113" s="12">
        <f t="array" ref="AH113">INDEX(AG:AG,MIN(IF(ISNUMBER(AG113:AG309),ROW(AG113:AG309),"")))</f>
        <v>1.7</v>
      </c>
      <c r="AI113" s="13">
        <f>IF('Données projet'!$A$62&gt;35,AI112+AH113-AQ112,IF(A113&lt;'Données projet'!$A$62,$AF$205^A113,IF(A113='Données projet'!$A$62,'Données projet'!$B$62,AI112+AH113-AQ112)))</f>
        <v>218.99999999999994</v>
      </c>
      <c r="AJ113" s="13">
        <f>AI113*VLOOKUP('Données projet'!$B$10,Paramètres!$A$1:$I$89,3,0)*VLOOKUP('Données projet'!$B$10,Paramètres!$A$1:$I$89,5,0)</f>
        <v>239.14799999999994</v>
      </c>
      <c r="AK113" s="13">
        <f t="shared" si="89"/>
        <v>58.256180607577782</v>
      </c>
      <c r="AL113" s="20">
        <f t="shared" si="58"/>
        <v>517.97894789153122</v>
      </c>
      <c r="AM113" s="59">
        <f t="shared" si="59"/>
        <v>811.31228122486459</v>
      </c>
      <c r="AN113" s="59">
        <f ca="1">AVERAGE(OFFSET($AM$3,0,0,'Données projet'!$E$10+1,1))-AVERAGE(OFFSET($H$3,0,0,'Données projet'!$E$10+1,1))</f>
        <v>223.92539057016376</v>
      </c>
      <c r="AO113" s="59">
        <f t="shared" si="90"/>
        <v>94.125825809616856</v>
      </c>
      <c r="AP113" s="15">
        <f>IF(ISNA(VLOOKUP(A113,'Données projet'!$A$61:$I$81,3,0)),0,VLOOKUP(A113,'Données projet'!$A$61:$I$81,3,0))</f>
        <v>18</v>
      </c>
      <c r="AQ113" s="15">
        <f>IF(ISNA(VLOOKUP(A113,'Données projet'!$A$61:$I$81,4,0)),0,VLOOKUP(A113,'Données projet'!$A$61:$I$81,4,0))</f>
        <v>13</v>
      </c>
      <c r="AR113" s="16">
        <f>IF(ISNA(VLOOKUP(A113,'Données projet'!$A$61:$I$81,5,0)),0%,VLOOKUP(A113,'Données projet'!$A$61:$I$81,5,0)*VLOOKUP('Données projet'!$B$10,Paramètres!$A$1:$I$89,7,0))</f>
        <v>0.30099999999999999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23.571045572391156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23.571045572391156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219</v>
      </c>
      <c r="BB113" s="12">
        <f>VLOOKUP(A113,'Données projet'!$A$87:$I$107,9,0)</f>
        <v>1.7</v>
      </c>
      <c r="BC113" s="12">
        <f t="array" ref="BC113">INDEX(BB:BB,MIN(IF(ISNUMBER(BB113:BB309),ROW(BB113:BB309),"")))</f>
        <v>1.7</v>
      </c>
      <c r="BD113" s="12">
        <f>IF('Données projet'!$A$88&gt;35,BD112+BC113-BL112,IF(A113&lt;'Données projet'!$A$88,$BA$205^A113,IF(A113='Données projet'!$A$88,'Données projet'!$B$88,BD112+BC113-BL112)))</f>
        <v>218.99999999999994</v>
      </c>
      <c r="BE113" s="13">
        <f>BD113*VLOOKUP('Données projet'!$B$11,Paramètres!$A$1:$I$89,3,0)*VLOOKUP('Données projet'!$B$11,Paramètres!$A$1:$I$89,5,0)</f>
        <v>249.39719999999991</v>
      </c>
      <c r="BF113" s="13">
        <f t="shared" si="91"/>
        <v>60.456842174492401</v>
      </c>
      <c r="BG113" s="20">
        <f t="shared" si="61"/>
        <v>539.66245678724067</v>
      </c>
      <c r="BH113" s="59">
        <f t="shared" si="62"/>
        <v>832.99579012057393</v>
      </c>
      <c r="BI113" s="59">
        <f ca="1">AVERAGE(OFFSET($BH$3,0,0,'Données projet'!$E$11+1,1))-AVERAGE(OFFSET($H$3,0,0,'Données projet'!$E$11+1,1))</f>
        <v>236.39682613502913</v>
      </c>
      <c r="BJ113" s="59">
        <f t="shared" si="92"/>
        <v>99.639724892155641</v>
      </c>
      <c r="BK113" s="15">
        <f>IF(ISNA(VLOOKUP(A113,'Données projet'!$A$87:$I$107,3,0)),0,VLOOKUP(A113,'Données projet'!$A$87:$I$107,3,0))</f>
        <v>18</v>
      </c>
      <c r="BL113" s="15">
        <f>IF(ISNA(VLOOKUP(A113,'Données projet'!$A$87:$I$107,4,0)),0,VLOOKUP(A113,'Données projet'!$A$87:$I$107,4,0))</f>
        <v>13</v>
      </c>
      <c r="BM113" s="16">
        <f>IF(ISNA(VLOOKUP(A113,'Données projet'!$A$87:$I$107,5,0)),0%,VLOOKUP(A113,'Données projet'!$A$87:$I$107,5,0)*VLOOKUP('Données projet'!$B$11,Paramètres!$A$1:$I$89,7,0))</f>
        <v>0.30099999999999999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24.581233239779348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24.581233239779348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219</v>
      </c>
      <c r="CR113" s="12">
        <f>VLOOKUP(A113,'Données projet'!$A$139:$I$159,9,0)</f>
        <v>1.7</v>
      </c>
      <c r="CS113" s="12">
        <f t="array" ref="CS113">INDEX(CR:CR,MIN(IF(ISNUMBER(CR113:CR309),ROW(CR113:CR309),"")))</f>
        <v>1.7</v>
      </c>
      <c r="CT113" s="12">
        <f>IF('Données projet'!$A$140&gt;35,CT112+CS113-DB112,IF(A113&lt;'Données projet'!$A$140,$CQ$205^A113,IF(A113='Données projet'!$A$140,'Données projet'!$B$140,CT112+CS113-DB112)))</f>
        <v>218.99999999999994</v>
      </c>
      <c r="CU113" s="17">
        <f>CT113*VLOOKUP('Données projet'!$B$13,Paramètres!$A$1:$I$89,3,0)*VLOOKUP('Données projet'!$B$13,Paramètres!$A$1:$I$89,5,0)</f>
        <v>184.48559999999998</v>
      </c>
      <c r="CV113" s="13">
        <f t="shared" si="95"/>
        <v>46.318715382308191</v>
      </c>
      <c r="CW113" s="20">
        <f t="shared" si="67"/>
        <v>401.98418262418676</v>
      </c>
      <c r="CX113" s="59">
        <f t="shared" si="68"/>
        <v>695.31751595752007</v>
      </c>
      <c r="CY113" s="59">
        <f ca="1">AVERAGE(OFFSET($CX$3,0,0,'Données projet'!$E$13+1,1))-AVERAGE(OFFSET($H$3,0,0,'Données projet'!$E$13+1,1))</f>
        <v>157.20393815370375</v>
      </c>
      <c r="CZ113" s="59">
        <f t="shared" si="96"/>
        <v>64.616965816756363</v>
      </c>
      <c r="DA113" s="15">
        <f>IF(ISNA(VLOOKUP(A113,'Données projet'!$A$139:$I$159,3,0)),0,VLOOKUP(A113,'Données projet'!$A$139:$I$159,3,0))</f>
        <v>18</v>
      </c>
      <c r="DB113" s="15">
        <f>IF(ISNA(VLOOKUP(A113,'Données projet'!$A$139:$I$159,4,0)),0,VLOOKUP(A113,'Données projet'!$A$139:$I$159,4,0))</f>
        <v>13</v>
      </c>
      <c r="DC113" s="16">
        <f>IF(ISNA(VLOOKUP(A113,'Données projet'!$A$139:$I$159,5,0)),0%,VLOOKUP(A113,'Données projet'!$A$139:$I$159,5,0)*VLOOKUP('Données projet'!$B$13,Paramètres!$A$1:$I$89,7,0))</f>
        <v>0.30099999999999999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18.183378012987458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18.183378012987458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-1.1368683772161603E-13</v>
      </c>
      <c r="DP113" s="17">
        <f>DO113*VLOOKUP('Données projet'!$B$14,Paramètres!$A$1:$I$89,3,0)*VLOOKUP('Données projet'!$B$14,Paramètres!$A$1:$I$89,5,0)</f>
        <v>-9.2222762759774927E-14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221.78186926953776</v>
      </c>
      <c r="DU113" s="59">
        <f t="shared" si="98"/>
        <v>276.69392352410654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36.941869732508238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36.941869732508238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219</v>
      </c>
      <c r="EH113" s="12">
        <f>VLOOKUP(A113,'Données projet'!$A$191:$I$211,9,0)</f>
        <v>1.7</v>
      </c>
      <c r="EI113" s="12">
        <f t="array" ref="EI113">INDEX(EH:EH,MIN(IF(ISNUMBER(EH113:EH309),ROW(EH113:EH309),"")))</f>
        <v>1.7</v>
      </c>
      <c r="EJ113" s="12">
        <f>IF('Données projet'!$A$192&gt;35,EJ112+EI113-ER112,IF(A113&lt;'Données projet'!$A$192,$EG$205^A113,IF(A113='Données projet'!$A$192,'Données projet'!$B$192,EJ112+EI113-ER112)))</f>
        <v>218.99999999999994</v>
      </c>
      <c r="EK113" s="17">
        <f>EJ113*VLOOKUP('Données projet'!$B$15,Paramètres!$A$1:$I$89,3,0)*VLOOKUP('Données projet'!$B$15,Paramètres!$A$1:$I$89,5,0)</f>
        <v>235.73159999999993</v>
      </c>
      <c r="EL113" s="13">
        <f t="shared" si="99"/>
        <v>57.520206488125218</v>
      </c>
      <c r="EM113" s="20">
        <f t="shared" si="73"/>
        <v>510.74689630015132</v>
      </c>
      <c r="EN113" s="59">
        <f t="shared" si="74"/>
        <v>804.08022963348458</v>
      </c>
      <c r="EO113" s="59">
        <f ca="1">AVERAGE(OFFSET($EN$3,0,0,'Données projet'!$E$15+1,1))-AVERAGE(OFFSET($H$3,0,0,'Données projet'!$E$15+1,1))</f>
        <v>219.76574638403434</v>
      </c>
      <c r="EP113" s="59">
        <f t="shared" si="100"/>
        <v>92.286636088269972</v>
      </c>
      <c r="EQ113" s="15">
        <f>IF(ISNA(VLOOKUP(A113,'Données projet'!$A$191:$I$211,3,0)),0,VLOOKUP(A113,'Données projet'!$A$191:$I$211,3,0))</f>
        <v>18</v>
      </c>
      <c r="ER113" s="15">
        <f>IF(ISNA(VLOOKUP(A113,'Données projet'!$A$191:$I$211,4,0)),0,VLOOKUP(A113,'Données projet'!$A$191:$I$211,4,0))</f>
        <v>13</v>
      </c>
      <c r="ES113" s="16">
        <f>IF(ISNA(VLOOKUP(A113,'Données projet'!$A$191:$I$211,5,0)),0%,VLOOKUP(A113,'Données projet'!$A$191:$I$211,5,0)*VLOOKUP('Données projet'!$B$15,Paramètres!$A$1:$I$89,7,0))</f>
        <v>0.30099999999999999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23.234316349928417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23.234316349928417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>
        <f>FE113*VLOOKUP('Données projet'!$B$16,Paramètres!$A$1:$I$89,3,0)*VLOOKUP('Données projet'!$B$16,Paramètres!$A$1:$I$89,5,0)</f>
        <v>0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86.164294406232727</v>
      </c>
      <c r="FK113" s="59">
        <f t="shared" si="102"/>
        <v>138.91188401562334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23.369715331008994</v>
      </c>
      <c r="FR113" s="21">
        <f>EXP(-LN(2)/25)*FR112+(1-EXP(-LN(2)/25))/(LN(2)/25)*Calculateur!FM113*Calculateur!FO113*VLOOKUP('Données projet'!$B$16,Paramètres!$A$1:$I$89,3,0)*0.475*44/12</f>
        <v>10.355986606607885</v>
      </c>
      <c r="FS113" s="21">
        <f>EXP(-LN(2)/2)*FS112+(1-EXP(-LN(2)/2))/(LN(2)/2)*FM113*FP113*VLOOKUP('Données projet'!$B$16,Paramètres!$A$1:$I$89,3,0)*0.475*44/12</f>
        <v>1.0489247373349976E-6</v>
      </c>
      <c r="FT113" s="22">
        <f t="shared" si="78"/>
        <v>33.725702986541613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150.21793637331223</v>
      </c>
      <c r="T114" s="59">
        <f t="shared" si="88"/>
        <v>364.59164590134486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21.440114557615178</v>
      </c>
      <c r="AA114" s="21">
        <f>EXP(-LN(2)/25)*AA113+(1-EXP(-LN(2)/25))/(LN(2)/25)*Calculateur!V114*Calculateur!X114*VLOOKUP('Données projet'!$B$9,Paramètres!$A$1:$I$89,3,0)*0.475*44/12</f>
        <v>2.3839246484014569</v>
      </c>
      <c r="AB114" s="21">
        <f>EXP(-LN(2)/2)*AB113+(1-EXP(-LN(2)/2))/(LN(2)/2)*V114*Y114*VLOOKUP('Données projet'!$B$9,Paramètres!$A$1:$I$89,3,0)*0.475*44/12</f>
        <v>1.2447636827924647E-11</v>
      </c>
      <c r="AC114" s="22">
        <f t="shared" si="57"/>
        <v>23.824039206029084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1.5</v>
      </c>
      <c r="AI114" s="13">
        <f>IF('Données projet'!$A$62&gt;35,AI113+AH114-AQ113,IF(A114&lt;'Données projet'!$A$62,$AF$205^A114,IF(A114='Données projet'!$A$62,'Données projet'!$B$62,AI113+AH114-AQ113)))</f>
        <v>207.49999999999994</v>
      </c>
      <c r="AJ114" s="13">
        <f>AI114*VLOOKUP('Données projet'!$B$10,Paramètres!$A$1:$I$89,3,0)*VLOOKUP('Données projet'!$B$10,Paramètres!$A$1:$I$89,5,0)</f>
        <v>226.58999999999992</v>
      </c>
      <c r="AK114" s="13">
        <f t="shared" si="89"/>
        <v>55.544720048447708</v>
      </c>
      <c r="AL114" s="20">
        <f t="shared" si="58"/>
        <v>491.3846374177129</v>
      </c>
      <c r="AM114" s="59">
        <f t="shared" si="59"/>
        <v>784.71797075104621</v>
      </c>
      <c r="AN114" s="59">
        <f ca="1">AVERAGE(OFFSET($AM$3,0,0,'Données projet'!$E$10+1,1))-AVERAGE(OFFSET($H$3,0,0,'Données projet'!$E$10+1,1))</f>
        <v>223.92539057016376</v>
      </c>
      <c r="AO114" s="59">
        <f t="shared" si="90"/>
        <v>94.125825809616856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23.108831745634763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23.108831745634763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1.5</v>
      </c>
      <c r="BD114" s="12">
        <f>IF('Données projet'!$A$88&gt;35,BD113+BC114-BL113,IF(A114&lt;'Données projet'!$A$88,$BA$205^A114,IF(A114='Données projet'!$A$88,'Données projet'!$B$88,BD113+BC114-BL113)))</f>
        <v>207.49999999999994</v>
      </c>
      <c r="BE114" s="13">
        <f>BD114*VLOOKUP('Données projet'!$B$11,Paramètres!$A$1:$I$89,3,0)*VLOOKUP('Données projet'!$B$11,Paramètres!$A$1:$I$89,5,0)</f>
        <v>236.30099999999996</v>
      </c>
      <c r="BF114" s="13">
        <f t="shared" si="91"/>
        <v>57.642954594221386</v>
      </c>
      <c r="BG114" s="20">
        <f t="shared" si="61"/>
        <v>511.95238758493542</v>
      </c>
      <c r="BH114" s="59">
        <f t="shared" si="62"/>
        <v>805.28572091826868</v>
      </c>
      <c r="BI114" s="59">
        <f ca="1">AVERAGE(OFFSET($BH$3,0,0,'Données projet'!$E$11+1,1))-AVERAGE(OFFSET($H$3,0,0,'Données projet'!$E$11+1,1))</f>
        <v>236.39682613502913</v>
      </c>
      <c r="BJ114" s="59">
        <f t="shared" si="92"/>
        <v>99.639724892155641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24.099210249019109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24.099210249019109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1.5</v>
      </c>
      <c r="CT114" s="12">
        <f>IF('Données projet'!$A$140&gt;35,CT113+CS114-DB113,IF(A114&lt;'Données projet'!$A$140,$CQ$205^A114,IF(A114='Données projet'!$A$140,'Données projet'!$B$140,CT113+CS114-DB113)))</f>
        <v>207.49999999999994</v>
      </c>
      <c r="CU114" s="17">
        <f>CT114*VLOOKUP('Données projet'!$B$13,Paramètres!$A$1:$I$89,3,0)*VLOOKUP('Données projet'!$B$13,Paramètres!$A$1:$I$89,5,0)</f>
        <v>174.79799999999997</v>
      </c>
      <c r="CV114" s="13">
        <f t="shared" si="95"/>
        <v>44.162869108164259</v>
      </c>
      <c r="CW114" s="20">
        <f t="shared" si="67"/>
        <v>381.35684703005268</v>
      </c>
      <c r="CX114" s="59">
        <f t="shared" si="68"/>
        <v>674.69018036338593</v>
      </c>
      <c r="CY114" s="59">
        <f ca="1">AVERAGE(OFFSET($CX$3,0,0,'Données projet'!$E$13+1,1))-AVERAGE(OFFSET($H$3,0,0,'Données projet'!$E$13+1,1))</f>
        <v>157.20393815370375</v>
      </c>
      <c r="CZ114" s="59">
        <f t="shared" si="96"/>
        <v>64.616965816756363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17.826813060918241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17.826813060918241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-1.1368683772161603E-13</v>
      </c>
      <c r="DP114" s="17">
        <f>DO114*VLOOKUP('Données projet'!$B$14,Paramètres!$A$1:$I$89,3,0)*VLOOKUP('Données projet'!$B$14,Paramètres!$A$1:$I$89,5,0)</f>
        <v>-9.2222762759774927E-14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221.78186926953776</v>
      </c>
      <c r="DU114" s="59">
        <f t="shared" si="98"/>
        <v>276.69392352410654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36.217462199369407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36.217462199369407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1.5</v>
      </c>
      <c r="EJ114" s="12">
        <f>IF('Données projet'!$A$192&gt;35,EJ113+EI114-ER113,IF(A114&lt;'Données projet'!$A$192,$EG$205^A114,IF(A114='Données projet'!$A$192,'Données projet'!$B$192,EJ113+EI114-ER113)))</f>
        <v>207.49999999999994</v>
      </c>
      <c r="EK114" s="17">
        <f>EJ114*VLOOKUP('Données projet'!$B$15,Paramètres!$A$1:$I$89,3,0)*VLOOKUP('Données projet'!$B$15,Paramètres!$A$1:$I$89,5,0)</f>
        <v>223.35299999999992</v>
      </c>
      <c r="EL114" s="13">
        <f t="shared" si="99"/>
        <v>54.843000917506586</v>
      </c>
      <c r="EM114" s="20">
        <f t="shared" si="73"/>
        <v>484.52470159799054</v>
      </c>
      <c r="EN114" s="59">
        <f t="shared" si="74"/>
        <v>777.8580349313238</v>
      </c>
      <c r="EO114" s="59">
        <f ca="1">AVERAGE(OFFSET($EN$3,0,0,'Données projet'!$E$15+1,1))-AVERAGE(OFFSET($H$3,0,0,'Données projet'!$E$15+1,1))</f>
        <v>219.76574638403434</v>
      </c>
      <c r="EP114" s="59">
        <f t="shared" si="100"/>
        <v>92.286636088269972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22.778705577839972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22.778705577839972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>
        <f>FE114*VLOOKUP('Données projet'!$B$16,Paramètres!$A$1:$I$89,3,0)*VLOOKUP('Données projet'!$B$16,Paramètres!$A$1:$I$89,5,0)</f>
        <v>0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86.164294406232727</v>
      </c>
      <c r="FK114" s="59">
        <f t="shared" si="102"/>
        <v>138.91188401562334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22.911449467486783</v>
      </c>
      <c r="FR114" s="21">
        <f>EXP(-LN(2)/25)*FR113+(1-EXP(-LN(2)/25))/(LN(2)/25)*Calculateur!FM114*Calculateur!FO114*VLOOKUP('Données projet'!$B$16,Paramètres!$A$1:$I$89,3,0)*0.475*44/12</f>
        <v>10.072801608252526</v>
      </c>
      <c r="FS114" s="21">
        <f>EXP(-LN(2)/2)*FS113+(1-EXP(-LN(2)/2))/(LN(2)/2)*FM114*FP114*VLOOKUP('Données projet'!$B$16,Paramètres!$A$1:$I$89,3,0)*0.475*44/12</f>
        <v>7.4170179472389498E-7</v>
      </c>
      <c r="FT114" s="22">
        <f t="shared" si="78"/>
        <v>32.984251817441105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150.21793637331223</v>
      </c>
      <c r="T115" s="59">
        <f t="shared" si="88"/>
        <v>364.59164590134486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21.019686988318959</v>
      </c>
      <c r="AA115" s="21">
        <f>EXP(-LN(2)/25)*AA114+(1-EXP(-LN(2)/25))/(LN(2)/25)*Calculateur!V115*Calculateur!X115*VLOOKUP('Données projet'!$B$9,Paramètres!$A$1:$I$89,3,0)*0.475*44/12</f>
        <v>2.3187361035257705</v>
      </c>
      <c r="AB115" s="21">
        <f>EXP(-LN(2)/2)*AB114+(1-EXP(-LN(2)/2))/(LN(2)/2)*V115*Y115*VLOOKUP('Données projet'!$B$9,Paramètres!$A$1:$I$89,3,0)*0.475*44/12</f>
        <v>8.801808410772924E-12</v>
      </c>
      <c r="AC115" s="22">
        <f t="shared" si="57"/>
        <v>23.338423091853532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1.5</v>
      </c>
      <c r="AI115" s="13">
        <f>IF('Données projet'!$A$62&gt;35,AI114+AH115-AQ114,IF(A115&lt;'Données projet'!$A$62,$AF$205^A115,IF(A115='Données projet'!$A$62,'Données projet'!$B$62,AI114+AH115-AQ114)))</f>
        <v>208.99999999999994</v>
      </c>
      <c r="AJ115" s="13">
        <f>AI115*VLOOKUP('Données projet'!$B$10,Paramètres!$A$1:$I$89,3,0)*VLOOKUP('Données projet'!$B$10,Paramètres!$A$1:$I$89,5,0)</f>
        <v>228.22799999999992</v>
      </c>
      <c r="AK115" s="13">
        <f t="shared" si="89"/>
        <v>55.899361406374432</v>
      </c>
      <c r="AL115" s="20">
        <f t="shared" si="58"/>
        <v>494.8551544494353</v>
      </c>
      <c r="AM115" s="59">
        <f t="shared" si="59"/>
        <v>788.18848778276856</v>
      </c>
      <c r="AN115" s="59">
        <f ca="1">AVERAGE(OFFSET($AM$3,0,0,'Données projet'!$E$10+1,1))-AVERAGE(OFFSET($H$3,0,0,'Données projet'!$E$10+1,1))</f>
        <v>223.92539057016376</v>
      </c>
      <c r="AO115" s="59">
        <f t="shared" si="90"/>
        <v>94.125825809616856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22.655681650098465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22.655681650098465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1.5</v>
      </c>
      <c r="BD115" s="12">
        <f>IF('Données projet'!$A$88&gt;35,BD114+BC115-BL114,IF(A115&lt;'Données projet'!$A$88,$BA$205^A115,IF(A115='Données projet'!$A$88,'Données projet'!$B$88,BD114+BC115-BL114)))</f>
        <v>208.99999999999994</v>
      </c>
      <c r="BE115" s="13">
        <f>BD115*VLOOKUP('Données projet'!$B$11,Paramètres!$A$1:$I$89,3,0)*VLOOKUP('Données projet'!$B$11,Paramètres!$A$1:$I$89,5,0)</f>
        <v>238.00919999999996</v>
      </c>
      <c r="BF115" s="13">
        <f t="shared" si="91"/>
        <v>58.010992738519761</v>
      </c>
      <c r="BG115" s="20">
        <f t="shared" si="61"/>
        <v>515.56850235292188</v>
      </c>
      <c r="BH115" s="59">
        <f t="shared" si="62"/>
        <v>808.90183568625525</v>
      </c>
      <c r="BI115" s="59">
        <f ca="1">AVERAGE(OFFSET($BH$3,0,0,'Données projet'!$E$11+1,1))-AVERAGE(OFFSET($H$3,0,0,'Données projet'!$E$11+1,1))</f>
        <v>236.39682613502913</v>
      </c>
      <c r="BJ115" s="59">
        <f t="shared" si="92"/>
        <v>99.639724892155641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23.626639435102682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23.626639435102682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1.5</v>
      </c>
      <c r="CT115" s="12">
        <f>IF('Données projet'!$A$140&gt;35,CT114+CS115-DB114,IF(A115&lt;'Données projet'!$A$140,$CQ$205^A115,IF(A115='Données projet'!$A$140,'Données projet'!$B$140,CT114+CS115-DB114)))</f>
        <v>208.99999999999994</v>
      </c>
      <c r="CU115" s="17">
        <f>CT115*VLOOKUP('Données projet'!$B$13,Paramètres!$A$1:$I$89,3,0)*VLOOKUP('Données projet'!$B$13,Paramètres!$A$1:$I$89,5,0)</f>
        <v>176.06159999999997</v>
      </c>
      <c r="CV115" s="13">
        <f t="shared" si="95"/>
        <v>44.444839741138928</v>
      </c>
      <c r="CW115" s="20">
        <f t="shared" si="67"/>
        <v>384.04871588248358</v>
      </c>
      <c r="CX115" s="59">
        <f t="shared" si="68"/>
        <v>677.38204921581689</v>
      </c>
      <c r="CY115" s="59">
        <f ca="1">AVERAGE(OFFSET($CX$3,0,0,'Données projet'!$E$13+1,1))-AVERAGE(OFFSET($H$3,0,0,'Données projet'!$E$13+1,1))</f>
        <v>157.20393815370375</v>
      </c>
      <c r="CZ115" s="59">
        <f t="shared" si="96"/>
        <v>64.616965816756363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17.477240130075955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17.477240130075955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-1.1368683772161603E-13</v>
      </c>
      <c r="DP115" s="17">
        <f>DO115*VLOOKUP('Données projet'!$B$14,Paramètres!$A$1:$I$89,3,0)*VLOOKUP('Données projet'!$B$14,Paramètres!$A$1:$I$89,5,0)</f>
        <v>-9.2222762759774927E-14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221.78186926953776</v>
      </c>
      <c r="DU115" s="59">
        <f t="shared" si="98"/>
        <v>276.69392352410654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35.507259856110466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35.507259856110466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1.5</v>
      </c>
      <c r="EJ115" s="12">
        <f>IF('Données projet'!$A$192&gt;35,EJ114+EI115-ER114,IF(A115&lt;'Données projet'!$A$192,$EG$205^A115,IF(A115='Données projet'!$A$192,'Données projet'!$B$192,EJ114+EI115-ER114)))</f>
        <v>208.99999999999994</v>
      </c>
      <c r="EK115" s="17">
        <f>EJ115*VLOOKUP('Données projet'!$B$15,Paramètres!$A$1:$I$89,3,0)*VLOOKUP('Données projet'!$B$15,Paramètres!$A$1:$I$89,5,0)</f>
        <v>224.96759999999992</v>
      </c>
      <c r="EL115" s="13">
        <f t="shared" si="99"/>
        <v>55.193161946335238</v>
      </c>
      <c r="EM115" s="20">
        <f t="shared" si="73"/>
        <v>487.94666038986696</v>
      </c>
      <c r="EN115" s="59">
        <f t="shared" si="74"/>
        <v>781.27999372320028</v>
      </c>
      <c r="EO115" s="59">
        <f ca="1">AVERAGE(OFFSET($EN$3,0,0,'Données projet'!$E$15+1,1))-AVERAGE(OFFSET($H$3,0,0,'Données projet'!$E$15+1,1))</f>
        <v>219.76574638403434</v>
      </c>
      <c r="EP115" s="59">
        <f t="shared" si="100"/>
        <v>92.286636088269972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22.332029055097049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22.332029055097049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>
        <f>FE115*VLOOKUP('Données projet'!$B$16,Paramètres!$A$1:$I$89,3,0)*VLOOKUP('Données projet'!$B$16,Paramètres!$A$1:$I$89,5,0)</f>
        <v>0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86.164294406232727</v>
      </c>
      <c r="FK115" s="59">
        <f t="shared" si="102"/>
        <v>138.91188401562334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22.462169918033666</v>
      </c>
      <c r="FR115" s="21">
        <f>EXP(-LN(2)/25)*FR114+(1-EXP(-LN(2)/25))/(LN(2)/25)*Calculateur!FM115*Calculateur!FO115*VLOOKUP('Données projet'!$B$16,Paramètres!$A$1:$I$89,3,0)*0.475*44/12</f>
        <v>9.7973603185692451</v>
      </c>
      <c r="FS115" s="21">
        <f>EXP(-LN(2)/2)*FS114+(1-EXP(-LN(2)/2))/(LN(2)/2)*FM115*FP115*VLOOKUP('Données projet'!$B$16,Paramètres!$A$1:$I$89,3,0)*0.475*44/12</f>
        <v>5.2446236866749879E-7</v>
      </c>
      <c r="FT115" s="22">
        <f t="shared" si="78"/>
        <v>32.259530761065285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150.21793637331223</v>
      </c>
      <c r="T116" s="59">
        <f t="shared" si="88"/>
        <v>364.59164590134486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20.607503747221145</v>
      </c>
      <c r="AA116" s="21">
        <f>EXP(-LN(2)/25)*AA115+(1-EXP(-LN(2)/25))/(LN(2)/25)*Calculateur!V116*Calculateur!X116*VLOOKUP('Données projet'!$B$9,Paramètres!$A$1:$I$89,3,0)*0.475*44/12</f>
        <v>2.2553301428378263</v>
      </c>
      <c r="AB116" s="21">
        <f>EXP(-LN(2)/2)*AB115+(1-EXP(-LN(2)/2))/(LN(2)/2)*V116*Y116*VLOOKUP('Données projet'!$B$9,Paramètres!$A$1:$I$89,3,0)*0.475*44/12</f>
        <v>6.2238184139623236E-12</v>
      </c>
      <c r="AC116" s="22">
        <f t="shared" si="57"/>
        <v>22.862833890065197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1.5</v>
      </c>
      <c r="AI116" s="13">
        <f>IF('Données projet'!$A$62&gt;35,AI115+AH116-AQ115,IF(A116&lt;'Données projet'!$A$62,$AF$205^A116,IF(A116='Données projet'!$A$62,'Données projet'!$B$62,AI115+AH116-AQ115)))</f>
        <v>210.49999999999994</v>
      </c>
      <c r="AJ116" s="13">
        <f>AI116*VLOOKUP('Données projet'!$B$10,Paramètres!$A$1:$I$89,3,0)*VLOOKUP('Données projet'!$B$10,Paramètres!$A$1:$I$89,5,0)</f>
        <v>229.8659999999999</v>
      </c>
      <c r="AK116" s="13">
        <f t="shared" si="89"/>
        <v>56.253706615564276</v>
      </c>
      <c r="AL116" s="20">
        <f t="shared" si="58"/>
        <v>498.3251556887742</v>
      </c>
      <c r="AM116" s="59">
        <f t="shared" si="59"/>
        <v>791.65848902210746</v>
      </c>
      <c r="AN116" s="59">
        <f ca="1">AVERAGE(OFFSET($AM$3,0,0,'Données projet'!$E$10+1,1))-AVERAGE(OFFSET($H$3,0,0,'Données projet'!$E$10+1,1))</f>
        <v>223.92539057016376</v>
      </c>
      <c r="AO116" s="59">
        <f t="shared" si="90"/>
        <v>94.125825809616856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22.211417551541366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22.211417551541366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1.5</v>
      </c>
      <c r="BD116" s="12">
        <f>IF('Données projet'!$A$88&gt;35,BD115+BC116-BL115,IF(A116&lt;'Données projet'!$A$88,$BA$205^A116,IF(A116='Données projet'!$A$88,'Données projet'!$B$88,BD115+BC116-BL115)))</f>
        <v>210.49999999999994</v>
      </c>
      <c r="BE116" s="13">
        <f>BD116*VLOOKUP('Données projet'!$B$11,Paramètres!$A$1:$I$89,3,0)*VLOOKUP('Données projet'!$B$11,Paramètres!$A$1:$I$89,5,0)</f>
        <v>239.71739999999994</v>
      </c>
      <c r="BF116" s="13">
        <f t="shared" si="91"/>
        <v>58.378723546888125</v>
      </c>
      <c r="BG116" s="20">
        <f t="shared" si="61"/>
        <v>519.1840818441633</v>
      </c>
      <c r="BH116" s="59">
        <f t="shared" si="62"/>
        <v>812.51741517749656</v>
      </c>
      <c r="BI116" s="59">
        <f ca="1">AVERAGE(OFFSET($BH$3,0,0,'Données projet'!$E$11+1,1))-AVERAGE(OFFSET($H$3,0,0,'Données projet'!$E$11+1,1))</f>
        <v>236.39682613502913</v>
      </c>
      <c r="BJ116" s="59">
        <f t="shared" si="92"/>
        <v>99.639724892155641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23.163335446607423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23.163335446607423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1.5</v>
      </c>
      <c r="CT116" s="12">
        <f>IF('Données projet'!$A$140&gt;35,CT115+CS116-DB115,IF(A116&lt;'Données projet'!$A$140,$CQ$205^A116,IF(A116='Données projet'!$A$140,'Données projet'!$B$140,CT115+CS116-DB115)))</f>
        <v>210.49999999999994</v>
      </c>
      <c r="CU116" s="17">
        <f>CT116*VLOOKUP('Données projet'!$B$13,Paramètres!$A$1:$I$89,3,0)*VLOOKUP('Données projet'!$B$13,Paramètres!$A$1:$I$89,5,0)</f>
        <v>177.32519999999997</v>
      </c>
      <c r="CV116" s="13">
        <f t="shared" si="95"/>
        <v>44.726574910186663</v>
      </c>
      <c r="CW116" s="20">
        <f t="shared" si="67"/>
        <v>386.74017463524166</v>
      </c>
      <c r="CX116" s="59">
        <f t="shared" si="68"/>
        <v>680.07350796857497</v>
      </c>
      <c r="CY116" s="59">
        <f ca="1">AVERAGE(OFFSET($CX$3,0,0,'Données projet'!$E$13+1,1))-AVERAGE(OFFSET($H$3,0,0,'Données projet'!$E$13+1,1))</f>
        <v>157.20393815370375</v>
      </c>
      <c r="CZ116" s="59">
        <f t="shared" si="96"/>
        <v>64.616965816756363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17.134522111189053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17.134522111189053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-1.1368683772161603E-13</v>
      </c>
      <c r="DP116" s="17">
        <f>DO116*VLOOKUP('Données projet'!$B$14,Paramètres!$A$1:$I$89,3,0)*VLOOKUP('Données projet'!$B$14,Paramètres!$A$1:$I$89,5,0)</f>
        <v>-9.2222762759774927E-14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221.78186926953776</v>
      </c>
      <c r="DU116" s="59">
        <f t="shared" si="98"/>
        <v>276.69392352410654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34.810984147622172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34.810984147622172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1.5</v>
      </c>
      <c r="EJ116" s="12">
        <f>IF('Données projet'!$A$192&gt;35,EJ115+EI116-ER115,IF(A116&lt;'Données projet'!$A$192,$EG$205^A116,IF(A116='Données projet'!$A$192,'Données projet'!$B$192,EJ115+EI116-ER115)))</f>
        <v>210.49999999999994</v>
      </c>
      <c r="EK116" s="17">
        <f>EJ116*VLOOKUP('Données projet'!$B$15,Paramètres!$A$1:$I$89,3,0)*VLOOKUP('Données projet'!$B$15,Paramètres!$A$1:$I$89,5,0)</f>
        <v>226.58219999999992</v>
      </c>
      <c r="EL116" s="13">
        <f t="shared" si="99"/>
        <v>55.543030567794936</v>
      </c>
      <c r="EM116" s="20">
        <f t="shared" si="73"/>
        <v>491.36810990557598</v>
      </c>
      <c r="EN116" s="59">
        <f t="shared" si="74"/>
        <v>784.70144323890929</v>
      </c>
      <c r="EO116" s="59">
        <f ca="1">AVERAGE(OFFSET($EN$3,0,0,'Données projet'!$E$15+1,1))-AVERAGE(OFFSET($H$3,0,0,'Données projet'!$E$15+1,1))</f>
        <v>219.76574638403434</v>
      </c>
      <c r="EP116" s="59">
        <f t="shared" si="100"/>
        <v>92.286636088269972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21.894111586519337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21.894111586519337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>
        <f>FE116*VLOOKUP('Données projet'!$B$16,Paramètres!$A$1:$I$89,3,0)*VLOOKUP('Données projet'!$B$16,Paramètres!$A$1:$I$89,5,0)</f>
        <v>0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86.164294406232727</v>
      </c>
      <c r="FK116" s="59">
        <f t="shared" si="102"/>
        <v>138.91188401562334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22.021700466511856</v>
      </c>
      <c r="FR116" s="21">
        <f>EXP(-LN(2)/25)*FR115+(1-EXP(-LN(2)/25))/(LN(2)/25)*Calculateur!FM116*Calculateur!FO116*VLOOKUP('Données projet'!$B$16,Paramètres!$A$1:$I$89,3,0)*0.475*44/12</f>
        <v>9.5294509854371814</v>
      </c>
      <c r="FS116" s="21">
        <f>EXP(-LN(2)/2)*FS115+(1-EXP(-LN(2)/2))/(LN(2)/2)*FM116*FP116*VLOOKUP('Données projet'!$B$16,Paramètres!$A$1:$I$89,3,0)*0.475*44/12</f>
        <v>3.7085089736194749E-7</v>
      </c>
      <c r="FT116" s="22">
        <f t="shared" si="78"/>
        <v>31.551151822799937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150.21793637331223</v>
      </c>
      <c r="T117" s="59">
        <f t="shared" si="88"/>
        <v>364.59164590134486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20.203403168074306</v>
      </c>
      <c r="AA117" s="21">
        <f>EXP(-LN(2)/25)*AA116+(1-EXP(-LN(2)/25))/(LN(2)/25)*Calculateur!V117*Calculateur!X117*VLOOKUP('Données projet'!$B$9,Paramètres!$A$1:$I$89,3,0)*0.475*44/12</f>
        <v>2.1936580214792682</v>
      </c>
      <c r="AB117" s="21">
        <f>EXP(-LN(2)/2)*AB116+(1-EXP(-LN(2)/2))/(LN(2)/2)*V117*Y117*VLOOKUP('Données projet'!$B$9,Paramètres!$A$1:$I$89,3,0)*0.475*44/12</f>
        <v>4.400904205386462E-12</v>
      </c>
      <c r="AC117" s="22">
        <f t="shared" si="57"/>
        <v>22.397061189557977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1.5</v>
      </c>
      <c r="AI117" s="13">
        <f>IF('Données projet'!$A$62&gt;35,AI116+AH117-AQ116,IF(A117&lt;'Données projet'!$A$62,$AF$205^A117,IF(A117='Données projet'!$A$62,'Données projet'!$B$62,AI116+AH117-AQ116)))</f>
        <v>211.99999999999994</v>
      </c>
      <c r="AJ117" s="13">
        <f>AI117*VLOOKUP('Données projet'!$B$10,Paramètres!$A$1:$I$89,3,0)*VLOOKUP('Données projet'!$B$10,Paramètres!$A$1:$I$89,5,0)</f>
        <v>231.50399999999993</v>
      </c>
      <c r="AK117" s="13">
        <f t="shared" si="89"/>
        <v>56.607758031045634</v>
      </c>
      <c r="AL117" s="20">
        <f t="shared" si="58"/>
        <v>501.79464523740438</v>
      </c>
      <c r="AM117" s="59">
        <f t="shared" si="59"/>
        <v>795.1279785707377</v>
      </c>
      <c r="AN117" s="59">
        <f ca="1">AVERAGE(OFFSET($AM$3,0,0,'Données projet'!$E$10+1,1))-AVERAGE(OFFSET($H$3,0,0,'Données projet'!$E$10+1,1))</f>
        <v>223.92539057016376</v>
      </c>
      <c r="AO117" s="59">
        <f t="shared" si="90"/>
        <v>94.125825809616856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21.775865200982629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21.775865200982629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1.5</v>
      </c>
      <c r="BD117" s="12">
        <f>IF('Données projet'!$A$88&gt;35,BD116+BC117-BL116,IF(A117&lt;'Données projet'!$A$88,$BA$205^A117,IF(A117='Données projet'!$A$88,'Données projet'!$B$88,BD116+BC117-BL116)))</f>
        <v>211.99999999999994</v>
      </c>
      <c r="BE117" s="13">
        <f>BD117*VLOOKUP('Données projet'!$B$11,Paramètres!$A$1:$I$89,3,0)*VLOOKUP('Données projet'!$B$11,Paramètres!$A$1:$I$89,5,0)</f>
        <v>241.42559999999995</v>
      </c>
      <c r="BF117" s="13">
        <f t="shared" si="91"/>
        <v>58.746149463317458</v>
      </c>
      <c r="BG117" s="20">
        <f t="shared" si="61"/>
        <v>522.79913031527769</v>
      </c>
      <c r="BH117" s="59">
        <f t="shared" si="62"/>
        <v>816.13246364861106</v>
      </c>
      <c r="BI117" s="59">
        <f ca="1">AVERAGE(OFFSET($BH$3,0,0,'Données projet'!$E$11+1,1))-AVERAGE(OFFSET($H$3,0,0,'Données projet'!$E$11+1,1))</f>
        <v>236.39682613502913</v>
      </c>
      <c r="BJ117" s="59">
        <f t="shared" si="92"/>
        <v>99.639724892155641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22.709116566739027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22.709116566739027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1.5</v>
      </c>
      <c r="CT117" s="12">
        <f>IF('Données projet'!$A$140&gt;35,CT116+CS117-DB116,IF(A117&lt;'Données projet'!$A$140,$CQ$205^A117,IF(A117='Données projet'!$A$140,'Données projet'!$B$140,CT116+CS117-DB116)))</f>
        <v>211.99999999999994</v>
      </c>
      <c r="CU117" s="17">
        <f>CT117*VLOOKUP('Données projet'!$B$13,Paramètres!$A$1:$I$89,3,0)*VLOOKUP('Données projet'!$B$13,Paramètres!$A$1:$I$89,5,0)</f>
        <v>178.58879999999996</v>
      </c>
      <c r="CV117" s="13">
        <f t="shared" si="95"/>
        <v>45.008076487759212</v>
      </c>
      <c r="CW117" s="20">
        <f t="shared" si="67"/>
        <v>389.43122654951389</v>
      </c>
      <c r="CX117" s="59">
        <f t="shared" si="68"/>
        <v>682.76455988284715</v>
      </c>
      <c r="CY117" s="59">
        <f ca="1">AVERAGE(OFFSET($CX$3,0,0,'Données projet'!$E$13+1,1))-AVERAGE(OFFSET($H$3,0,0,'Données projet'!$E$13+1,1))</f>
        <v>157.20393815370375</v>
      </c>
      <c r="CZ117" s="59">
        <f t="shared" si="96"/>
        <v>64.616965816756363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16.798524583615169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16.798524583615169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-1.1368683772161603E-13</v>
      </c>
      <c r="DP117" s="17">
        <f>DO117*VLOOKUP('Données projet'!$B$14,Paramètres!$A$1:$I$89,3,0)*VLOOKUP('Données projet'!$B$14,Paramètres!$A$1:$I$89,5,0)</f>
        <v>-9.2222762759774927E-14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221.78186926953776</v>
      </c>
      <c r="DU117" s="59">
        <f t="shared" si="98"/>
        <v>276.69392352410654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34.128361981091082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34.128361981091082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1.5</v>
      </c>
      <c r="EJ117" s="12">
        <f>IF('Données projet'!$A$192&gt;35,EJ116+EI117-ER116,IF(A117&lt;'Données projet'!$A$192,$EG$205^A117,IF(A117='Données projet'!$A$192,'Données projet'!$B$192,EJ116+EI117-ER116)))</f>
        <v>211.99999999999994</v>
      </c>
      <c r="EK117" s="17">
        <f>EJ117*VLOOKUP('Données projet'!$B$15,Paramètres!$A$1:$I$89,3,0)*VLOOKUP('Données projet'!$B$15,Paramètres!$A$1:$I$89,5,0)</f>
        <v>228.19679999999991</v>
      </c>
      <c r="EL117" s="13">
        <f t="shared" si="99"/>
        <v>55.892609107161952</v>
      </c>
      <c r="EM117" s="20">
        <f t="shared" si="73"/>
        <v>494.78905419497363</v>
      </c>
      <c r="EN117" s="59">
        <f t="shared" si="74"/>
        <v>788.12238752830694</v>
      </c>
      <c r="EO117" s="59">
        <f ca="1">AVERAGE(OFFSET($EN$3,0,0,'Données projet'!$E$15+1,1))-AVERAGE(OFFSET($H$3,0,0,'Données projet'!$E$15+1,1))</f>
        <v>219.76574638403434</v>
      </c>
      <c r="EP117" s="59">
        <f t="shared" si="100"/>
        <v>92.286636088269972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21.464781412397155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21.464781412397155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>
        <f>FE117*VLOOKUP('Données projet'!$B$16,Paramètres!$A$1:$I$89,3,0)*VLOOKUP('Données projet'!$B$16,Paramètres!$A$1:$I$89,5,0)</f>
        <v>0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86.164294406232727</v>
      </c>
      <c r="FK117" s="59">
        <f t="shared" si="102"/>
        <v>138.91188401562334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21.589868352274554</v>
      </c>
      <c r="FR117" s="21">
        <f>EXP(-LN(2)/25)*FR116+(1-EXP(-LN(2)/25))/(LN(2)/25)*Calculateur!FM117*Calculateur!FO117*VLOOKUP('Données projet'!$B$16,Paramètres!$A$1:$I$89,3,0)*0.475*44/12</f>
        <v>9.2688676471083546</v>
      </c>
      <c r="FS117" s="21">
        <f>EXP(-LN(2)/2)*FS116+(1-EXP(-LN(2)/2))/(LN(2)/2)*FM117*FP117*VLOOKUP('Données projet'!$B$16,Paramètres!$A$1:$I$89,3,0)*0.475*44/12</f>
        <v>2.622311843337494E-7</v>
      </c>
      <c r="FT117" s="22">
        <f t="shared" si="78"/>
        <v>30.858736261614094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150.21793637331223</v>
      </c>
      <c r="T118" s="59">
        <f t="shared" si="88"/>
        <v>364.59164590134486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19.80722675480752</v>
      </c>
      <c r="AA118" s="21">
        <f>EXP(-LN(2)/25)*AA117+(1-EXP(-LN(2)/25))/(LN(2)/25)*Calculateur!V118*Calculateur!X118*VLOOKUP('Données projet'!$B$9,Paramètres!$A$1:$I$89,3,0)*0.475*44/12</f>
        <v>2.1336723275224561</v>
      </c>
      <c r="AB118" s="21">
        <f>EXP(-LN(2)/2)*AB117+(1-EXP(-LN(2)/2))/(LN(2)/2)*V118*Y118*VLOOKUP('Données projet'!$B$9,Paramètres!$A$1:$I$89,3,0)*0.475*44/12</f>
        <v>3.1119092069811618E-12</v>
      </c>
      <c r="AC118" s="22">
        <f t="shared" si="57"/>
        <v>21.94089908233309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1.5</v>
      </c>
      <c r="AI118" s="13">
        <f>IF('Données projet'!$A$62&gt;35,AI117+AH118-AQ117,IF(A118&lt;'Données projet'!$A$62,$AF$205^A118,IF(A118='Données projet'!$A$62,'Données projet'!$B$62,AI117+AH118-AQ117)))</f>
        <v>213.49999999999994</v>
      </c>
      <c r="AJ118" s="13">
        <f>AI118*VLOOKUP('Données projet'!$B$10,Paramètres!$A$1:$I$89,3,0)*VLOOKUP('Données projet'!$B$10,Paramètres!$A$1:$I$89,5,0)</f>
        <v>233.14199999999994</v>
      </c>
      <c r="AK118" s="13">
        <f t="shared" si="89"/>
        <v>56.961517972595104</v>
      </c>
      <c r="AL118" s="20">
        <f t="shared" si="58"/>
        <v>505.26362713560303</v>
      </c>
      <c r="AM118" s="59">
        <f t="shared" si="59"/>
        <v>798.59696046893635</v>
      </c>
      <c r="AN118" s="59">
        <f ca="1">AVERAGE(OFFSET($AM$3,0,0,'Données projet'!$E$10+1,1))-AVERAGE(OFFSET($H$3,0,0,'Données projet'!$E$10+1,1))</f>
        <v>223.92539057016376</v>
      </c>
      <c r="AO118" s="59">
        <f t="shared" si="90"/>
        <v>94.125825809616856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21.348853766357646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21.348853766357646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1.5</v>
      </c>
      <c r="BD118" s="12">
        <f>IF('Données projet'!$A$88&gt;35,BD117+BC118-BL117,IF(A118&lt;'Données projet'!$A$88,$BA$205^A118,IF(A118='Données projet'!$A$88,'Données projet'!$B$88,BD117+BC118-BL117)))</f>
        <v>213.49999999999994</v>
      </c>
      <c r="BE118" s="13">
        <f>BD118*VLOOKUP('Données projet'!$B$11,Paramètres!$A$1:$I$89,3,0)*VLOOKUP('Données projet'!$B$11,Paramètres!$A$1:$I$89,5,0)</f>
        <v>243.13379999999995</v>
      </c>
      <c r="BF118" s="13">
        <f t="shared" si="91"/>
        <v>59.113272895215296</v>
      </c>
      <c r="BG118" s="20">
        <f t="shared" si="61"/>
        <v>526.41365195916649</v>
      </c>
      <c r="BH118" s="59">
        <f t="shared" si="62"/>
        <v>819.74698529249986</v>
      </c>
      <c r="BI118" s="59">
        <f ca="1">AVERAGE(OFFSET($BH$3,0,0,'Données projet'!$E$11+1,1))-AVERAGE(OFFSET($H$3,0,0,'Données projet'!$E$11+1,1))</f>
        <v>236.39682613502913</v>
      </c>
      <c r="BJ118" s="59">
        <f t="shared" si="92"/>
        <v>99.639724892155641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22.263804642058687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22.263804642058687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1.5</v>
      </c>
      <c r="CT118" s="12">
        <f>IF('Données projet'!$A$140&gt;35,CT117+CS118-DB117,IF(A118&lt;'Données projet'!$A$140,$CQ$205^A118,IF(A118='Données projet'!$A$140,'Données projet'!$B$140,CT117+CS118-DB117)))</f>
        <v>213.49999999999994</v>
      </c>
      <c r="CU118" s="17">
        <f>CT118*VLOOKUP('Données projet'!$B$13,Paramètres!$A$1:$I$89,3,0)*VLOOKUP('Données projet'!$B$13,Paramètres!$A$1:$I$89,5,0)</f>
        <v>179.85239999999996</v>
      </c>
      <c r="CV118" s="13">
        <f t="shared" si="95"/>
        <v>45.289346318280089</v>
      </c>
      <c r="CW118" s="20">
        <f t="shared" si="67"/>
        <v>392.12187483767099</v>
      </c>
      <c r="CX118" s="59">
        <f t="shared" si="68"/>
        <v>685.4552081710043</v>
      </c>
      <c r="CY118" s="59">
        <f ca="1">AVERAGE(OFFSET($CX$3,0,0,'Données projet'!$E$13+1,1))-AVERAGE(OFFSET($H$3,0,0,'Données projet'!$E$13+1,1))</f>
        <v>157.20393815370375</v>
      </c>
      <c r="CZ118" s="59">
        <f t="shared" si="96"/>
        <v>64.616965816756363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16.469115762618756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16.469115762618756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-1.1368683772161603E-13</v>
      </c>
      <c r="DP118" s="17">
        <f>DO118*VLOOKUP('Données projet'!$B$14,Paramètres!$A$1:$I$89,3,0)*VLOOKUP('Données projet'!$B$14,Paramètres!$A$1:$I$89,5,0)</f>
        <v>-9.2222762759774927E-14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221.78186926953776</v>
      </c>
      <c r="DU118" s="59">
        <f t="shared" si="98"/>
        <v>276.69392352410654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33.459125618887263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33.459125618887263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1.5</v>
      </c>
      <c r="EJ118" s="12">
        <f>IF('Données projet'!$A$192&gt;35,EJ117+EI118-ER117,IF(A118&lt;'Données projet'!$A$192,$EG$205^A118,IF(A118='Données projet'!$A$192,'Données projet'!$B$192,EJ117+EI118-ER117)))</f>
        <v>213.49999999999994</v>
      </c>
      <c r="EK118" s="17">
        <f>EJ118*VLOOKUP('Données projet'!$B$15,Paramètres!$A$1:$I$89,3,0)*VLOOKUP('Données projet'!$B$15,Paramètres!$A$1:$I$89,5,0)</f>
        <v>229.81139999999991</v>
      </c>
      <c r="EL118" s="13">
        <f t="shared" si="99"/>
        <v>56.241899854906286</v>
      </c>
      <c r="EM118" s="20">
        <f t="shared" si="73"/>
        <v>498.20949724729485</v>
      </c>
      <c r="EN118" s="59">
        <f t="shared" si="74"/>
        <v>791.54283058062811</v>
      </c>
      <c r="EO118" s="59">
        <f ca="1">AVERAGE(OFFSET($EN$3,0,0,'Données projet'!$E$15+1,1))-AVERAGE(OFFSET($H$3,0,0,'Données projet'!$E$15+1,1))</f>
        <v>219.76574638403434</v>
      </c>
      <c r="EP118" s="59">
        <f t="shared" si="100"/>
        <v>92.286636088269972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21.043870141123957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21.043870141123957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>
        <f>FE118*VLOOKUP('Données projet'!$B$16,Paramètres!$A$1:$I$89,3,0)*VLOOKUP('Données projet'!$B$16,Paramètres!$A$1:$I$89,5,0)</f>
        <v>0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86.164294406232727</v>
      </c>
      <c r="FK118" s="59">
        <f t="shared" si="102"/>
        <v>138.91188401562334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21.166504202405861</v>
      </c>
      <c r="FR118" s="21">
        <f>EXP(-LN(2)/25)*FR117+(1-EXP(-LN(2)/25))/(LN(2)/25)*Calculateur!FM118*Calculateur!FO118*VLOOKUP('Données projet'!$B$16,Paramètres!$A$1:$I$89,3,0)*0.475*44/12</f>
        <v>9.0154099738696107</v>
      </c>
      <c r="FS118" s="21">
        <f>EXP(-LN(2)/2)*FS117+(1-EXP(-LN(2)/2))/(LN(2)/2)*FM118*FP118*VLOOKUP('Données projet'!$B$16,Paramètres!$A$1:$I$89,3,0)*0.475*44/12</f>
        <v>1.8542544868097374E-7</v>
      </c>
      <c r="FT118" s="22">
        <f t="shared" si="78"/>
        <v>30.181914361700919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150.21793637331223</v>
      </c>
      <c r="T119" s="59">
        <f t="shared" si="88"/>
        <v>364.59164590134486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19.418819119361142</v>
      </c>
      <c r="AA119" s="21">
        <f>EXP(-LN(2)/25)*AA118+(1-EXP(-LN(2)/25))/(LN(2)/25)*Calculateur!V119*Calculateur!X119*VLOOKUP('Données projet'!$B$9,Paramètres!$A$1:$I$89,3,0)*0.475*44/12</f>
        <v>2.0753269455214034</v>
      </c>
      <c r="AB119" s="21">
        <f>EXP(-LN(2)/2)*AB118+(1-EXP(-LN(2)/2))/(LN(2)/2)*V119*Y119*VLOOKUP('Données projet'!$B$9,Paramètres!$A$1:$I$89,3,0)*0.475*44/12</f>
        <v>2.200452102693231E-12</v>
      </c>
      <c r="AC119" s="22">
        <f t="shared" si="57"/>
        <v>21.494146064884745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1.5</v>
      </c>
      <c r="AI119" s="13">
        <f>IF('Données projet'!$A$62&gt;35,AI118+AH119-AQ118,IF(A119&lt;'Données projet'!$A$62,$AF$205^A119,IF(A119='Données projet'!$A$62,'Données projet'!$B$62,AI118+AH119-AQ118)))</f>
        <v>214.99999999999994</v>
      </c>
      <c r="AJ119" s="13">
        <f>AI119*VLOOKUP('Données projet'!$B$10,Paramètres!$A$1:$I$89,3,0)*VLOOKUP('Données projet'!$B$10,Paramètres!$A$1:$I$89,5,0)</f>
        <v>234.77999999999992</v>
      </c>
      <c r="AK119" s="13">
        <f t="shared" si="89"/>
        <v>57.314988725508954</v>
      </c>
      <c r="AL119" s="20">
        <f t="shared" si="58"/>
        <v>508.73210536359448</v>
      </c>
      <c r="AM119" s="59">
        <f t="shared" si="59"/>
        <v>802.0654386969278</v>
      </c>
      <c r="AN119" s="59">
        <f ca="1">AVERAGE(OFFSET($AM$3,0,0,'Données projet'!$E$10+1,1))-AVERAGE(OFFSET($H$3,0,0,'Données projet'!$E$10+1,1))</f>
        <v>223.92539057016376</v>
      </c>
      <c r="AO119" s="59">
        <f t="shared" si="90"/>
        <v>94.125825809616856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20.930215765514401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20.930215765514401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1.5</v>
      </c>
      <c r="BD119" s="12">
        <f>IF('Données projet'!$A$88&gt;35,BD118+BC119-BL118,IF(A119&lt;'Données projet'!$A$88,$BA$205^A119,IF(A119='Données projet'!$A$88,'Données projet'!$B$88,BD118+BC119-BL118)))</f>
        <v>214.99999999999994</v>
      </c>
      <c r="BE119" s="13">
        <f>BD119*VLOOKUP('Données projet'!$B$11,Paramètres!$A$1:$I$89,3,0)*VLOOKUP('Données projet'!$B$11,Paramètres!$A$1:$I$89,5,0)</f>
        <v>244.84199999999996</v>
      </c>
      <c r="BF119" s="13">
        <f t="shared" si="91"/>
        <v>59.480096214206256</v>
      </c>
      <c r="BG119" s="20">
        <f t="shared" si="61"/>
        <v>530.02765090640912</v>
      </c>
      <c r="BH119" s="59">
        <f t="shared" si="62"/>
        <v>823.36098423974249</v>
      </c>
      <c r="BI119" s="59">
        <f ca="1">AVERAGE(OFFSET($BH$3,0,0,'Données projet'!$E$11+1,1))-AVERAGE(OFFSET($H$3,0,0,'Données projet'!$E$11+1,1))</f>
        <v>236.39682613502913</v>
      </c>
      <c r="BJ119" s="59">
        <f t="shared" si="92"/>
        <v>99.639724892155641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21.827225012607876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21.827225012607876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1.5</v>
      </c>
      <c r="CT119" s="12">
        <f>IF('Données projet'!$A$140&gt;35,CT118+CS119-DB118,IF(A119&lt;'Données projet'!$A$140,$CQ$205^A119,IF(A119='Données projet'!$A$140,'Données projet'!$B$140,CT118+CS119-DB118)))</f>
        <v>214.99999999999994</v>
      </c>
      <c r="CU119" s="17">
        <f>CT119*VLOOKUP('Données projet'!$B$13,Paramètres!$A$1:$I$89,3,0)*VLOOKUP('Données projet'!$B$13,Paramètres!$A$1:$I$89,5,0)</f>
        <v>181.11599999999999</v>
      </c>
      <c r="CV119" s="13">
        <f t="shared" si="95"/>
        <v>45.570386218758216</v>
      </c>
      <c r="CW119" s="20">
        <f t="shared" si="67"/>
        <v>394.81212266433721</v>
      </c>
      <c r="CX119" s="59">
        <f t="shared" si="68"/>
        <v>688.14545599767052</v>
      </c>
      <c r="CY119" s="59">
        <f ca="1">AVERAGE(OFFSET($CX$3,0,0,'Données projet'!$E$13+1,1))-AVERAGE(OFFSET($H$3,0,0,'Données projet'!$E$13+1,1))</f>
        <v>157.20393815370375</v>
      </c>
      <c r="CZ119" s="59">
        <f t="shared" si="96"/>
        <v>64.616965816756363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16.146166447682539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16.146166447682539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-1.1368683772161603E-13</v>
      </c>
      <c r="DP119" s="17">
        <f>DO119*VLOOKUP('Données projet'!$B$14,Paramètres!$A$1:$I$89,3,0)*VLOOKUP('Données projet'!$B$14,Paramètres!$A$1:$I$89,5,0)</f>
        <v>-9.2222762759774927E-14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221.78186926953776</v>
      </c>
      <c r="DU119" s="59">
        <f t="shared" si="98"/>
        <v>276.69392352410654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32.803012573552387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32.803012573552387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1.5</v>
      </c>
      <c r="EJ119" s="12">
        <f>IF('Données projet'!$A$192&gt;35,EJ118+EI119-ER118,IF(A119&lt;'Données projet'!$A$192,$EG$205^A119,IF(A119='Données projet'!$A$192,'Données projet'!$B$192,EJ118+EI119-ER118)))</f>
        <v>214.99999999999994</v>
      </c>
      <c r="EK119" s="17">
        <f>EJ119*VLOOKUP('Données projet'!$B$15,Paramètres!$A$1:$I$89,3,0)*VLOOKUP('Données projet'!$B$15,Paramètres!$A$1:$I$89,5,0)</f>
        <v>231.4259999999999</v>
      </c>
      <c r="EL119" s="13">
        <f t="shared" si="99"/>
        <v>56.590905067453221</v>
      </c>
      <c r="EM119" s="20">
        <f t="shared" si="73"/>
        <v>501.62944299248085</v>
      </c>
      <c r="EN119" s="59">
        <f t="shared" si="74"/>
        <v>794.96277632581416</v>
      </c>
      <c r="EO119" s="59">
        <f ca="1">AVERAGE(OFFSET($EN$3,0,0,'Données projet'!$E$15+1,1))-AVERAGE(OFFSET($H$3,0,0,'Données projet'!$E$15+1,1))</f>
        <v>219.76574638403434</v>
      </c>
      <c r="EP119" s="59">
        <f t="shared" si="100"/>
        <v>92.286636088269972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20.631212683149904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20.631212683149904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>
        <f>FE119*VLOOKUP('Données projet'!$B$16,Paramètres!$A$1:$I$89,3,0)*VLOOKUP('Données projet'!$B$16,Paramètres!$A$1:$I$89,5,0)</f>
        <v>0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86.164294406232727</v>
      </c>
      <c r="FK119" s="59">
        <f t="shared" si="102"/>
        <v>138.91188401562334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20.751441965289459</v>
      </c>
      <c r="FR119" s="21">
        <f>EXP(-LN(2)/25)*FR118+(1-EXP(-LN(2)/25))/(LN(2)/25)*Calculateur!FM119*Calculateur!FO119*VLOOKUP('Données projet'!$B$16,Paramètres!$A$1:$I$89,3,0)*0.475*44/12</f>
        <v>8.76888311403434</v>
      </c>
      <c r="FS119" s="21">
        <f>EXP(-LN(2)/2)*FS118+(1-EXP(-LN(2)/2))/(LN(2)/2)*FM119*FP119*VLOOKUP('Données projet'!$B$16,Paramètres!$A$1:$I$89,3,0)*0.475*44/12</f>
        <v>1.311155921668747E-7</v>
      </c>
      <c r="FT119" s="22">
        <f t="shared" si="78"/>
        <v>29.520325210439388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150.21793637331223</v>
      </c>
      <c r="T120" s="59">
        <f t="shared" si="88"/>
        <v>364.59164590134486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19.038027920740603</v>
      </c>
      <c r="AA120" s="21">
        <f>EXP(-LN(2)/25)*AA119+(1-EXP(-LN(2)/25))/(LN(2)/25)*Calculateur!V120*Calculateur!X120*VLOOKUP('Données projet'!$B$9,Paramètres!$A$1:$I$89,3,0)*0.475*44/12</f>
        <v>2.0185770210594196</v>
      </c>
      <c r="AB120" s="21">
        <f>EXP(-LN(2)/2)*AB119+(1-EXP(-LN(2)/2))/(LN(2)/2)*V120*Y120*VLOOKUP('Données projet'!$B$9,Paramètres!$A$1:$I$89,3,0)*0.475*44/12</f>
        <v>1.5559546034905809E-12</v>
      </c>
      <c r="AC120" s="22">
        <f t="shared" si="57"/>
        <v>21.056604941801581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1.5</v>
      </c>
      <c r="AI120" s="13">
        <f>IF('Données projet'!$A$62&gt;35,AI119+AH120-AQ119,IF(A120&lt;'Données projet'!$A$62,$AF$205^A120,IF(A120='Données projet'!$A$62,'Données projet'!$B$62,AI119+AH120-AQ119)))</f>
        <v>216.49999999999994</v>
      </c>
      <c r="AJ120" s="13">
        <f>AI120*VLOOKUP('Données projet'!$B$10,Paramètres!$A$1:$I$89,3,0)*VLOOKUP('Données projet'!$B$10,Paramètres!$A$1:$I$89,5,0)</f>
        <v>236.41799999999995</v>
      </c>
      <c r="AK120" s="13">
        <f t="shared" si="89"/>
        <v>57.668172541352746</v>
      </c>
      <c r="AL120" s="20">
        <f t="shared" si="58"/>
        <v>512.20008384285597</v>
      </c>
      <c r="AM120" s="59">
        <f t="shared" si="59"/>
        <v>805.53341717618923</v>
      </c>
      <c r="AN120" s="59">
        <f ca="1">AVERAGE(OFFSET($AM$3,0,0,'Données projet'!$E$10+1,1))-AVERAGE(OFFSET($H$3,0,0,'Données projet'!$E$10+1,1))</f>
        <v>223.92539057016376</v>
      </c>
      <c r="AO120" s="59">
        <f t="shared" si="90"/>
        <v>94.125825809616856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20.519787000523724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20.519787000523724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1.5</v>
      </c>
      <c r="BD120" s="12">
        <f>IF('Données projet'!$A$88&gt;35,BD119+BC120-BL119,IF(A120&lt;'Données projet'!$A$88,$BA$205^A120,IF(A120='Données projet'!$A$88,'Données projet'!$B$88,BD119+BC120-BL119)))</f>
        <v>216.49999999999994</v>
      </c>
      <c r="BE120" s="13">
        <f>BD120*VLOOKUP('Données projet'!$B$11,Paramètres!$A$1:$I$89,3,0)*VLOOKUP('Données projet'!$B$11,Paramètres!$A$1:$I$89,5,0)</f>
        <v>246.55019999999993</v>
      </c>
      <c r="BF120" s="13">
        <f t="shared" si="91"/>
        <v>59.846621756910231</v>
      </c>
      <c r="BG120" s="20">
        <f t="shared" si="61"/>
        <v>533.64113122661854</v>
      </c>
      <c r="BH120" s="59">
        <f t="shared" si="62"/>
        <v>826.97446455995191</v>
      </c>
      <c r="BI120" s="59">
        <f ca="1">AVERAGE(OFFSET($BH$3,0,0,'Données projet'!$E$11+1,1))-AVERAGE(OFFSET($H$3,0,0,'Données projet'!$E$11+1,1))</f>
        <v>236.39682613502913</v>
      </c>
      <c r="BJ120" s="59">
        <f t="shared" si="92"/>
        <v>99.639724892155641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21.399206443403315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21.399206443403315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1.5</v>
      </c>
      <c r="CT120" s="12">
        <f>IF('Données projet'!$A$140&gt;35,CT119+CS120-DB119,IF(A120&lt;'Données projet'!$A$140,$CQ$205^A120,IF(A120='Données projet'!$A$140,'Données projet'!$B$140,CT119+CS120-DB119)))</f>
        <v>216.49999999999994</v>
      </c>
      <c r="CU120" s="17">
        <f>CT120*VLOOKUP('Données projet'!$B$13,Paramètres!$A$1:$I$89,3,0)*VLOOKUP('Données projet'!$B$13,Paramètres!$A$1:$I$89,5,0)</f>
        <v>182.37959999999998</v>
      </c>
      <c r="CV120" s="13">
        <f t="shared" si="95"/>
        <v>45.851197979383251</v>
      </c>
      <c r="CW120" s="20">
        <f t="shared" si="67"/>
        <v>397.50197314742576</v>
      </c>
      <c r="CX120" s="59">
        <f t="shared" si="68"/>
        <v>690.83530648075907</v>
      </c>
      <c r="CY120" s="59">
        <f ca="1">AVERAGE(OFFSET($CX$3,0,0,'Données projet'!$E$13+1,1))-AVERAGE(OFFSET($H$3,0,0,'Données projet'!$E$13+1,1))</f>
        <v>157.20393815370375</v>
      </c>
      <c r="CZ120" s="59">
        <f t="shared" si="96"/>
        <v>64.616965816756363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15.82954997183259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15.82954997183259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-1.1368683772161603E-13</v>
      </c>
      <c r="DP120" s="17">
        <f>DO120*VLOOKUP('Données projet'!$B$14,Paramètres!$A$1:$I$89,3,0)*VLOOKUP('Données projet'!$B$14,Paramètres!$A$1:$I$89,5,0)</f>
        <v>-9.2222762759774927E-14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221.78186926953776</v>
      </c>
      <c r="DU120" s="59">
        <f t="shared" si="98"/>
        <v>276.69392352410654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32.15976550484708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32.15976550484708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1.5</v>
      </c>
      <c r="EJ120" s="12">
        <f>IF('Données projet'!$A$192&gt;35,EJ119+EI120-ER119,IF(A120&lt;'Données projet'!$A$192,$EG$205^A120,IF(A120='Données projet'!$A$192,'Données projet'!$B$192,EJ119+EI120-ER119)))</f>
        <v>216.49999999999994</v>
      </c>
      <c r="EK120" s="17">
        <f>EJ120*VLOOKUP('Données projet'!$B$15,Paramètres!$A$1:$I$89,3,0)*VLOOKUP('Données projet'!$B$15,Paramètres!$A$1:$I$89,5,0)</f>
        <v>233.04059999999996</v>
      </c>
      <c r="EL120" s="13">
        <f t="shared" si="99"/>
        <v>56.939626967923189</v>
      </c>
      <c r="EM120" s="20">
        <f t="shared" si="73"/>
        <v>505.04889530246618</v>
      </c>
      <c r="EN120" s="59">
        <f t="shared" si="74"/>
        <v>798.38222863579949</v>
      </c>
      <c r="EO120" s="59">
        <f ca="1">AVERAGE(OFFSET($EN$3,0,0,'Données projet'!$E$15+1,1))-AVERAGE(OFFSET($H$3,0,0,'Données projet'!$E$15+1,1))</f>
        <v>219.76574638403434</v>
      </c>
      <c r="EP120" s="59">
        <f t="shared" si="100"/>
        <v>92.286636088269972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20.226647186230526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20.226647186230526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>
        <f>FE120*VLOOKUP('Données projet'!$B$16,Paramètres!$A$1:$I$89,3,0)*VLOOKUP('Données projet'!$B$16,Paramètres!$A$1:$I$89,5,0)</f>
        <v>0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86.164294406232727</v>
      </c>
      <c r="FK120" s="59">
        <f t="shared" si="102"/>
        <v>138.91188401562334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20.344518845479943</v>
      </c>
      <c r="FR120" s="21">
        <f>EXP(-LN(2)/25)*FR119+(1-EXP(-LN(2)/25))/(LN(2)/25)*Calculateur!FM120*Calculateur!FO120*VLOOKUP('Données projet'!$B$16,Paramètres!$A$1:$I$89,3,0)*0.475*44/12</f>
        <v>8.5290975441455501</v>
      </c>
      <c r="FS120" s="21">
        <f>EXP(-LN(2)/2)*FS119+(1-EXP(-LN(2)/2))/(LN(2)/2)*FM120*FP120*VLOOKUP('Données projet'!$B$16,Paramètres!$A$1:$I$89,3,0)*0.475*44/12</f>
        <v>9.2712724340486872E-8</v>
      </c>
      <c r="FT120" s="22">
        <f t="shared" si="78"/>
        <v>28.873616482338218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150.21793637331223</v>
      </c>
      <c r="T121" s="59">
        <f t="shared" si="88"/>
        <v>364.59164590134486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18.664703805265319</v>
      </c>
      <c r="AA121" s="21">
        <f>EXP(-LN(2)/25)*AA120+(1-EXP(-LN(2)/25))/(LN(2)/25)*Calculateur!V121*Calculateur!X121*VLOOKUP('Données projet'!$B$9,Paramètres!$A$1:$I$89,3,0)*0.475*44/12</f>
        <v>1.9633789262661978</v>
      </c>
      <c r="AB121" s="21">
        <f>EXP(-LN(2)/2)*AB120+(1-EXP(-LN(2)/2))/(LN(2)/2)*V121*Y121*VLOOKUP('Données projet'!$B$9,Paramètres!$A$1:$I$89,3,0)*0.475*44/12</f>
        <v>1.1002260513466155E-12</v>
      </c>
      <c r="AC121" s="22">
        <f t="shared" si="57"/>
        <v>20.628082731532619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1.5</v>
      </c>
      <c r="AI121" s="13">
        <f>IF('Données projet'!$A$62&gt;35,AI120+AH121-AQ120,IF(A121&lt;'Données projet'!$A$62,$AF$205^A121,IF(A121='Données projet'!$A$62,'Données projet'!$B$62,AI120+AH121-AQ120)))</f>
        <v>217.99999999999994</v>
      </c>
      <c r="AJ121" s="13">
        <f>AI121*VLOOKUP('Données projet'!$B$10,Paramètres!$A$1:$I$89,3,0)*VLOOKUP('Données projet'!$B$10,Paramètres!$A$1:$I$89,5,0)</f>
        <v>238.0559999999999</v>
      </c>
      <c r="AK121" s="13">
        <f t="shared" si="89"/>
        <v>58.021071638689108</v>
      </c>
      <c r="AL121" s="20">
        <f t="shared" si="58"/>
        <v>515.66756643738336</v>
      </c>
      <c r="AM121" s="59">
        <f t="shared" si="59"/>
        <v>809.00089977071661</v>
      </c>
      <c r="AN121" s="59">
        <f ca="1">AVERAGE(OFFSET($AM$3,0,0,'Données projet'!$E$10+1,1))-AVERAGE(OFFSET($H$3,0,0,'Données projet'!$E$10+1,1))</f>
        <v>223.92539057016376</v>
      </c>
      <c r="AO121" s="59">
        <f t="shared" si="90"/>
        <v>94.125825809616856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20.117406493277688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20.117406493277688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1.5</v>
      </c>
      <c r="BD121" s="12">
        <f>IF('Données projet'!$A$88&gt;35,BD120+BC121-BL120,IF(A121&lt;'Données projet'!$A$88,$BA$205^A121,IF(A121='Données projet'!$A$88,'Données projet'!$B$88,BD120+BC121-BL120)))</f>
        <v>217.99999999999994</v>
      </c>
      <c r="BE121" s="13">
        <f>BD121*VLOOKUP('Données projet'!$B$11,Paramètres!$A$1:$I$89,3,0)*VLOOKUP('Données projet'!$B$11,Paramètres!$A$1:$I$89,5,0)</f>
        <v>248.25839999999994</v>
      </c>
      <c r="BF121" s="13">
        <f t="shared" si="91"/>
        <v>60.2128518256973</v>
      </c>
      <c r="BG121" s="20">
        <f t="shared" si="61"/>
        <v>537.25409692975597</v>
      </c>
      <c r="BH121" s="59">
        <f t="shared" si="62"/>
        <v>830.58743026308935</v>
      </c>
      <c r="BI121" s="59">
        <f ca="1">AVERAGE(OFFSET($BH$3,0,0,'Données projet'!$E$11+1,1))-AVERAGE(OFFSET($H$3,0,0,'Données projet'!$E$11+1,1))</f>
        <v>236.39682613502913</v>
      </c>
      <c r="BJ121" s="59">
        <f t="shared" si="92"/>
        <v>99.639724892155641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20.979581057275308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20.979581057275308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1.5</v>
      </c>
      <c r="CT121" s="12">
        <f>IF('Données projet'!$A$140&gt;35,CT120+CS121-DB120,IF(A121&lt;'Données projet'!$A$140,$CQ$205^A121,IF(A121='Données projet'!$A$140,'Données projet'!$B$140,CT120+CS121-DB120)))</f>
        <v>217.99999999999994</v>
      </c>
      <c r="CU121" s="17">
        <f>CT121*VLOOKUP('Données projet'!$B$13,Paramètres!$A$1:$I$89,3,0)*VLOOKUP('Données projet'!$B$13,Paramètres!$A$1:$I$89,5,0)</f>
        <v>183.64319999999995</v>
      </c>
      <c r="CV121" s="13">
        <f t="shared" si="95"/>
        <v>46.131783364105026</v>
      </c>
      <c r="CW121" s="20">
        <f t="shared" si="67"/>
        <v>400.19142935914948</v>
      </c>
      <c r="CX121" s="59">
        <f t="shared" si="68"/>
        <v>693.5247626924828</v>
      </c>
      <c r="CY121" s="59">
        <f ca="1">AVERAGE(OFFSET($CX$3,0,0,'Données projet'!$E$13+1,1))-AVERAGE(OFFSET($H$3,0,0,'Données projet'!$E$13+1,1))</f>
        <v>157.20393815370375</v>
      </c>
      <c r="CZ121" s="59">
        <f t="shared" si="96"/>
        <v>64.616965816756363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15.519142151957077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15.519142151957077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-1.1368683772161603E-13</v>
      </c>
      <c r="DP121" s="17">
        <f>DO121*VLOOKUP('Données projet'!$B$14,Paramètres!$A$1:$I$89,3,0)*VLOOKUP('Données projet'!$B$14,Paramètres!$A$1:$I$89,5,0)</f>
        <v>-9.2222762759774927E-14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221.78186926953776</v>
      </c>
      <c r="DU121" s="59">
        <f t="shared" si="98"/>
        <v>276.69392352410654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31.529132118817113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31.529132118817113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1.5</v>
      </c>
      <c r="EJ121" s="12">
        <f>IF('Données projet'!$A$192&gt;35,EJ120+EI121-ER120,IF(A121&lt;'Données projet'!$A$192,$EG$205^A121,IF(A121='Données projet'!$A$192,'Données projet'!$B$192,EJ120+EI121-ER120)))</f>
        <v>217.99999999999994</v>
      </c>
      <c r="EK121" s="17">
        <f>EJ121*VLOOKUP('Données projet'!$B$15,Paramètres!$A$1:$I$89,3,0)*VLOOKUP('Données projet'!$B$15,Paramètres!$A$1:$I$89,5,0)</f>
        <v>234.65519999999995</v>
      </c>
      <c r="EL121" s="13">
        <f t="shared" si="99"/>
        <v>57.288067746850999</v>
      </c>
      <c r="EM121" s="20">
        <f t="shared" si="73"/>
        <v>508.46785799243207</v>
      </c>
      <c r="EN121" s="59">
        <f t="shared" si="74"/>
        <v>801.80119132576533</v>
      </c>
      <c r="EO121" s="59">
        <f ca="1">AVERAGE(OFFSET($EN$3,0,0,'Données projet'!$E$15+1,1))-AVERAGE(OFFSET($H$3,0,0,'Données projet'!$E$15+1,1))</f>
        <v>219.76574638403434</v>
      </c>
      <c r="EP121" s="59">
        <f t="shared" si="100"/>
        <v>92.286636088269972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19.830014971945147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19.830014971945147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>
        <f>FE121*VLOOKUP('Données projet'!$B$16,Paramètres!$A$1:$I$89,3,0)*VLOOKUP('Données projet'!$B$16,Paramètres!$A$1:$I$89,5,0)</f>
        <v>0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86.164294406232727</v>
      </c>
      <c r="FK121" s="59">
        <f t="shared" si="102"/>
        <v>138.91188401562334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19.945575239851298</v>
      </c>
      <c r="FR121" s="21">
        <f>EXP(-LN(2)/25)*FR120+(1-EXP(-LN(2)/25))/(LN(2)/25)*Calculateur!FM121*Calculateur!FO121*VLOOKUP('Données projet'!$B$16,Paramètres!$A$1:$I$89,3,0)*0.475*44/12</f>
        <v>8.2958689232751439</v>
      </c>
      <c r="FS121" s="21">
        <f>EXP(-LN(2)/2)*FS120+(1-EXP(-LN(2)/2))/(LN(2)/2)*FM121*FP121*VLOOKUP('Données projet'!$B$16,Paramètres!$A$1:$I$89,3,0)*0.475*44/12</f>
        <v>6.5557796083437349E-8</v>
      </c>
      <c r="FT121" s="22">
        <f t="shared" si="78"/>
        <v>28.241444228684237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150.21793637331223</v>
      </c>
      <c r="T122" s="59">
        <f t="shared" si="88"/>
        <v>364.59164590134486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18.298700347989275</v>
      </c>
      <c r="AA122" s="21">
        <f>EXP(-LN(2)/25)*AA121+(1-EXP(-LN(2)/25))/(LN(2)/25)*Calculateur!V122*Calculateur!X122*VLOOKUP('Données projet'!$B$9,Paramètres!$A$1:$I$89,3,0)*0.475*44/12</f>
        <v>1.9096902262778384</v>
      </c>
      <c r="AB122" s="21">
        <f>EXP(-LN(2)/2)*AB121+(1-EXP(-LN(2)/2))/(LN(2)/2)*V122*Y122*VLOOKUP('Données projet'!$B$9,Paramètres!$A$1:$I$89,3,0)*0.475*44/12</f>
        <v>7.7797730174529045E-13</v>
      </c>
      <c r="AC122" s="22">
        <f t="shared" si="57"/>
        <v>20.208390574267892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1.5</v>
      </c>
      <c r="AI122" s="13">
        <f>IF('Données projet'!$A$62&gt;35,AI121+AH122-AQ121,IF(A122&lt;'Données projet'!$A$62,$AF$205^A122,IF(A122='Données projet'!$A$62,'Données projet'!$B$62,AI121+AH122-AQ121)))</f>
        <v>219.49999999999994</v>
      </c>
      <c r="AJ122" s="13">
        <f>AI122*VLOOKUP('Données projet'!$B$10,Paramètres!$A$1:$I$89,3,0)*VLOOKUP('Données projet'!$B$10,Paramètres!$A$1:$I$89,5,0)</f>
        <v>239.69399999999993</v>
      </c>
      <c r="AK122" s="13">
        <f t="shared" si="89"/>
        <v>58.373688203785392</v>
      </c>
      <c r="AL122" s="20">
        <f t="shared" si="58"/>
        <v>519.1345569549261</v>
      </c>
      <c r="AM122" s="59">
        <f t="shared" si="59"/>
        <v>812.46789028825947</v>
      </c>
      <c r="AN122" s="59">
        <f ca="1">AVERAGE(OFFSET($AM$3,0,0,'Données projet'!$E$10+1,1))-AVERAGE(OFFSET($H$3,0,0,'Données projet'!$E$10+1,1))</f>
        <v>223.92539057016376</v>
      </c>
      <c r="AO122" s="59">
        <f t="shared" si="90"/>
        <v>94.125825809616856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19.72291642235087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19.72291642235087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1.5</v>
      </c>
      <c r="BD122" s="12">
        <f>IF('Données projet'!$A$88&gt;35,BD121+BC122-BL121,IF(A122&lt;'Données projet'!$A$88,$BA$205^A122,IF(A122='Données projet'!$A$88,'Données projet'!$B$88,BD121+BC122-BL121)))</f>
        <v>219.49999999999994</v>
      </c>
      <c r="BE122" s="13">
        <f>BD122*VLOOKUP('Données projet'!$B$11,Paramètres!$A$1:$I$89,3,0)*VLOOKUP('Données projet'!$B$11,Paramètres!$A$1:$I$89,5,0)</f>
        <v>249.96659999999994</v>
      </c>
      <c r="BF122" s="13">
        <f t="shared" si="91"/>
        <v>60.57878868942241</v>
      </c>
      <c r="BG122" s="20">
        <f t="shared" si="61"/>
        <v>540.8665519674106</v>
      </c>
      <c r="BH122" s="59">
        <f t="shared" si="62"/>
        <v>834.19988530074397</v>
      </c>
      <c r="BI122" s="59">
        <f ca="1">AVERAGE(OFFSET($BH$3,0,0,'Données projet'!$E$11+1,1))-AVERAGE(OFFSET($H$3,0,0,'Données projet'!$E$11+1,1))</f>
        <v>236.39682613502913</v>
      </c>
      <c r="BJ122" s="59">
        <f t="shared" si="92"/>
        <v>99.639724892155641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20.568184269023057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20.568184269023057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1.5</v>
      </c>
      <c r="CT122" s="12">
        <f>IF('Données projet'!$A$140&gt;35,CT121+CS122-DB121,IF(A122&lt;'Données projet'!$A$140,$CQ$205^A122,IF(A122='Données projet'!$A$140,'Données projet'!$B$140,CT121+CS122-DB121)))</f>
        <v>219.49999999999994</v>
      </c>
      <c r="CU122" s="17">
        <f>CT122*VLOOKUP('Données projet'!$B$13,Paramètres!$A$1:$I$89,3,0)*VLOOKUP('Données projet'!$B$13,Paramètres!$A$1:$I$89,5,0)</f>
        <v>184.90679999999998</v>
      </c>
      <c r="CV122" s="13">
        <f t="shared" si="95"/>
        <v>46.412144111195566</v>
      </c>
      <c r="CW122" s="20">
        <f t="shared" si="67"/>
        <v>402.88049432699887</v>
      </c>
      <c r="CX122" s="59">
        <f t="shared" si="68"/>
        <v>696.21382766033219</v>
      </c>
      <c r="CY122" s="59">
        <f ca="1">AVERAGE(OFFSET($CX$3,0,0,'Données projet'!$E$13+1,1))-AVERAGE(OFFSET($H$3,0,0,'Données projet'!$E$13+1,1))</f>
        <v>157.20393815370375</v>
      </c>
      <c r="CZ122" s="59">
        <f t="shared" si="96"/>
        <v>64.616965816756363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15.214821240099246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15.214821240099246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-1.1368683772161603E-13</v>
      </c>
      <c r="DP122" s="17">
        <f>DO122*VLOOKUP('Données projet'!$B$14,Paramètres!$A$1:$I$89,3,0)*VLOOKUP('Données projet'!$B$14,Paramètres!$A$1:$I$89,5,0)</f>
        <v>-9.2222762759774927E-14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221.78186926953776</v>
      </c>
      <c r="DU122" s="59">
        <f t="shared" si="98"/>
        <v>276.69392352410654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30.91086506883881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30.91086506883881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1.5</v>
      </c>
      <c r="EJ122" s="12">
        <f>IF('Données projet'!$A$192&gt;35,EJ121+EI122-ER121,IF(A122&lt;'Données projet'!$A$192,$EG$205^A122,IF(A122='Données projet'!$A$192,'Données projet'!$B$192,EJ121+EI122-ER121)))</f>
        <v>219.49999999999994</v>
      </c>
      <c r="EK122" s="17">
        <f>EJ122*VLOOKUP('Données projet'!$B$15,Paramètres!$A$1:$I$89,3,0)*VLOOKUP('Données projet'!$B$15,Paramètres!$A$1:$I$89,5,0)</f>
        <v>236.26979999999995</v>
      </c>
      <c r="EL122" s="13">
        <f t="shared" si="99"/>
        <v>57.636229562883841</v>
      </c>
      <c r="EM122" s="20">
        <f t="shared" si="73"/>
        <v>511.88633482202255</v>
      </c>
      <c r="EN122" s="59">
        <f t="shared" si="74"/>
        <v>805.21966815535586</v>
      </c>
      <c r="EO122" s="59">
        <f ca="1">AVERAGE(OFFSET($EN$3,0,0,'Données projet'!$E$15+1,1))-AVERAGE(OFFSET($H$3,0,0,'Données projet'!$E$15+1,1))</f>
        <v>219.76574638403434</v>
      </c>
      <c r="EP122" s="59">
        <f t="shared" si="100"/>
        <v>92.286636088269972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19.44116047346014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19.44116047346014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>
        <f>FE122*VLOOKUP('Données projet'!$B$16,Paramètres!$A$1:$I$89,3,0)*VLOOKUP('Données projet'!$B$16,Paramètres!$A$1:$I$89,5,0)</f>
        <v>0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86.164294406232727</v>
      </c>
      <c r="FK122" s="59">
        <f t="shared" si="102"/>
        <v>138.91188401562334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19.554454674997459</v>
      </c>
      <c r="FR122" s="21">
        <f>EXP(-LN(2)/25)*FR121+(1-EXP(-LN(2)/25))/(LN(2)/25)*Calculateur!FM122*Calculateur!FO122*VLOOKUP('Données projet'!$B$16,Paramètres!$A$1:$I$89,3,0)*0.475*44/12</f>
        <v>8.0690179513073996</v>
      </c>
      <c r="FS122" s="21">
        <f>EXP(-LN(2)/2)*FS121+(1-EXP(-LN(2)/2))/(LN(2)/2)*FM122*FP122*VLOOKUP('Données projet'!$B$16,Paramètres!$A$1:$I$89,3,0)*0.475*44/12</f>
        <v>4.6356362170243436E-8</v>
      </c>
      <c r="FT122" s="22">
        <f t="shared" si="78"/>
        <v>27.623472672661222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150.21793637331223</v>
      </c>
      <c r="T123" s="59">
        <f t="shared" si="88"/>
        <v>364.59164590134486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17.93987399527035</v>
      </c>
      <c r="AA123" s="21">
        <f>EXP(-LN(2)/25)*AA122+(1-EXP(-LN(2)/25))/(LN(2)/25)*Calculateur!V123*Calculateur!X123*VLOOKUP('Données projet'!$B$9,Paramètres!$A$1:$I$89,3,0)*0.475*44/12</f>
        <v>1.8574696466140266</v>
      </c>
      <c r="AB123" s="21">
        <f>EXP(-LN(2)/2)*AB122+(1-EXP(-LN(2)/2))/(LN(2)/2)*V123*Y123*VLOOKUP('Données projet'!$B$9,Paramètres!$A$1:$I$89,3,0)*0.475*44/12</f>
        <v>5.5011302567330775E-13</v>
      </c>
      <c r="AC123" s="22">
        <f t="shared" si="57"/>
        <v>19.797343641884929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221</v>
      </c>
      <c r="AG123" s="12">
        <f>VLOOKUP(A123,'Données projet'!$A$61:$I$81,9,0)</f>
        <v>1.5</v>
      </c>
      <c r="AH123" s="12">
        <f t="array" ref="AH123">INDEX(AG:AG,MIN(IF(ISNUMBER(AG123:AG319),ROW(AG123:AG319),"")))</f>
        <v>1.5</v>
      </c>
      <c r="AI123" s="13">
        <f>IF('Données projet'!$A$62&gt;35,AI122+AH123-AQ122,IF(A123&lt;'Données projet'!$A$62,$AF$205^A123,IF(A123='Données projet'!$A$62,'Données projet'!$B$62,AI122+AH123-AQ122)))</f>
        <v>220.99999999999994</v>
      </c>
      <c r="AJ123" s="13">
        <f>AI123*VLOOKUP('Données projet'!$B$10,Paramètres!$A$1:$I$89,3,0)*VLOOKUP('Données projet'!$B$10,Paramètres!$A$1:$I$89,5,0)</f>
        <v>241.33199999999994</v>
      </c>
      <c r="AK123" s="13">
        <f t="shared" si="89"/>
        <v>58.72602439130111</v>
      </c>
      <c r="AL123" s="20">
        <f t="shared" si="58"/>
        <v>522.60105914818269</v>
      </c>
      <c r="AM123" s="59">
        <f t="shared" si="59"/>
        <v>815.93439248151594</v>
      </c>
      <c r="AN123" s="59">
        <f ca="1">AVERAGE(OFFSET($AM$3,0,0,'Données projet'!$E$10+1,1))-AVERAGE(OFFSET($H$3,0,0,'Données projet'!$E$10+1,1))</f>
        <v>223.92539057016376</v>
      </c>
      <c r="AO123" s="59">
        <f t="shared" si="90"/>
        <v>94.125825809616856</v>
      </c>
      <c r="AP123" s="15">
        <f>IF(ISNA(VLOOKUP(A123,'Données projet'!$A$61:$I$81,3,0)),0,VLOOKUP(A123,'Données projet'!$A$61:$I$81,3,0))</f>
        <v>20</v>
      </c>
      <c r="AQ123" s="15">
        <f>IF(ISNA(VLOOKUP(A123,'Données projet'!$A$61:$I$81,4,0)),0,VLOOKUP(A123,'Données projet'!$A$61:$I$81,4,0))</f>
        <v>221</v>
      </c>
      <c r="AR123" s="16">
        <f>IF(ISNA(VLOOKUP(A123,'Données projet'!$A$61:$I$81,5,0)),0%,VLOOKUP(A123,'Données projet'!$A$61:$I$81,5,0)*VLOOKUP('Données projet'!$B$10,Paramètres!$A$1:$I$89,7,0))</f>
        <v>0.34400000000000003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111.11033196700514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111.11033196700514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221</v>
      </c>
      <c r="BB123" s="12">
        <f>VLOOKUP(A123,'Données projet'!$A$87:$I$107,9,0)</f>
        <v>1.5</v>
      </c>
      <c r="BC123" s="12">
        <f t="array" ref="BC123">INDEX(BB:BB,MIN(IF(ISNUMBER(BB123:BB319),ROW(BB123:BB319),"")))</f>
        <v>1.5</v>
      </c>
      <c r="BD123" s="12">
        <f>IF('Données projet'!$A$88&gt;35,BD122+BC123-BL122,IF(A123&lt;'Données projet'!$A$88,$BA$205^A123,IF(A123='Données projet'!$A$88,'Données projet'!$B$88,BD122+BC123-BL122)))</f>
        <v>220.99999999999994</v>
      </c>
      <c r="BE123" s="13">
        <f>BD123*VLOOKUP('Données projet'!$B$11,Paramètres!$A$1:$I$89,3,0)*VLOOKUP('Données projet'!$B$11,Paramètres!$A$1:$I$89,5,0)</f>
        <v>251.67479999999995</v>
      </c>
      <c r="BF123" s="13">
        <f t="shared" si="91"/>
        <v>60.944434584138449</v>
      </c>
      <c r="BG123" s="20">
        <f t="shared" si="61"/>
        <v>544.47850023404101</v>
      </c>
      <c r="BH123" s="59">
        <f t="shared" si="62"/>
        <v>837.81183356737438</v>
      </c>
      <c r="BI123" s="59">
        <f ca="1">AVERAGE(OFFSET($BH$3,0,0,'Données projet'!$E$11+1,1))-AVERAGE(OFFSET($H$3,0,0,'Données projet'!$E$11+1,1))</f>
        <v>236.39682613502913</v>
      </c>
      <c r="BJ123" s="59">
        <f t="shared" si="92"/>
        <v>99.639724892155641</v>
      </c>
      <c r="BK123" s="15">
        <f>IF(ISNA(VLOOKUP(A123,'Données projet'!$A$87:$I$107,3,0)),0,VLOOKUP(A123,'Données projet'!$A$87:$I$107,3,0))</f>
        <v>20</v>
      </c>
      <c r="BL123" s="15">
        <f>IF(ISNA(VLOOKUP(A123,'Données projet'!$A$87:$I$107,4,0)),0,VLOOKUP(A123,'Données projet'!$A$87:$I$107,4,0))</f>
        <v>221</v>
      </c>
      <c r="BM123" s="16">
        <f>IF(ISNA(VLOOKUP(A123,'Données projet'!$A$87:$I$107,5,0)),0%,VLOOKUP(A123,'Données projet'!$A$87:$I$107,5,0)*VLOOKUP('Données projet'!$B$11,Paramètres!$A$1:$I$89,7,0))</f>
        <v>0.34400000000000003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115.87220333701966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115.87220333701966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221</v>
      </c>
      <c r="CR123" s="12">
        <f>VLOOKUP(A123,'Données projet'!$A$139:$I$159,9,0)</f>
        <v>1.5</v>
      </c>
      <c r="CS123" s="12">
        <f t="array" ref="CS123">INDEX(CR:CR,MIN(IF(ISNUMBER(CR123:CR319),ROW(CR123:CR319),"")))</f>
        <v>1.5</v>
      </c>
      <c r="CT123" s="12">
        <f>IF('Données projet'!$A$140&gt;35,CT122+CS123-DB122,IF(A123&lt;'Données projet'!$A$140,$CQ$205^A123,IF(A123='Données projet'!$A$140,'Données projet'!$B$140,CT122+CS123-DB122)))</f>
        <v>220.99999999999994</v>
      </c>
      <c r="CU123" s="17">
        <f>CT123*VLOOKUP('Données projet'!$B$13,Paramètres!$A$1:$I$89,3,0)*VLOOKUP('Données projet'!$B$13,Paramètres!$A$1:$I$89,5,0)</f>
        <v>186.17039999999997</v>
      </c>
      <c r="CV123" s="13">
        <f t="shared" si="95"/>
        <v>46.692281933796018</v>
      </c>
      <c r="CW123" s="20">
        <f t="shared" si="67"/>
        <v>405.56917103469465</v>
      </c>
      <c r="CX123" s="59">
        <f t="shared" si="68"/>
        <v>698.90250436802796</v>
      </c>
      <c r="CY123" s="59">
        <f ca="1">AVERAGE(OFFSET($CX$3,0,0,'Données projet'!$E$13+1,1))-AVERAGE(OFFSET($H$3,0,0,'Données projet'!$E$13+1,1))</f>
        <v>157.20393815370375</v>
      </c>
      <c r="CZ123" s="59">
        <f t="shared" si="96"/>
        <v>64.616965816756363</v>
      </c>
      <c r="DA123" s="15">
        <f>IF(ISNA(VLOOKUP(A123,'Données projet'!$A$139:$I$159,3,0)),0,VLOOKUP(A123,'Données projet'!$A$139:$I$159,3,0))</f>
        <v>20</v>
      </c>
      <c r="DB123" s="15">
        <f>IF(ISNA(VLOOKUP(A123,'Données projet'!$A$139:$I$159,4,0)),0,VLOOKUP(A123,'Données projet'!$A$139:$I$159,4,0))</f>
        <v>221</v>
      </c>
      <c r="DC123" s="16">
        <f>IF(ISNA(VLOOKUP(A123,'Données projet'!$A$139:$I$159,5,0)),0%,VLOOKUP(A123,'Données projet'!$A$139:$I$159,5,0)*VLOOKUP('Données projet'!$B$13,Paramètres!$A$1:$I$89,7,0))</f>
        <v>0.34400000000000003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85.713684660261123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85.713684660261123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-1.1368683772161603E-13</v>
      </c>
      <c r="DP123" s="17">
        <f>DO123*VLOOKUP('Données projet'!$B$14,Paramètres!$A$1:$I$89,3,0)*VLOOKUP('Données projet'!$B$14,Paramètres!$A$1:$I$89,5,0)</f>
        <v>-9.2222762759774927E-14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221.78186926953776</v>
      </c>
      <c r="DU123" s="59">
        <f t="shared" si="98"/>
        <v>276.69392352410654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30.304721858604918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30.304721858604918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>
        <f>VLOOKUP(A123,'Données projet'!$A$191:$I$211,2,0)</f>
        <v>221</v>
      </c>
      <c r="EH123" s="12">
        <f>VLOOKUP(A123,'Données projet'!$A$191:$I$211,9,0)</f>
        <v>1.5</v>
      </c>
      <c r="EI123" s="12">
        <f t="array" ref="EI123">INDEX(EH:EH,MIN(IF(ISNUMBER(EH123:EH319),ROW(EH123:EH319),"")))</f>
        <v>1.5</v>
      </c>
      <c r="EJ123" s="12">
        <f>IF('Données projet'!$A$192&gt;35,EJ122+EI123-ER122,IF(A123&lt;'Données projet'!$A$192,$EG$205^A123,IF(A123='Données projet'!$A$192,'Données projet'!$B$192,EJ122+EI123-ER122)))</f>
        <v>220.99999999999994</v>
      </c>
      <c r="EK123" s="17">
        <f>EJ123*VLOOKUP('Données projet'!$B$15,Paramètres!$A$1:$I$89,3,0)*VLOOKUP('Données projet'!$B$15,Paramètres!$A$1:$I$89,5,0)</f>
        <v>237.88439999999994</v>
      </c>
      <c r="EL123" s="13">
        <f t="shared" si="99"/>
        <v>57.984114543460535</v>
      </c>
      <c r="EM123" s="20">
        <f t="shared" si="73"/>
        <v>515.30432949652698</v>
      </c>
      <c r="EN123" s="59">
        <f t="shared" si="74"/>
        <v>808.63766282986035</v>
      </c>
      <c r="EO123" s="59">
        <f ca="1">AVERAGE(OFFSET($EN$3,0,0,'Données projet'!$E$15+1,1))-AVERAGE(OFFSET($H$3,0,0,'Données projet'!$E$15+1,1))</f>
        <v>219.76574638403434</v>
      </c>
      <c r="EP123" s="59">
        <f t="shared" si="100"/>
        <v>92.286636088269972</v>
      </c>
      <c r="EQ123" s="15">
        <f>IF(ISNA(VLOOKUP(A123,'Données projet'!$A$191:$I$211,3,0)),0,VLOOKUP(A123,'Données projet'!$A$191:$I$211,3,0))</f>
        <v>20</v>
      </c>
      <c r="ER123" s="15">
        <f>IF(ISNA(VLOOKUP(A123,'Données projet'!$A$191:$I$211,4,0)),0,VLOOKUP(A123,'Données projet'!$A$191:$I$211,4,0))</f>
        <v>221</v>
      </c>
      <c r="ES123" s="16">
        <f>IF(ISNA(VLOOKUP(A123,'Données projet'!$A$191:$I$211,5,0)),0%,VLOOKUP(A123,'Données projet'!$A$191:$I$211,5,0)*VLOOKUP('Données projet'!$B$15,Paramètres!$A$1:$I$89,7,0))</f>
        <v>0.34400000000000003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109.52304151033364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109.52304151033364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>
        <f>FE123*VLOOKUP('Données projet'!$B$16,Paramètres!$A$1:$I$89,3,0)*VLOOKUP('Données projet'!$B$16,Paramètres!$A$1:$I$89,5,0)</f>
        <v>0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86.164294406232727</v>
      </c>
      <c r="FK123" s="59">
        <f t="shared" si="102"/>
        <v>138.91188401562334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19.171003745860414</v>
      </c>
      <c r="FR123" s="21">
        <f>EXP(-LN(2)/25)*FR122+(1-EXP(-LN(2)/25))/(LN(2)/25)*Calculateur!FM123*Calculateur!FO123*VLOOKUP('Données projet'!$B$16,Paramètres!$A$1:$I$89,3,0)*0.475*44/12</f>
        <v>7.8483702310976868</v>
      </c>
      <c r="FS123" s="21">
        <f>EXP(-LN(2)/2)*FS122+(1-EXP(-LN(2)/2))/(LN(2)/2)*FM123*FP123*VLOOKUP('Données projet'!$B$16,Paramètres!$A$1:$I$89,3,0)*0.475*44/12</f>
        <v>3.2778898041718675E-8</v>
      </c>
      <c r="FT123" s="22">
        <f t="shared" si="78"/>
        <v>27.019374009737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150.21793637331223</v>
      </c>
      <c r="T124" s="59">
        <f t="shared" si="88"/>
        <v>364.59164590134486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17.588084008465778</v>
      </c>
      <c r="AA124" s="21">
        <f>EXP(-LN(2)/25)*AA123+(1-EXP(-LN(2)/25))/(LN(2)/25)*Calculateur!V124*Calculateur!X124*VLOOKUP('Données projet'!$B$9,Paramètres!$A$1:$I$89,3,0)*0.475*44/12</f>
        <v>1.8066770414472826</v>
      </c>
      <c r="AB124" s="21">
        <f>EXP(-LN(2)/2)*AB123+(1-EXP(-LN(2)/2))/(LN(2)/2)*V124*Y124*VLOOKUP('Données projet'!$B$9,Paramètres!$A$1:$I$89,3,0)*0.475*44/12</f>
        <v>3.8898865087264522E-13</v>
      </c>
      <c r="AC124" s="22">
        <f t="shared" si="57"/>
        <v>19.394761049913448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-5.6843418860808015E-14</v>
      </c>
      <c r="AJ124" s="13">
        <f>AI124*VLOOKUP('Données projet'!$B$10,Paramètres!$A$1:$I$89,3,0)*VLOOKUP('Données projet'!$B$10,Paramètres!$A$1:$I$89,5,0)</f>
        <v>-6.2073013396002344E-14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223.92539057016376</v>
      </c>
      <c r="AO124" s="59">
        <f t="shared" si="90"/>
        <v>94.125825809616856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108.93152612774287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108.93152612774287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-5.6843418860808015E-14</v>
      </c>
      <c r="BE124" s="13">
        <f>BD124*VLOOKUP('Données projet'!$B$11,Paramètres!$A$1:$I$89,3,0)*VLOOKUP('Données projet'!$B$11,Paramètres!$A$1:$I$89,5,0)</f>
        <v>-6.4733285398688169E-14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236.39682613502913</v>
      </c>
      <c r="BJ124" s="59">
        <f t="shared" si="92"/>
        <v>99.639724892155641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113.60002010464615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113.60002010464615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-5.6843418860808015E-14</v>
      </c>
      <c r="CU124" s="17">
        <f>CT124*VLOOKUP('Données projet'!$B$13,Paramètres!$A$1:$I$89,3,0)*VLOOKUP('Données projet'!$B$13,Paramètres!$A$1:$I$89,5,0)</f>
        <v>-4.7884896048344674E-14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157.20393815370375</v>
      </c>
      <c r="CZ124" s="59">
        <f t="shared" si="96"/>
        <v>64.616965816756363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84.032891584258806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84.032891584258806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-1.1368683772161603E-13</v>
      </c>
      <c r="DP124" s="17">
        <f>DO124*VLOOKUP('Données projet'!$B$14,Paramètres!$A$1:$I$89,3,0)*VLOOKUP('Données projet'!$B$14,Paramètres!$A$1:$I$89,5,0)</f>
        <v>-9.2222762759774927E-14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221.78186926953776</v>
      </c>
      <c r="DU124" s="59">
        <f t="shared" si="98"/>
        <v>276.69392352410654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29.71046474701286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29.71046474701286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-5.6843418860808015E-14</v>
      </c>
      <c r="EK124" s="17">
        <f>EJ124*VLOOKUP('Données projet'!$B$15,Paramètres!$A$1:$I$89,3,0)*VLOOKUP('Données projet'!$B$15,Paramètres!$A$1:$I$89,5,0)</f>
        <v>-6.1186256061773749E-14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219.76574638403434</v>
      </c>
      <c r="EP124" s="59">
        <f t="shared" si="100"/>
        <v>92.286636088269972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107.37536146877513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107.37536146877513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>
        <f>FE124*VLOOKUP('Données projet'!$B$16,Paramètres!$A$1:$I$89,3,0)*VLOOKUP('Données projet'!$B$16,Paramètres!$A$1:$I$89,5,0)</f>
        <v>0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86.164294406232727</v>
      </c>
      <c r="FK124" s="59">
        <f t="shared" si="102"/>
        <v>138.91188401562334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18.795072055561771</v>
      </c>
      <c r="FR124" s="21">
        <f>EXP(-LN(2)/25)*FR123+(1-EXP(-LN(2)/25))/(LN(2)/25)*Calculateur!FM124*Calculateur!FO124*VLOOKUP('Données projet'!$B$16,Paramètres!$A$1:$I$89,3,0)*0.475*44/12</f>
        <v>7.6337561344004676</v>
      </c>
      <c r="FS124" s="21">
        <f>EXP(-LN(2)/2)*FS123+(1-EXP(-LN(2)/2))/(LN(2)/2)*FM124*FP124*VLOOKUP('Données projet'!$B$16,Paramètres!$A$1:$I$89,3,0)*0.475*44/12</f>
        <v>2.3178181085121718E-8</v>
      </c>
      <c r="FT124" s="22">
        <f t="shared" si="78"/>
        <v>26.42882821314042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150.21793637331223</v>
      </c>
      <c r="T125" s="59">
        <f t="shared" si="88"/>
        <v>364.59164590134486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17.243192408731741</v>
      </c>
      <c r="AA125" s="21">
        <f>EXP(-LN(2)/25)*AA124+(1-EXP(-LN(2)/25))/(LN(2)/25)*Calculateur!V125*Calculateur!X125*VLOOKUP('Données projet'!$B$9,Paramètres!$A$1:$I$89,3,0)*0.475*44/12</f>
        <v>1.7572733627398902</v>
      </c>
      <c r="AB125" s="21">
        <f>EXP(-LN(2)/2)*AB124+(1-EXP(-LN(2)/2))/(LN(2)/2)*V125*Y125*VLOOKUP('Données projet'!$B$9,Paramètres!$A$1:$I$89,3,0)*0.475*44/12</f>
        <v>2.7505651283665387E-13</v>
      </c>
      <c r="AC125" s="22">
        <f t="shared" si="57"/>
        <v>19.000465771471905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-5.6843418860808015E-14</v>
      </c>
      <c r="AJ125" s="13">
        <f>AI125*VLOOKUP('Données projet'!$B$10,Paramètres!$A$1:$I$89,3,0)*VLOOKUP('Données projet'!$B$10,Paramètres!$A$1:$I$89,5,0)</f>
        <v>-6.2073013396002344E-14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223.92539057016376</v>
      </c>
      <c r="AO125" s="59">
        <f t="shared" si="90"/>
        <v>94.125825809616856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106.7954453420482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106.7954453420482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-5.6843418860808015E-14</v>
      </c>
      <c r="BE125" s="13">
        <f>BD125*VLOOKUP('Données projet'!$B$11,Paramètres!$A$1:$I$89,3,0)*VLOOKUP('Données projet'!$B$11,Paramètres!$A$1:$I$89,5,0)</f>
        <v>-6.4733285398688169E-14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236.39682613502913</v>
      </c>
      <c r="BJ125" s="59">
        <f t="shared" si="92"/>
        <v>99.639724892155641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111.37239299956457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111.37239299956457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-5.6843418860808015E-14</v>
      </c>
      <c r="CU125" s="17">
        <f>CT125*VLOOKUP('Données projet'!$B$13,Paramètres!$A$1:$I$89,3,0)*VLOOKUP('Données projet'!$B$13,Paramètres!$A$1:$I$89,5,0)</f>
        <v>-4.7884896048344674E-14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157.20393815370375</v>
      </c>
      <c r="CZ125" s="59">
        <f t="shared" si="96"/>
        <v>64.616965816756363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82.385057835294347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82.385057835294347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-1.1368683772161603E-13</v>
      </c>
      <c r="DP125" s="17">
        <f>DO125*VLOOKUP('Données projet'!$B$14,Paramètres!$A$1:$I$89,3,0)*VLOOKUP('Données projet'!$B$14,Paramètres!$A$1:$I$89,5,0)</f>
        <v>-9.2222762759774927E-14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221.78186926953776</v>
      </c>
      <c r="DU125" s="59">
        <f t="shared" si="98"/>
        <v>276.69392352410654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29.127860654918074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29.127860654918074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-5.6843418860808015E-14</v>
      </c>
      <c r="EK125" s="17">
        <f>EJ125*VLOOKUP('Données projet'!$B$15,Paramètres!$A$1:$I$89,3,0)*VLOOKUP('Données projet'!$B$15,Paramètres!$A$1:$I$89,5,0)</f>
        <v>-6.1186256061773749E-14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219.76574638403434</v>
      </c>
      <c r="EP125" s="59">
        <f t="shared" si="100"/>
        <v>92.286636088269972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105.26979612287609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105.26979612287609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>
        <f>FE125*VLOOKUP('Données projet'!$B$16,Paramètres!$A$1:$I$89,3,0)*VLOOKUP('Données projet'!$B$16,Paramètres!$A$1:$I$89,5,0)</f>
        <v>0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86.164294406232727</v>
      </c>
      <c r="FK125" s="59">
        <f t="shared" si="102"/>
        <v>138.91188401562334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18.426512156414198</v>
      </c>
      <c r="FR125" s="21">
        <f>EXP(-LN(2)/25)*FR124+(1-EXP(-LN(2)/25))/(LN(2)/25)*Calculateur!FM125*Calculateur!FO125*VLOOKUP('Données projet'!$B$16,Paramètres!$A$1:$I$89,3,0)*0.475*44/12</f>
        <v>7.4250106714634994</v>
      </c>
      <c r="FS125" s="21">
        <f>EXP(-LN(2)/2)*FS124+(1-EXP(-LN(2)/2))/(LN(2)/2)*FM125*FP125*VLOOKUP('Données projet'!$B$16,Paramètres!$A$1:$I$89,3,0)*0.475*44/12</f>
        <v>1.6389449020859337E-8</v>
      </c>
      <c r="FT125" s="22">
        <f t="shared" si="78"/>
        <v>25.851522844267148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150.21793637331223</v>
      </c>
      <c r="T126" s="59">
        <f t="shared" si="88"/>
        <v>364.59164590134486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16.905063922905381</v>
      </c>
      <c r="AA126" s="21">
        <f>EXP(-LN(2)/25)*AA125+(1-EXP(-LN(2)/25))/(LN(2)/25)*Calculateur!V126*Calculateur!X126*VLOOKUP('Données projet'!$B$9,Paramètres!$A$1:$I$89,3,0)*0.475*44/12</f>
        <v>1.7092206302247781</v>
      </c>
      <c r="AB126" s="21">
        <f>EXP(-LN(2)/2)*AB125+(1-EXP(-LN(2)/2))/(LN(2)/2)*V126*Y126*VLOOKUP('Données projet'!$B$9,Paramètres!$A$1:$I$89,3,0)*0.475*44/12</f>
        <v>1.9449432543632261E-13</v>
      </c>
      <c r="AC126" s="22">
        <f t="shared" si="57"/>
        <v>18.614284553130354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-5.6843418860808015E-14</v>
      </c>
      <c r="AJ126" s="13">
        <f>AI126*VLOOKUP('Données projet'!$B$10,Paramètres!$A$1:$I$89,3,0)*VLOOKUP('Données projet'!$B$10,Paramètres!$A$1:$I$89,5,0)</f>
        <v>-6.2073013396002344E-14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223.92539057016376</v>
      </c>
      <c r="AO126" s="59">
        <f t="shared" si="90"/>
        <v>94.125825809616856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104.70125179768037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104.70125179768037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-5.6843418860808015E-14</v>
      </c>
      <c r="BE126" s="13">
        <f>BD126*VLOOKUP('Données projet'!$B$11,Paramètres!$A$1:$I$89,3,0)*VLOOKUP('Données projet'!$B$11,Paramètres!$A$1:$I$89,5,0)</f>
        <v>-6.4733285398688169E-14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236.39682613502913</v>
      </c>
      <c r="BJ126" s="59">
        <f t="shared" si="92"/>
        <v>99.639724892155641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109.18844830329526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109.18844830329526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-5.6843418860808015E-14</v>
      </c>
      <c r="CU126" s="17">
        <f>CT126*VLOOKUP('Données projet'!$B$13,Paramètres!$A$1:$I$89,3,0)*VLOOKUP('Données projet'!$B$13,Paramètres!$A$1:$I$89,5,0)</f>
        <v>-4.7884896048344674E-14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157.20393815370375</v>
      </c>
      <c r="CZ126" s="59">
        <f t="shared" si="96"/>
        <v>64.616965816756363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80.769537101067741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80.769537101067741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-1.1368683772161603E-13</v>
      </c>
      <c r="DP126" s="17">
        <f>DO126*VLOOKUP('Données projet'!$B$14,Paramètres!$A$1:$I$89,3,0)*VLOOKUP('Données projet'!$B$14,Paramètres!$A$1:$I$89,5,0)</f>
        <v>-9.2222762759774927E-14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221.78186926953776</v>
      </c>
      <c r="DU126" s="59">
        <f t="shared" si="98"/>
        <v>276.69392352410654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28.556681073715858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28.556681073715858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-5.6843418860808015E-14</v>
      </c>
      <c r="EK126" s="17">
        <f>EJ126*VLOOKUP('Données projet'!$B$15,Paramètres!$A$1:$I$89,3,0)*VLOOKUP('Données projet'!$B$15,Paramètres!$A$1:$I$89,5,0)</f>
        <v>-6.1186256061773749E-14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219.76574638403434</v>
      </c>
      <c r="EP126" s="59">
        <f t="shared" si="100"/>
        <v>92.286636088269972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103.20551962914209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103.20551962914209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>
        <f>FE126*VLOOKUP('Données projet'!$B$16,Paramètres!$A$1:$I$89,3,0)*VLOOKUP('Données projet'!$B$16,Paramètres!$A$1:$I$89,5,0)</f>
        <v>0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86.164294406232727</v>
      </c>
      <c r="FK126" s="59">
        <f t="shared" si="102"/>
        <v>138.91188401562334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18.065179492089566</v>
      </c>
      <c r="FR126" s="21">
        <f>EXP(-LN(2)/25)*FR125+(1-EXP(-LN(2)/25))/(LN(2)/25)*Calculateur!FM126*Calculateur!FO126*VLOOKUP('Données projet'!$B$16,Paramètres!$A$1:$I$89,3,0)*0.475*44/12</f>
        <v>7.2219733641879884</v>
      </c>
      <c r="FS126" s="21">
        <f>EXP(-LN(2)/2)*FS125+(1-EXP(-LN(2)/2))/(LN(2)/2)*FM126*FP126*VLOOKUP('Données projet'!$B$16,Paramètres!$A$1:$I$89,3,0)*0.475*44/12</f>
        <v>1.1589090542560859E-8</v>
      </c>
      <c r="FT126" s="22">
        <f t="shared" si="78"/>
        <v>25.287152867866645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150.21793637331223</v>
      </c>
      <c r="T127" s="59">
        <f t="shared" si="88"/>
        <v>364.59164590134486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16.573565930448066</v>
      </c>
      <c r="AA127" s="21">
        <f>EXP(-LN(2)/25)*AA126+(1-EXP(-LN(2)/25))/(LN(2)/25)*Calculateur!V127*Calculateur!X127*VLOOKUP('Données projet'!$B$9,Paramètres!$A$1:$I$89,3,0)*0.475*44/12</f>
        <v>1.662481902207275</v>
      </c>
      <c r="AB127" s="21">
        <f>EXP(-LN(2)/2)*AB126+(1-EXP(-LN(2)/2))/(LN(2)/2)*V127*Y127*VLOOKUP('Données projet'!$B$9,Paramètres!$A$1:$I$89,3,0)*0.475*44/12</f>
        <v>1.3752825641832694E-13</v>
      </c>
      <c r="AC127" s="22">
        <f t="shared" si="57"/>
        <v>18.23604783265548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-5.6843418860808015E-14</v>
      </c>
      <c r="AJ127" s="13">
        <f>AI127*VLOOKUP('Données projet'!$B$10,Paramètres!$A$1:$I$89,3,0)*VLOOKUP('Données projet'!$B$10,Paramètres!$A$1:$I$89,5,0)</f>
        <v>-6.2073013396002344E-14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223.92539057016376</v>
      </c>
      <c r="AO127" s="59">
        <f t="shared" si="90"/>
        <v>94.125825809616856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102.64812411138566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102.64812411138566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-5.6843418860808015E-14</v>
      </c>
      <c r="BE127" s="13">
        <f>BD127*VLOOKUP('Données projet'!$B$11,Paramètres!$A$1:$I$89,3,0)*VLOOKUP('Données projet'!$B$11,Paramètres!$A$1:$I$89,5,0)</f>
        <v>-6.4733285398688169E-14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236.39682613502913</v>
      </c>
      <c r="BJ127" s="59">
        <f t="shared" si="92"/>
        <v>99.639724892155641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107.04732943044506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107.04732943044506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-5.6843418860808015E-14</v>
      </c>
      <c r="CU127" s="17">
        <f>CT127*VLOOKUP('Données projet'!$B$13,Paramètres!$A$1:$I$89,3,0)*VLOOKUP('Données projet'!$B$13,Paramètres!$A$1:$I$89,5,0)</f>
        <v>-4.7884896048344674E-14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157.20393815370375</v>
      </c>
      <c r="CZ127" s="59">
        <f t="shared" si="96"/>
        <v>64.616965816756363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79.185695743068962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79.185695743068962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-1.1368683772161603E-13</v>
      </c>
      <c r="DP127" s="17">
        <f>DO127*VLOOKUP('Données projet'!$B$14,Paramètres!$A$1:$I$89,3,0)*VLOOKUP('Données projet'!$B$14,Paramètres!$A$1:$I$89,5,0)</f>
        <v>-9.2222762759774927E-14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221.78186926953776</v>
      </c>
      <c r="DU127" s="59">
        <f t="shared" si="98"/>
        <v>276.69392352410654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27.996701975715876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27.996701975715876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-5.6843418860808015E-14</v>
      </c>
      <c r="EK127" s="17">
        <f>EJ127*VLOOKUP('Données projet'!$B$15,Paramètres!$A$1:$I$89,3,0)*VLOOKUP('Données projet'!$B$15,Paramètres!$A$1:$I$89,5,0)</f>
        <v>-6.1186256061773749E-14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219.76574638403434</v>
      </c>
      <c r="EP127" s="59">
        <f t="shared" si="100"/>
        <v>92.286636088269972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101.18172233836587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101.18172233836587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>
        <f>FE127*VLOOKUP('Données projet'!$B$16,Paramètres!$A$1:$I$89,3,0)*VLOOKUP('Données projet'!$B$16,Paramètres!$A$1:$I$89,5,0)</f>
        <v>0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86.164294406232727</v>
      </c>
      <c r="FK127" s="59">
        <f t="shared" si="102"/>
        <v>138.91188401562334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17.710932340921175</v>
      </c>
      <c r="FR127" s="21">
        <f>EXP(-LN(2)/25)*FR126+(1-EXP(-LN(2)/25))/(LN(2)/25)*Calculateur!FM127*Calculateur!FO127*VLOOKUP('Données projet'!$B$16,Paramètres!$A$1:$I$89,3,0)*0.475*44/12</f>
        <v>7.0244881227571945</v>
      </c>
      <c r="FS127" s="21">
        <f>EXP(-LN(2)/2)*FS126+(1-EXP(-LN(2)/2))/(LN(2)/2)*FM127*FP127*VLOOKUP('Données projet'!$B$16,Paramètres!$A$1:$I$89,3,0)*0.475*44/12</f>
        <v>8.1947245104296687E-9</v>
      </c>
      <c r="FT127" s="22">
        <f t="shared" si="78"/>
        <v>24.735420471873095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150.21793637331223</v>
      </c>
      <c r="T128" s="59">
        <f t="shared" si="88"/>
        <v>364.59164590134486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16.248568411429027</v>
      </c>
      <c r="AA128" s="21">
        <f>EXP(-LN(2)/25)*AA127+(1-EXP(-LN(2)/25))/(LN(2)/25)*Calculateur!V128*Calculateur!X128*VLOOKUP('Données projet'!$B$9,Paramètres!$A$1:$I$89,3,0)*0.475*44/12</f>
        <v>1.6170212471652934</v>
      </c>
      <c r="AB128" s="21">
        <f>EXP(-LN(2)/2)*AB127+(1-EXP(-LN(2)/2))/(LN(2)/2)*V128*Y128*VLOOKUP('Données projet'!$B$9,Paramètres!$A$1:$I$89,3,0)*0.475*44/12</f>
        <v>9.7247162718161306E-14</v>
      </c>
      <c r="AC128" s="22">
        <f t="shared" si="57"/>
        <v>17.865589658594416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-5.6843418860808015E-14</v>
      </c>
      <c r="AJ128" s="13">
        <f>AI128*VLOOKUP('Données projet'!$B$10,Paramètres!$A$1:$I$89,3,0)*VLOOKUP('Données projet'!$B$10,Paramètres!$A$1:$I$89,5,0)</f>
        <v>-6.2073013396002344E-14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223.92539057016376</v>
      </c>
      <c r="AO128" s="59">
        <f t="shared" si="90"/>
        <v>94.125825809616856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100.63525700673495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100.63525700673495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-5.6843418860808015E-14</v>
      </c>
      <c r="BE128" s="13">
        <f>BD128*VLOOKUP('Données projet'!$B$11,Paramètres!$A$1:$I$89,3,0)*VLOOKUP('Données projet'!$B$11,Paramètres!$A$1:$I$89,5,0)</f>
        <v>-6.4733285398688169E-14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236.39682613502913</v>
      </c>
      <c r="BJ128" s="59">
        <f t="shared" si="92"/>
        <v>99.639724892155641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104.9481965927379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104.9481965927379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-5.6843418860808015E-14</v>
      </c>
      <c r="CU128" s="17">
        <f>CT128*VLOOKUP('Données projet'!$B$13,Paramètres!$A$1:$I$89,3,0)*VLOOKUP('Données projet'!$B$13,Paramètres!$A$1:$I$89,5,0)</f>
        <v>-4.7884896048344674E-14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157.20393815370375</v>
      </c>
      <c r="CZ128" s="59">
        <f t="shared" si="96"/>
        <v>64.616965816756363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77.632912548052701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77.632912548052701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-1.1368683772161603E-13</v>
      </c>
      <c r="DP128" s="17">
        <f>DO128*VLOOKUP('Données projet'!$B$14,Paramètres!$A$1:$I$89,3,0)*VLOOKUP('Données projet'!$B$14,Paramètres!$A$1:$I$89,5,0)</f>
        <v>-9.2222762759774927E-14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221.78186926953776</v>
      </c>
      <c r="DU128" s="59">
        <f t="shared" si="98"/>
        <v>276.69392352410654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27.447703726274149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27.447703726274149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-5.6843418860808015E-14</v>
      </c>
      <c r="EK128" s="17">
        <f>EJ128*VLOOKUP('Données projet'!$B$15,Paramètres!$A$1:$I$89,3,0)*VLOOKUP('Données projet'!$B$15,Paramètres!$A$1:$I$89,5,0)</f>
        <v>-6.1186256061773749E-14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219.76574638403434</v>
      </c>
      <c r="EP128" s="59">
        <f t="shared" si="100"/>
        <v>92.286636088269972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99.197610478067318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99.197610478067318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>
        <f>FE128*VLOOKUP('Données projet'!$B$16,Paramètres!$A$1:$I$89,3,0)*VLOOKUP('Données projet'!$B$16,Paramètres!$A$1:$I$89,5,0)</f>
        <v>0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86.164294406232727</v>
      </c>
      <c r="FK128" s="59">
        <f t="shared" si="102"/>
        <v>138.91188401562334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17.363631760317769</v>
      </c>
      <c r="FR128" s="21">
        <f>EXP(-LN(2)/25)*FR127+(1-EXP(-LN(2)/25))/(LN(2)/25)*Calculateur!FM128*Calculateur!FO128*VLOOKUP('Données projet'!$B$16,Paramètres!$A$1:$I$89,3,0)*0.475*44/12</f>
        <v>6.8324031256386233</v>
      </c>
      <c r="FS128" s="21">
        <f>EXP(-LN(2)/2)*FS127+(1-EXP(-LN(2)/2))/(LN(2)/2)*FM128*FP128*VLOOKUP('Données projet'!$B$16,Paramètres!$A$1:$I$89,3,0)*0.475*44/12</f>
        <v>5.7945452712804295E-9</v>
      </c>
      <c r="FT128" s="22">
        <f t="shared" si="78"/>
        <v>24.196034891750937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150.21793637331223</v>
      </c>
      <c r="T129" s="59">
        <f t="shared" si="88"/>
        <v>364.59164590134486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15.929943895529039</v>
      </c>
      <c r="AA129" s="21">
        <f>EXP(-LN(2)/25)*AA128+(1-EXP(-LN(2)/25))/(LN(2)/25)*Calculateur!V129*Calculateur!X129*VLOOKUP('Données projet'!$B$9,Paramètres!$A$1:$I$89,3,0)*0.475*44/12</f>
        <v>1.5728037161261068</v>
      </c>
      <c r="AB129" s="21">
        <f>EXP(-LN(2)/2)*AB128+(1-EXP(-LN(2)/2))/(LN(2)/2)*V129*Y129*VLOOKUP('Données projet'!$B$9,Paramètres!$A$1:$I$89,3,0)*0.475*44/12</f>
        <v>6.8764128209163468E-14</v>
      </c>
      <c r="AC129" s="22">
        <f t="shared" si="57"/>
        <v>17.502747611655213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-5.6843418860808015E-14</v>
      </c>
      <c r="AJ129" s="13">
        <f>AI129*VLOOKUP('Données projet'!$B$10,Paramètres!$A$1:$I$89,3,0)*VLOOKUP('Données projet'!$B$10,Paramètres!$A$1:$I$89,5,0)</f>
        <v>-6.2073013396002344E-14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223.92539057016376</v>
      </c>
      <c r="AO129" s="59">
        <f t="shared" si="90"/>
        <v>94.125825809616856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98.66186099827874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98.66186099827874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-5.6843418860808015E-14</v>
      </c>
      <c r="BE129" s="13">
        <f>BD129*VLOOKUP('Données projet'!$B$11,Paramètres!$A$1:$I$89,3,0)*VLOOKUP('Données projet'!$B$11,Paramètres!$A$1:$I$89,5,0)</f>
        <v>-6.4733285398688169E-14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236.39682613502913</v>
      </c>
      <c r="BJ129" s="59">
        <f t="shared" si="92"/>
        <v>99.639724892155641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102.89022646963356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102.89022646963356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-5.6843418860808015E-14</v>
      </c>
      <c r="CU129" s="17">
        <f>CT129*VLOOKUP('Données projet'!$B$13,Paramètres!$A$1:$I$89,3,0)*VLOOKUP('Données projet'!$B$13,Paramètres!$A$1:$I$89,5,0)</f>
        <v>-4.7884896048344674E-14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157.20393815370375</v>
      </c>
      <c r="CZ129" s="59">
        <f t="shared" si="96"/>
        <v>64.616965816756363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76.11057848438648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76.11057848438648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-1.1368683772161603E-13</v>
      </c>
      <c r="DP129" s="17">
        <f>DO129*VLOOKUP('Données projet'!$B$14,Paramètres!$A$1:$I$89,3,0)*VLOOKUP('Données projet'!$B$14,Paramètres!$A$1:$I$89,5,0)</f>
        <v>-9.2222762759774927E-14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221.78186926953776</v>
      </c>
      <c r="DU129" s="59">
        <f t="shared" si="98"/>
        <v>276.69392352410654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26.909470997648107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26.909470997648107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-5.6843418860808015E-14</v>
      </c>
      <c r="EK129" s="17">
        <f>EJ129*VLOOKUP('Données projet'!$B$15,Paramètres!$A$1:$I$89,3,0)*VLOOKUP('Données projet'!$B$15,Paramètres!$A$1:$I$89,5,0)</f>
        <v>-6.1186256061773749E-14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219.76574638403434</v>
      </c>
      <c r="EP129" s="59">
        <f t="shared" si="100"/>
        <v>92.286636088269972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97.252405841160481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97.252405841160481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>
        <f>FE129*VLOOKUP('Données projet'!$B$16,Paramètres!$A$1:$I$89,3,0)*VLOOKUP('Données projet'!$B$16,Paramètres!$A$1:$I$89,5,0)</f>
        <v>0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86.164294406232727</v>
      </c>
      <c r="FK129" s="59">
        <f t="shared" si="102"/>
        <v>138.91188401562334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17.023141532267559</v>
      </c>
      <c r="FR129" s="21">
        <f>EXP(-LN(2)/25)*FR128+(1-EXP(-LN(2)/25))/(LN(2)/25)*Calculateur!FM129*Calculateur!FO129*VLOOKUP('Données projet'!$B$16,Paramètres!$A$1:$I$89,3,0)*0.475*44/12</f>
        <v>6.6455707028675706</v>
      </c>
      <c r="FS129" s="21">
        <f>EXP(-LN(2)/2)*FS128+(1-EXP(-LN(2)/2))/(LN(2)/2)*FM129*FP129*VLOOKUP('Données projet'!$B$16,Paramètres!$A$1:$I$89,3,0)*0.475*44/12</f>
        <v>4.0973622552148343E-9</v>
      </c>
      <c r="FT129" s="22">
        <f t="shared" si="78"/>
        <v>23.668712239232491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150.21793637331223</v>
      </c>
      <c r="T130" s="59">
        <f t="shared" si="88"/>
        <v>364.59164590134486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15.617567412044085</v>
      </c>
      <c r="AA130" s="21">
        <f>EXP(-LN(2)/25)*AA129+(1-EXP(-LN(2)/25))/(LN(2)/25)*Calculateur!V130*Calculateur!X130*VLOOKUP('Données projet'!$B$9,Paramètres!$A$1:$I$89,3,0)*0.475*44/12</f>
        <v>1.5297953157984856</v>
      </c>
      <c r="AB130" s="21">
        <f>EXP(-LN(2)/2)*AB129+(1-EXP(-LN(2)/2))/(LN(2)/2)*V130*Y130*VLOOKUP('Données projet'!$B$9,Paramètres!$A$1:$I$89,3,0)*0.475*44/12</f>
        <v>4.8623581359080653E-14</v>
      </c>
      <c r="AC130" s="22">
        <f t="shared" si="57"/>
        <v>17.147362727842619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-5.6843418860808015E-14</v>
      </c>
      <c r="AJ130" s="13">
        <f>AI130*VLOOKUP('Données projet'!$B$10,Paramètres!$A$1:$I$89,3,0)*VLOOKUP('Données projet'!$B$10,Paramètres!$A$1:$I$89,5,0)</f>
        <v>-6.2073013396002344E-14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223.92539057016376</v>
      </c>
      <c r="AO130" s="59">
        <f t="shared" si="90"/>
        <v>94.125825809616856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96.727162081895642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96.727162081895642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-5.6843418860808015E-14</v>
      </c>
      <c r="BE130" s="13">
        <f>BD130*VLOOKUP('Données projet'!$B$11,Paramètres!$A$1:$I$89,3,0)*VLOOKUP('Données projet'!$B$11,Paramètres!$A$1:$I$89,5,0)</f>
        <v>-6.4733285398688169E-14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236.39682613502913</v>
      </c>
      <c r="BJ130" s="59">
        <f t="shared" si="92"/>
        <v>99.639724892155641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100.87261188540548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100.87261188540548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-5.6843418860808015E-14</v>
      </c>
      <c r="CU130" s="17">
        <f>CT130*VLOOKUP('Données projet'!$B$13,Paramètres!$A$1:$I$89,3,0)*VLOOKUP('Données projet'!$B$13,Paramètres!$A$1:$I$89,5,0)</f>
        <v>-4.7884896048344674E-14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157.20393815370375</v>
      </c>
      <c r="CZ130" s="59">
        <f t="shared" si="96"/>
        <v>64.616965816756363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74.618096463176656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74.618096463176656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-1.1368683772161603E-13</v>
      </c>
      <c r="DP130" s="17">
        <f>DO130*VLOOKUP('Données projet'!$B$14,Paramètres!$A$1:$I$89,3,0)*VLOOKUP('Données projet'!$B$14,Paramètres!$A$1:$I$89,5,0)</f>
        <v>-9.2222762759774927E-14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221.78186926953776</v>
      </c>
      <c r="DU130" s="59">
        <f t="shared" si="98"/>
        <v>276.69392352410654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26.381792684540873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26.381792684540873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-5.6843418860808015E-14</v>
      </c>
      <c r="EK130" s="17">
        <f>EJ130*VLOOKUP('Données projet'!$B$15,Paramètres!$A$1:$I$89,3,0)*VLOOKUP('Données projet'!$B$15,Paramètres!$A$1:$I$89,5,0)</f>
        <v>-6.1186256061773749E-14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219.76574638403434</v>
      </c>
      <c r="EP130" s="59">
        <f t="shared" si="100"/>
        <v>92.286636088269972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95.345345480725712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95.345345480725712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>
        <f>FE130*VLOOKUP('Données projet'!$B$16,Paramètres!$A$1:$I$89,3,0)*VLOOKUP('Données projet'!$B$16,Paramètres!$A$1:$I$89,5,0)</f>
        <v>0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86.164294406232727</v>
      </c>
      <c r="FK130" s="59">
        <f t="shared" si="102"/>
        <v>138.91188401562334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16.689328109910882</v>
      </c>
      <c r="FR130" s="21">
        <f>EXP(-LN(2)/25)*FR129+(1-EXP(-LN(2)/25))/(LN(2)/25)*Calculateur!FM130*Calculateur!FO130*VLOOKUP('Données projet'!$B$16,Paramètres!$A$1:$I$89,3,0)*0.475*44/12</f>
        <v>6.4638472225222818</v>
      </c>
      <c r="FS130" s="21">
        <f>EXP(-LN(2)/2)*FS129+(1-EXP(-LN(2)/2))/(LN(2)/2)*FM130*FP130*VLOOKUP('Données projet'!$B$16,Paramètres!$A$1:$I$89,3,0)*0.475*44/12</f>
        <v>2.8972726356402148E-9</v>
      </c>
      <c r="FT130" s="22">
        <f t="shared" si="78"/>
        <v>23.153175335330438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150.21793637331223</v>
      </c>
      <c r="T131" s="59">
        <f t="shared" si="88"/>
        <v>364.59164590134486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15.31131644086943</v>
      </c>
      <c r="AA131" s="21">
        <f>EXP(-LN(2)/25)*AA130+(1-EXP(-LN(2)/25))/(LN(2)/25)*Calculateur!V131*Calculateur!X131*VLOOKUP('Données projet'!$B$9,Paramètres!$A$1:$I$89,3,0)*0.475*44/12</f>
        <v>1.4879629824395368</v>
      </c>
      <c r="AB131" s="21">
        <f>EXP(-LN(2)/2)*AB130+(1-EXP(-LN(2)/2))/(LN(2)/2)*V131*Y131*VLOOKUP('Données projet'!$B$9,Paramètres!$A$1:$I$89,3,0)*0.475*44/12</f>
        <v>3.4382064104581734E-14</v>
      </c>
      <c r="AC131" s="22">
        <f t="shared" si="57"/>
        <v>16.799279423309002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-5.6843418860808015E-14</v>
      </c>
      <c r="AJ131" s="13">
        <f>AI131*VLOOKUP('Données projet'!$B$10,Paramètres!$A$1:$I$89,3,0)*VLOOKUP('Données projet'!$B$10,Paramètres!$A$1:$I$89,5,0)</f>
        <v>-6.2073013396002344E-14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223.92539057016376</v>
      </c>
      <c r="AO131" s="59">
        <f t="shared" si="90"/>
        <v>94.125825809616856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94.830401431212991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94.830401431212991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-5.6843418860808015E-14</v>
      </c>
      <c r="BE131" s="13">
        <f>BD131*VLOOKUP('Données projet'!$B$11,Paramètres!$A$1:$I$89,3,0)*VLOOKUP('Données projet'!$B$11,Paramètres!$A$1:$I$89,5,0)</f>
        <v>-6.4733285398688169E-14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236.39682613502913</v>
      </c>
      <c r="BJ131" s="59">
        <f t="shared" si="92"/>
        <v>99.639724892155641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98.894561492550721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98.894561492550721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-5.6843418860808015E-14</v>
      </c>
      <c r="CU131" s="17">
        <f>CT131*VLOOKUP('Données projet'!$B$13,Paramètres!$A$1:$I$89,3,0)*VLOOKUP('Données projet'!$B$13,Paramètres!$A$1:$I$89,5,0)</f>
        <v>-4.7884896048344674E-14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157.20393815370375</v>
      </c>
      <c r="CZ131" s="59">
        <f t="shared" si="96"/>
        <v>64.616965816756363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73.154881104078612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73.154881104078612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-1.1368683772161603E-13</v>
      </c>
      <c r="DP131" s="17">
        <f>DO131*VLOOKUP('Données projet'!$B$14,Paramètres!$A$1:$I$89,3,0)*VLOOKUP('Données projet'!$B$14,Paramètres!$A$1:$I$89,5,0)</f>
        <v>-9.2222762759774927E-14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221.78186926953776</v>
      </c>
      <c r="DU131" s="59">
        <f t="shared" si="98"/>
        <v>276.69392352410654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25.864461821301678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25.864461821301678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-5.6843418860808015E-14</v>
      </c>
      <c r="EK131" s="17">
        <f>EJ131*VLOOKUP('Données projet'!$B$15,Paramètres!$A$1:$I$89,3,0)*VLOOKUP('Données projet'!$B$15,Paramètres!$A$1:$I$89,5,0)</f>
        <v>-6.1186256061773749E-14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219.76574638403434</v>
      </c>
      <c r="EP131" s="59">
        <f t="shared" si="100"/>
        <v>92.286636088269972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93.475681410767109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93.475681410767109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>
        <f>FE131*VLOOKUP('Données projet'!$B$16,Paramètres!$A$1:$I$89,3,0)*VLOOKUP('Données projet'!$B$16,Paramètres!$A$1:$I$89,5,0)</f>
        <v>0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86.164294406232727</v>
      </c>
      <c r="FK131" s="59">
        <f t="shared" si="102"/>
        <v>138.91188401562334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16.362060565160537</v>
      </c>
      <c r="FR131" s="21">
        <f>EXP(-LN(2)/25)*FR130+(1-EXP(-LN(2)/25))/(LN(2)/25)*Calculateur!FM131*Calculateur!FO131*VLOOKUP('Données projet'!$B$16,Paramètres!$A$1:$I$89,3,0)*0.475*44/12</f>
        <v>6.2870929803034583</v>
      </c>
      <c r="FS131" s="21">
        <f>EXP(-LN(2)/2)*FS130+(1-EXP(-LN(2)/2))/(LN(2)/2)*FM131*FP131*VLOOKUP('Données projet'!$B$16,Paramètres!$A$1:$I$89,3,0)*0.475*44/12</f>
        <v>2.0486811276074172E-9</v>
      </c>
      <c r="FT131" s="22">
        <f t="shared" si="78"/>
        <v>22.649153547512675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150.21793637331223</v>
      </c>
      <c r="T132" s="59">
        <f t="shared" si="88"/>
        <v>364.59164590134486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15.011070864444861</v>
      </c>
      <c r="AA132" s="21">
        <f>EXP(-LN(2)/25)*AA131+(1-EXP(-LN(2)/25))/(LN(2)/25)*Calculateur!V132*Calculateur!X132*VLOOKUP('Données projet'!$B$9,Paramètres!$A$1:$I$89,3,0)*0.475*44/12</f>
        <v>1.4472745564361553</v>
      </c>
      <c r="AB132" s="21">
        <f>EXP(-LN(2)/2)*AB131+(1-EXP(-LN(2)/2))/(LN(2)/2)*V132*Y132*VLOOKUP('Données projet'!$B$9,Paramètres!$A$1:$I$89,3,0)*0.475*44/12</f>
        <v>2.4311790679540326E-14</v>
      </c>
      <c r="AC132" s="22">
        <f t="shared" ref="AC132:AC153" si="111">SUM(Z132:AB132)</f>
        <v>16.458345420881042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-5.6843418860808015E-14</v>
      </c>
      <c r="AJ132" s="13">
        <f>AI132*VLOOKUP('Données projet'!$B$10,Paramètres!$A$1:$I$89,3,0)*VLOOKUP('Données projet'!$B$10,Paramètres!$A$1:$I$89,5,0)</f>
        <v>-6.2073013396002344E-14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223.92539057016376</v>
      </c>
      <c r="AO132" s="59">
        <f t="shared" si="90"/>
        <v>94.125825809616856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92.970835099980462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92.970835099980462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-5.6843418860808015E-14</v>
      </c>
      <c r="BE132" s="13">
        <f>BD132*VLOOKUP('Données projet'!$B$11,Paramètres!$A$1:$I$89,3,0)*VLOOKUP('Données projet'!$B$11,Paramètres!$A$1:$I$89,5,0)</f>
        <v>-6.4733285398688169E-14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236.39682613502913</v>
      </c>
      <c r="BJ132" s="59">
        <f t="shared" si="92"/>
        <v>99.639724892155641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96.955299461408231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96.955299461408231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-5.6843418860808015E-14</v>
      </c>
      <c r="CU132" s="17">
        <f>CT132*VLOOKUP('Données projet'!$B$13,Paramètres!$A$1:$I$89,3,0)*VLOOKUP('Données projet'!$B$13,Paramètres!$A$1:$I$89,5,0)</f>
        <v>-4.7884896048344674E-14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157.20393815370375</v>
      </c>
      <c r="CZ132" s="59">
        <f t="shared" si="96"/>
        <v>64.616965816756363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71.720358505699238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71.720358505699238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-1.1368683772161603E-13</v>
      </c>
      <c r="DP132" s="17">
        <f>DO132*VLOOKUP('Données projet'!$B$14,Paramètres!$A$1:$I$89,3,0)*VLOOKUP('Données projet'!$B$14,Paramètres!$A$1:$I$89,5,0)</f>
        <v>-9.2222762759774927E-14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221.78186926953776</v>
      </c>
      <c r="DU132" s="59">
        <f t="shared" si="98"/>
        <v>276.69392352410654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25.357275500749935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25.357275500749935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-5.6843418860808015E-14</v>
      </c>
      <c r="EK132" s="17">
        <f>EJ132*VLOOKUP('Données projet'!$B$15,Paramètres!$A$1:$I$89,3,0)*VLOOKUP('Données projet'!$B$15,Paramètres!$A$1:$I$89,5,0)</f>
        <v>-6.1186256061773749E-14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219.76574638403434</v>
      </c>
      <c r="EP132" s="59">
        <f t="shared" si="100"/>
        <v>92.286636088269972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91.642680312837911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91.642680312837911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>
        <f>FE132*VLOOKUP('Données projet'!$B$16,Paramètres!$A$1:$I$89,3,0)*VLOOKUP('Données projet'!$B$16,Paramètres!$A$1:$I$89,5,0)</f>
        <v>0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86.164294406232727</v>
      </c>
      <c r="FK132" s="59">
        <f t="shared" si="102"/>
        <v>138.91188401562334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16.041210537349254</v>
      </c>
      <c r="FR132" s="21">
        <f>EXP(-LN(2)/25)*FR131+(1-EXP(-LN(2)/25))/(LN(2)/25)*Calculateur!FM132*Calculateur!FO132*VLOOKUP('Données projet'!$B$16,Paramètres!$A$1:$I$89,3,0)*0.475*44/12</f>
        <v>6.1151720921332098</v>
      </c>
      <c r="FS132" s="21">
        <f>EXP(-LN(2)/2)*FS131+(1-EXP(-LN(2)/2))/(LN(2)/2)*FM132*FP132*VLOOKUP('Données projet'!$B$16,Paramètres!$A$1:$I$89,3,0)*0.475*44/12</f>
        <v>1.4486363178201074E-9</v>
      </c>
      <c r="FT132" s="22">
        <f t="shared" ref="FT132:FT153" si="132">SUM(FQ132:FS132)</f>
        <v>22.156382630931102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150.21793637331223</v>
      </c>
      <c r="T133" s="59">
        <f t="shared" ref="T133:T196" si="142">$T$3</f>
        <v>364.59164590134486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14.716712920642259</v>
      </c>
      <c r="AA133" s="21">
        <f>EXP(-LN(2)/25)*AA132+(1-EXP(-LN(2)/25))/(LN(2)/25)*Calculateur!V133*Calculateur!X133*VLOOKUP('Données projet'!$B$9,Paramètres!$A$1:$I$89,3,0)*0.475*44/12</f>
        <v>1.4076987575815476</v>
      </c>
      <c r="AB133" s="21">
        <f>EXP(-LN(2)/2)*AB132+(1-EXP(-LN(2)/2))/(LN(2)/2)*V133*Y133*VLOOKUP('Données projet'!$B$9,Paramètres!$A$1:$I$89,3,0)*0.475*44/12</f>
        <v>1.7191032052290867E-14</v>
      </c>
      <c r="AC133" s="22">
        <f t="shared" si="111"/>
        <v>16.124411678223826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-5.6843418860808015E-14</v>
      </c>
      <c r="AJ133" s="13">
        <f>AI133*VLOOKUP('Données projet'!$B$10,Paramètres!$A$1:$I$89,3,0)*VLOOKUP('Données projet'!$B$10,Paramètres!$A$1:$I$89,5,0)</f>
        <v>-6.2073013396002344E-14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223.92539057016376</v>
      </c>
      <c r="AO133" s="59">
        <f t="shared" ref="AO133:AO196" si="144">$AO$3</f>
        <v>94.125825809616856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91.147733730279938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91.147733730279938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-5.6843418860808015E-14</v>
      </c>
      <c r="BE133" s="13">
        <f>BD133*VLOOKUP('Données projet'!$B$11,Paramètres!$A$1:$I$89,3,0)*VLOOKUP('Données projet'!$B$11,Paramètres!$A$1:$I$89,5,0)</f>
        <v>-6.4733285398688169E-14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236.39682613502913</v>
      </c>
      <c r="BJ133" s="59">
        <f t="shared" ref="BJ133:BJ196" si="146">$BJ$3</f>
        <v>99.639724892155641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95.0540651758634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95.0540651758634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-5.6843418860808015E-14</v>
      </c>
      <c r="CU133" s="17">
        <f>CT133*VLOOKUP('Données projet'!$B$13,Paramètres!$A$1:$I$89,3,0)*VLOOKUP('Données projet'!$B$13,Paramètres!$A$1:$I$89,5,0)</f>
        <v>-4.7884896048344674E-14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157.20393815370375</v>
      </c>
      <c r="CZ133" s="59">
        <f t="shared" ref="CZ133:CZ196" si="150">$CZ$3</f>
        <v>64.616965816756363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70.313966020501695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70.313966020501695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-1.1368683772161603E-13</v>
      </c>
      <c r="DP133" s="17">
        <f>DO133*VLOOKUP('Données projet'!$B$14,Paramètres!$A$1:$I$89,3,0)*VLOOKUP('Données projet'!$B$14,Paramètres!$A$1:$I$89,5,0)</f>
        <v>-9.2222762759774927E-14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221.78186926953776</v>
      </c>
      <c r="DU133" s="59">
        <f t="shared" ref="DU133:DU196" si="152">$DU$3</f>
        <v>276.69392352410654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24.860034794591105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24.860034794591105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-5.6843418860808015E-14</v>
      </c>
      <c r="EK133" s="17">
        <f>EJ133*VLOOKUP('Données projet'!$B$15,Paramètres!$A$1:$I$89,3,0)*VLOOKUP('Données projet'!$B$15,Paramètres!$A$1:$I$89,5,0)</f>
        <v>-6.1186256061773749E-14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219.76574638403434</v>
      </c>
      <c r="EP133" s="59">
        <f t="shared" ref="EP133:EP196" si="154">$EP$3</f>
        <v>92.286636088269972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89.845623248418832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89.845623248418832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>
        <f>FE133*VLOOKUP('Données projet'!$B$16,Paramètres!$A$1:$I$89,3,0)*VLOOKUP('Données projet'!$B$16,Paramètres!$A$1:$I$89,5,0)</f>
        <v>0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86.164294406232727</v>
      </c>
      <c r="FK133" s="59">
        <f t="shared" ref="FK133:FK196" si="156">$FK$3</f>
        <v>138.91188401562334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15.726652182884157</v>
      </c>
      <c r="FR133" s="21">
        <f>EXP(-LN(2)/25)*FR132+(1-EXP(-LN(2)/25))/(LN(2)/25)*Calculateur!FM133*Calculateur!FO133*VLOOKUP('Données projet'!$B$16,Paramètres!$A$1:$I$89,3,0)*0.475*44/12</f>
        <v>5.9479523896909035</v>
      </c>
      <c r="FS133" s="21">
        <f>EXP(-LN(2)/2)*FS132+(1-EXP(-LN(2)/2))/(LN(2)/2)*FM133*FP133*VLOOKUP('Données projet'!$B$16,Paramètres!$A$1:$I$89,3,0)*0.475*44/12</f>
        <v>1.0243405638037086E-9</v>
      </c>
      <c r="FT133" s="22">
        <f t="shared" si="132"/>
        <v>21.6746045735994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150.21793637331223</v>
      </c>
      <c r="T134" s="59">
        <f t="shared" si="142"/>
        <v>364.59164590134486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14.428127156577009</v>
      </c>
      <c r="AA134" s="21">
        <f>EXP(-LN(2)/25)*AA133+(1-EXP(-LN(2)/25))/(LN(2)/25)*Calculateur!V134*Calculateur!X134*VLOOKUP('Données projet'!$B$9,Paramètres!$A$1:$I$89,3,0)*0.475*44/12</f>
        <v>1.36920516102782</v>
      </c>
      <c r="AB134" s="21">
        <f>EXP(-LN(2)/2)*AB133+(1-EXP(-LN(2)/2))/(LN(2)/2)*V134*Y134*VLOOKUP('Données projet'!$B$9,Paramètres!$A$1:$I$89,3,0)*0.475*44/12</f>
        <v>1.2155895339770163E-14</v>
      </c>
      <c r="AC134" s="22">
        <f t="shared" si="111"/>
        <v>15.797332317604841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-5.6843418860808015E-14</v>
      </c>
      <c r="AJ134" s="13">
        <f>AI134*VLOOKUP('Données projet'!$B$10,Paramètres!$A$1:$I$89,3,0)*VLOOKUP('Données projet'!$B$10,Paramètres!$A$1:$I$89,5,0)</f>
        <v>-6.2073013396002344E-14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223.92539057016376</v>
      </c>
      <c r="AO134" s="59">
        <f t="shared" si="144"/>
        <v>94.125825809616856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89.360382266457208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89.360382266457208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-5.6843418860808015E-14</v>
      </c>
      <c r="BE134" s="13">
        <f>BD134*VLOOKUP('Données projet'!$B$11,Paramètres!$A$1:$I$89,3,0)*VLOOKUP('Données projet'!$B$11,Paramètres!$A$1:$I$89,5,0)</f>
        <v>-6.4733285398688169E-14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236.39682613502913</v>
      </c>
      <c r="BJ134" s="59">
        <f t="shared" si="146"/>
        <v>99.639724892155641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93.190112935019698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93.190112935019698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-5.6843418860808015E-14</v>
      </c>
      <c r="CU134" s="17">
        <f>CT134*VLOOKUP('Données projet'!$B$13,Paramètres!$A$1:$I$89,3,0)*VLOOKUP('Données projet'!$B$13,Paramètres!$A$1:$I$89,5,0)</f>
        <v>-4.7884896048344674E-14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157.20393815370375</v>
      </c>
      <c r="CZ134" s="59">
        <f t="shared" si="150"/>
        <v>64.616965816756363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68.935152034124158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68.935152034124158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-1.1368683772161603E-13</v>
      </c>
      <c r="DP134" s="17">
        <f>DO134*VLOOKUP('Données projet'!$B$14,Paramètres!$A$1:$I$89,3,0)*VLOOKUP('Données projet'!$B$14,Paramètres!$A$1:$I$89,5,0)</f>
        <v>-9.2222762759774927E-14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221.78186926953776</v>
      </c>
      <c r="DU134" s="59">
        <f t="shared" si="152"/>
        <v>276.69392352410654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24.372544675393165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24.372544675393165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-5.6843418860808015E-14</v>
      </c>
      <c r="EK134" s="17">
        <f>EJ134*VLOOKUP('Données projet'!$B$15,Paramètres!$A$1:$I$89,3,0)*VLOOKUP('Données projet'!$B$15,Paramètres!$A$1:$I$89,5,0)</f>
        <v>-6.1186256061773749E-14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219.76574638403434</v>
      </c>
      <c r="EP134" s="59">
        <f t="shared" si="154"/>
        <v>92.286636088269972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88.083805376936425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88.083805376936425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>
        <f>FE134*VLOOKUP('Données projet'!$B$16,Paramètres!$A$1:$I$89,3,0)*VLOOKUP('Données projet'!$B$16,Paramètres!$A$1:$I$89,5,0)</f>
        <v>0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86.164294406232727</v>
      </c>
      <c r="FK134" s="59">
        <f t="shared" si="156"/>
        <v>138.91188401562334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15.418262125888468</v>
      </c>
      <c r="FR134" s="21">
        <f>EXP(-LN(2)/25)*FR133+(1-EXP(-LN(2)/25))/(LN(2)/25)*Calculateur!FM134*Calculateur!FO134*VLOOKUP('Données projet'!$B$16,Paramètres!$A$1:$I$89,3,0)*0.475*44/12</f>
        <v>5.7853053188055839</v>
      </c>
      <c r="FS134" s="21">
        <f>EXP(-LN(2)/2)*FS133+(1-EXP(-LN(2)/2))/(LN(2)/2)*FM134*FP134*VLOOKUP('Données projet'!$B$16,Paramètres!$A$1:$I$89,3,0)*0.475*44/12</f>
        <v>7.2431815891005369E-10</v>
      </c>
      <c r="FT134" s="22">
        <f t="shared" si="132"/>
        <v>21.203567445418368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150.21793637331223</v>
      </c>
      <c r="T135" s="59">
        <f t="shared" si="142"/>
        <v>364.59164590134486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14.145200383325143</v>
      </c>
      <c r="AA135" s="21">
        <f>EXP(-LN(2)/25)*AA134+(1-EXP(-LN(2)/25))/(LN(2)/25)*Calculateur!V135*Calculateur!X135*VLOOKUP('Données projet'!$B$9,Paramètres!$A$1:$I$89,3,0)*0.475*44/12</f>
        <v>1.3317641738961441</v>
      </c>
      <c r="AB135" s="21">
        <f>EXP(-LN(2)/2)*AB134+(1-EXP(-LN(2)/2))/(LN(2)/2)*V135*Y135*VLOOKUP('Données projet'!$B$9,Paramètres!$A$1:$I$89,3,0)*0.475*44/12</f>
        <v>8.5955160261454335E-15</v>
      </c>
      <c r="AC135" s="22">
        <f t="shared" si="111"/>
        <v>15.476964557221295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-5.6843418860808015E-14</v>
      </c>
      <c r="AJ135" s="13">
        <f>AI135*VLOOKUP('Données projet'!$B$10,Paramètres!$A$1:$I$89,3,0)*VLOOKUP('Données projet'!$B$10,Paramètres!$A$1:$I$89,5,0)</f>
        <v>-6.2073013396002344E-14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223.92539057016376</v>
      </c>
      <c r="AO135" s="59">
        <f t="shared" si="144"/>
        <v>94.125825809616856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87.608079674663301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87.608079674663301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-5.6843418860808015E-14</v>
      </c>
      <c r="BE135" s="13">
        <f>BD135*VLOOKUP('Données projet'!$B$11,Paramètres!$A$1:$I$89,3,0)*VLOOKUP('Données projet'!$B$11,Paramètres!$A$1:$I$89,5,0)</f>
        <v>-6.4733285398688169E-14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236.39682613502913</v>
      </c>
      <c r="BJ135" s="59">
        <f t="shared" si="146"/>
        <v>99.639724892155641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91.362711660720336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91.362711660720336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-5.6843418860808015E-14</v>
      </c>
      <c r="CU135" s="17">
        <f>CT135*VLOOKUP('Données projet'!$B$13,Paramètres!$A$1:$I$89,3,0)*VLOOKUP('Données projet'!$B$13,Paramètres!$A$1:$I$89,5,0)</f>
        <v>-4.7884896048344674E-14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157.20393815370375</v>
      </c>
      <c r="CZ135" s="59">
        <f t="shared" si="150"/>
        <v>64.616965816756363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67.583375749026004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67.583375749026004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-1.1368683772161603E-13</v>
      </c>
      <c r="DP135" s="17">
        <f>DO135*VLOOKUP('Données projet'!$B$14,Paramètres!$A$1:$I$89,3,0)*VLOOKUP('Données projet'!$B$14,Paramètres!$A$1:$I$89,5,0)</f>
        <v>-9.2222762759774927E-14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221.78186926953776</v>
      </c>
      <c r="DU135" s="59">
        <f t="shared" si="152"/>
        <v>276.69392352410654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23.894613940093084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23.894613940093084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-5.6843418860808015E-14</v>
      </c>
      <c r="EK135" s="17">
        <f>EJ135*VLOOKUP('Données projet'!$B$15,Paramètres!$A$1:$I$89,3,0)*VLOOKUP('Données projet'!$B$15,Paramètres!$A$1:$I$89,5,0)</f>
        <v>-6.1186256061773749E-14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219.76574638403434</v>
      </c>
      <c r="EP135" s="59">
        <f t="shared" si="154"/>
        <v>92.286636088269972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86.356535679310994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86.356535679310994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>
        <f>FE135*VLOOKUP('Données projet'!$B$16,Paramètres!$A$1:$I$89,3,0)*VLOOKUP('Données projet'!$B$16,Paramètres!$A$1:$I$89,5,0)</f>
        <v>0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86.164294406232727</v>
      </c>
      <c r="FK135" s="59">
        <f t="shared" si="156"/>
        <v>138.91188401562334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15.115919409811104</v>
      </c>
      <c r="FR135" s="21">
        <f>EXP(-LN(2)/25)*FR134+(1-EXP(-LN(2)/25))/(LN(2)/25)*Calculateur!FM135*Calculateur!FO135*VLOOKUP('Données projet'!$B$16,Paramètres!$A$1:$I$89,3,0)*0.475*44/12</f>
        <v>5.6271058406268608</v>
      </c>
      <c r="FS135" s="21">
        <f>EXP(-LN(2)/2)*FS134+(1-EXP(-LN(2)/2))/(LN(2)/2)*FM135*FP135*VLOOKUP('Données projet'!$B$16,Paramètres!$A$1:$I$89,3,0)*0.475*44/12</f>
        <v>5.1217028190185429E-10</v>
      </c>
      <c r="FT135" s="22">
        <f t="shared" si="132"/>
        <v>20.743025250950136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150.21793637331223</v>
      </c>
      <c r="T136" s="59">
        <f t="shared" si="142"/>
        <v>364.59164590134486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13.867821631528454</v>
      </c>
      <c r="AA136" s="21">
        <f>EXP(-LN(2)/25)*AA135+(1-EXP(-LN(2)/25))/(LN(2)/25)*Calculateur!V136*Calculateur!X136*VLOOKUP('Données projet'!$B$9,Paramètres!$A$1:$I$89,3,0)*0.475*44/12</f>
        <v>1.2953470125265198</v>
      </c>
      <c r="AB136" s="21">
        <f>EXP(-LN(2)/2)*AB135+(1-EXP(-LN(2)/2))/(LN(2)/2)*V136*Y136*VLOOKUP('Données projet'!$B$9,Paramètres!$A$1:$I$89,3,0)*0.475*44/12</f>
        <v>6.0779476698850816E-15</v>
      </c>
      <c r="AC136" s="22">
        <f t="shared" si="111"/>
        <v>15.163168644054979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-5.6843418860808015E-14</v>
      </c>
      <c r="AJ136" s="13">
        <f>AI136*VLOOKUP('Données projet'!$B$10,Paramètres!$A$1:$I$89,3,0)*VLOOKUP('Données projet'!$B$10,Paramètres!$A$1:$I$89,5,0)</f>
        <v>-6.2073013396002344E-14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223.92539057016376</v>
      </c>
      <c r="AO136" s="59">
        <f t="shared" si="144"/>
        <v>94.125825809616856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85.890138667895428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85.890138667895428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-5.6843418860808015E-14</v>
      </c>
      <c r="BE136" s="13">
        <f>BD136*VLOOKUP('Données projet'!$B$11,Paramètres!$A$1:$I$89,3,0)*VLOOKUP('Données projet'!$B$11,Paramètres!$A$1:$I$89,5,0)</f>
        <v>-6.4733285398688169E-14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236.39682613502913</v>
      </c>
      <c r="BJ136" s="59">
        <f t="shared" si="146"/>
        <v>99.639724892155641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89.571144610805263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89.571144610805263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-5.6843418860808015E-14</v>
      </c>
      <c r="CU136" s="17">
        <f>CT136*VLOOKUP('Données projet'!$B$13,Paramètres!$A$1:$I$89,3,0)*VLOOKUP('Données projet'!$B$13,Paramètres!$A$1:$I$89,5,0)</f>
        <v>-4.7884896048344674E-14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157.20393815370375</v>
      </c>
      <c r="CZ136" s="59">
        <f t="shared" si="150"/>
        <v>64.616965816756363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66.258106972376495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66.258106972376495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-1.1368683772161603E-13</v>
      </c>
      <c r="DP136" s="17">
        <f>DO136*VLOOKUP('Données projet'!$B$14,Paramètres!$A$1:$I$89,3,0)*VLOOKUP('Données projet'!$B$14,Paramètres!$A$1:$I$89,5,0)</f>
        <v>-9.2222762759774927E-14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221.78186926953776</v>
      </c>
      <c r="DU136" s="59">
        <f t="shared" si="152"/>
        <v>276.69392352410654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23.426055135003271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23.426055135003271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-5.6843418860808015E-14</v>
      </c>
      <c r="EK136" s="17">
        <f>EJ136*VLOOKUP('Données projet'!$B$15,Paramètres!$A$1:$I$89,3,0)*VLOOKUP('Données projet'!$B$15,Paramètres!$A$1:$I$89,5,0)</f>
        <v>-6.1186256061773749E-14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219.76574638403434</v>
      </c>
      <c r="EP136" s="59">
        <f t="shared" si="154"/>
        <v>92.286636088269972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84.663136686925512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84.663136686925512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>
        <f>FE136*VLOOKUP('Données projet'!$B$16,Paramètres!$A$1:$I$89,3,0)*VLOOKUP('Données projet'!$B$16,Paramètres!$A$1:$I$89,5,0)</f>
        <v>0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86.164294406232727</v>
      </c>
      <c r="FK136" s="59">
        <f t="shared" si="156"/>
        <v>138.91188401562334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14.819505449985169</v>
      </c>
      <c r="FR136" s="21">
        <f>EXP(-LN(2)/25)*FR135+(1-EXP(-LN(2)/25))/(LN(2)/25)*Calculateur!FM136*Calculateur!FO136*VLOOKUP('Données projet'!$B$16,Paramètres!$A$1:$I$89,3,0)*0.475*44/12</f>
        <v>5.4732323354982837</v>
      </c>
      <c r="FS136" s="21">
        <f>EXP(-LN(2)/2)*FS135+(1-EXP(-LN(2)/2))/(LN(2)/2)*FM136*FP136*VLOOKUP('Données projet'!$B$16,Paramètres!$A$1:$I$89,3,0)*0.475*44/12</f>
        <v>3.6215907945502684E-10</v>
      </c>
      <c r="FT136" s="22">
        <f t="shared" si="132"/>
        <v>20.292737785845613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150.21793637331223</v>
      </c>
      <c r="T137" s="59">
        <f t="shared" si="142"/>
        <v>364.59164590134486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13.595882107870166</v>
      </c>
      <c r="AA137" s="21">
        <f>EXP(-LN(2)/25)*AA136+(1-EXP(-LN(2)/25))/(LN(2)/25)*Calculateur!V137*Calculateur!X137*VLOOKUP('Données projet'!$B$9,Paramètres!$A$1:$I$89,3,0)*0.475*44/12</f>
        <v>1.2599256803496433</v>
      </c>
      <c r="AB137" s="21">
        <f>EXP(-LN(2)/2)*AB136+(1-EXP(-LN(2)/2))/(LN(2)/2)*V137*Y137*VLOOKUP('Données projet'!$B$9,Paramètres!$A$1:$I$89,3,0)*0.475*44/12</f>
        <v>4.2977580130727168E-15</v>
      </c>
      <c r="AC137" s="22">
        <f t="shared" si="111"/>
        <v>14.855807788219813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-5.6843418860808015E-14</v>
      </c>
      <c r="AJ137" s="13">
        <f>AI137*VLOOKUP('Données projet'!$B$10,Paramètres!$A$1:$I$89,3,0)*VLOOKUP('Données projet'!$B$10,Paramètres!$A$1:$I$89,5,0)</f>
        <v>-6.2073013396002344E-14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223.92539057016376</v>
      </c>
      <c r="AO137" s="59">
        <f t="shared" si="144"/>
        <v>94.125825809616856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84.205885436429725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84.205885436429725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-5.6843418860808015E-14</v>
      </c>
      <c r="BE137" s="13">
        <f>BD137*VLOOKUP('Données projet'!$B$11,Paramètres!$A$1:$I$89,3,0)*VLOOKUP('Données projet'!$B$11,Paramètres!$A$1:$I$89,5,0)</f>
        <v>-6.4733285398688169E-14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236.39682613502913</v>
      </c>
      <c r="BJ137" s="59">
        <f t="shared" si="146"/>
        <v>99.639724892155641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87.814709097991027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87.814709097991027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-5.6843418860808015E-14</v>
      </c>
      <c r="CU137" s="17">
        <f>CT137*VLOOKUP('Données projet'!$B$13,Paramètres!$A$1:$I$89,3,0)*VLOOKUP('Données projet'!$B$13,Paramètres!$A$1:$I$89,5,0)</f>
        <v>-4.7884896048344674E-14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157.20393815370375</v>
      </c>
      <c r="CZ137" s="59">
        <f t="shared" si="150"/>
        <v>64.616965816756363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64.958825908102952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64.958825908102952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-1.1368683772161603E-13</v>
      </c>
      <c r="DP137" s="17">
        <f>DO137*VLOOKUP('Données projet'!$B$14,Paramètres!$A$1:$I$89,3,0)*VLOOKUP('Données projet'!$B$14,Paramètres!$A$1:$I$89,5,0)</f>
        <v>-9.2222762759774927E-14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221.78186926953776</v>
      </c>
      <c r="DU137" s="59">
        <f t="shared" si="152"/>
        <v>276.69392352410654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22.966684482288617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22.966684482288617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-5.6843418860808015E-14</v>
      </c>
      <c r="EK137" s="17">
        <f>EJ137*VLOOKUP('Données projet'!$B$15,Paramètres!$A$1:$I$89,3,0)*VLOOKUP('Données projet'!$B$15,Paramètres!$A$1:$I$89,5,0)</f>
        <v>-6.1186256061773749E-14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219.76574638403434</v>
      </c>
      <c r="EP137" s="59">
        <f t="shared" si="154"/>
        <v>92.286636088269972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83.002944215909309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83.002944215909309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>
        <f>FE137*VLOOKUP('Données projet'!$B$16,Paramètres!$A$1:$I$89,3,0)*VLOOKUP('Données projet'!$B$16,Paramètres!$A$1:$I$89,5,0)</f>
        <v>0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86.164294406232727</v>
      </c>
      <c r="FK137" s="59">
        <f t="shared" si="156"/>
        <v>138.91188401562334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14.528903987116756</v>
      </c>
      <c r="FR137" s="21">
        <f>EXP(-LN(2)/25)*FR136+(1-EXP(-LN(2)/25))/(LN(2)/25)*Calculateur!FM137*Calculateur!FO137*VLOOKUP('Données projet'!$B$16,Paramètres!$A$1:$I$89,3,0)*0.475*44/12</f>
        <v>5.3235665094593037</v>
      </c>
      <c r="FS137" s="21">
        <f>EXP(-LN(2)/2)*FS136+(1-EXP(-LN(2)/2))/(LN(2)/2)*FM137*FP137*VLOOKUP('Données projet'!$B$16,Paramètres!$A$1:$I$89,3,0)*0.475*44/12</f>
        <v>2.5608514095092715E-10</v>
      </c>
      <c r="FT137" s="22">
        <f t="shared" si="132"/>
        <v>19.852470496832147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150.21793637331223</v>
      </c>
      <c r="T138" s="59">
        <f t="shared" si="142"/>
        <v>364.59164590134486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13.329275152404085</v>
      </c>
      <c r="AA138" s="21">
        <f>EXP(-LN(2)/25)*AA137+(1-EXP(-LN(2)/25))/(LN(2)/25)*Calculateur!V138*Calculateur!X138*VLOOKUP('Données projet'!$B$9,Paramètres!$A$1:$I$89,3,0)*0.475*44/12</f>
        <v>1.2254729463638703</v>
      </c>
      <c r="AB138" s="21">
        <f>EXP(-LN(2)/2)*AB137+(1-EXP(-LN(2)/2))/(LN(2)/2)*V138*Y138*VLOOKUP('Données projet'!$B$9,Paramètres!$A$1:$I$89,3,0)*0.475*44/12</f>
        <v>3.0389738349425408E-15</v>
      </c>
      <c r="AC138" s="22">
        <f t="shared" si="111"/>
        <v>14.554748098767959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-5.6843418860808015E-14</v>
      </c>
      <c r="AJ138" s="13">
        <f>AI138*VLOOKUP('Données projet'!$B$10,Paramètres!$A$1:$I$89,3,0)*VLOOKUP('Données projet'!$B$10,Paramètres!$A$1:$I$89,5,0)</f>
        <v>-6.2073013396002344E-14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223.92539057016376</v>
      </c>
      <c r="AO138" s="59">
        <f t="shared" si="144"/>
        <v>94.125825809616856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82.554659383540027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82.554659383540027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-5.6843418860808015E-14</v>
      </c>
      <c r="BE138" s="13">
        <f>BD138*VLOOKUP('Données projet'!$B$11,Paramètres!$A$1:$I$89,3,0)*VLOOKUP('Données projet'!$B$11,Paramètres!$A$1:$I$89,5,0)</f>
        <v>-6.4733285398688169E-14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236.39682613502913</v>
      </c>
      <c r="BJ138" s="59">
        <f t="shared" si="146"/>
        <v>99.639724892155641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86.092716214263191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86.092716214263191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-5.6843418860808015E-14</v>
      </c>
      <c r="CU138" s="17">
        <f>CT138*VLOOKUP('Données projet'!$B$13,Paramètres!$A$1:$I$89,3,0)*VLOOKUP('Données projet'!$B$13,Paramètres!$A$1:$I$89,5,0)</f>
        <v>-4.7884896048344674E-14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157.20393815370375</v>
      </c>
      <c r="CZ138" s="59">
        <f t="shared" si="150"/>
        <v>64.616965816756363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63.685022953016613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63.685022953016613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-1.1368683772161603E-13</v>
      </c>
      <c r="DP138" s="17">
        <f>DO138*VLOOKUP('Données projet'!$B$14,Paramètres!$A$1:$I$89,3,0)*VLOOKUP('Données projet'!$B$14,Paramètres!$A$1:$I$89,5,0)</f>
        <v>-9.2222762759774927E-14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221.78186926953776</v>
      </c>
      <c r="DU138" s="59">
        <f t="shared" si="152"/>
        <v>276.69392352410654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22.516321807885266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22.516321807885266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-5.6843418860808015E-14</v>
      </c>
      <c r="EK138" s="17">
        <f>EJ138*VLOOKUP('Données projet'!$B$15,Paramètres!$A$1:$I$89,3,0)*VLOOKUP('Données projet'!$B$15,Paramètres!$A$1:$I$89,5,0)</f>
        <v>-6.1186256061773749E-14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219.76574638403434</v>
      </c>
      <c r="EP138" s="59">
        <f t="shared" si="154"/>
        <v>92.286636088269972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81.37530710663232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81.37530710663232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>
        <f>FE138*VLOOKUP('Données projet'!$B$16,Paramètres!$A$1:$I$89,3,0)*VLOOKUP('Données projet'!$B$16,Paramètres!$A$1:$I$89,5,0)</f>
        <v>0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86.164294406232727</v>
      </c>
      <c r="FK138" s="59">
        <f t="shared" si="156"/>
        <v>138.91188401562334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14.244001041685802</v>
      </c>
      <c r="FR138" s="21">
        <f>EXP(-LN(2)/25)*FR137+(1-EXP(-LN(2)/25))/(LN(2)/25)*Calculateur!FM138*Calculateur!FO138*VLOOKUP('Données projet'!$B$16,Paramètres!$A$1:$I$89,3,0)*0.475*44/12</f>
        <v>5.1779933033039436</v>
      </c>
      <c r="FS138" s="21">
        <f>EXP(-LN(2)/2)*FS137+(1-EXP(-LN(2)/2))/(LN(2)/2)*FM138*FP138*VLOOKUP('Données projet'!$B$16,Paramètres!$A$1:$I$89,3,0)*0.475*44/12</f>
        <v>1.8107953972751342E-10</v>
      </c>
      <c r="FT138" s="22">
        <f t="shared" si="132"/>
        <v>19.421994345170823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150.21793637331223</v>
      </c>
      <c r="T139" s="59">
        <f t="shared" si="142"/>
        <v>364.59164590134486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13.067896196720508</v>
      </c>
      <c r="AA139" s="21">
        <f>EXP(-LN(2)/25)*AA138+(1-EXP(-LN(2)/25))/(LN(2)/25)*Calculateur!V139*Calculateur!X139*VLOOKUP('Données projet'!$B$9,Paramètres!$A$1:$I$89,3,0)*0.475*44/12</f>
        <v>1.1919623242007289</v>
      </c>
      <c r="AB139" s="21">
        <f>EXP(-LN(2)/2)*AB138+(1-EXP(-LN(2)/2))/(LN(2)/2)*V139*Y139*VLOOKUP('Données projet'!$B$9,Paramètres!$A$1:$I$89,3,0)*0.475*44/12</f>
        <v>2.1488790065363584E-15</v>
      </c>
      <c r="AC139" s="22">
        <f t="shared" si="111"/>
        <v>14.259858520921238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-5.6843418860808015E-14</v>
      </c>
      <c r="AJ139" s="13">
        <f>AI139*VLOOKUP('Données projet'!$B$10,Paramètres!$A$1:$I$89,3,0)*VLOOKUP('Données projet'!$B$10,Paramètres!$A$1:$I$89,5,0)</f>
        <v>-6.2073013396002344E-14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223.92539057016376</v>
      </c>
      <c r="AO139" s="59">
        <f t="shared" si="144"/>
        <v>94.125825809616856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80.935812866399047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80.935812866399047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-5.6843418860808015E-14</v>
      </c>
      <c r="BE139" s="13">
        <f>BD139*VLOOKUP('Données projet'!$B$11,Paramètres!$A$1:$I$89,3,0)*VLOOKUP('Données projet'!$B$11,Paramètres!$A$1:$I$89,5,0)</f>
        <v>-6.4733285398688169E-14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236.39682613502913</v>
      </c>
      <c r="BJ139" s="59">
        <f t="shared" si="146"/>
        <v>99.639724892155641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84.40449056067331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84.40449056067331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-5.6843418860808015E-14</v>
      </c>
      <c r="CU139" s="17">
        <f>CT139*VLOOKUP('Données projet'!$B$13,Paramètres!$A$1:$I$89,3,0)*VLOOKUP('Données projet'!$B$13,Paramètres!$A$1:$I$89,5,0)</f>
        <v>-4.7884896048344674E-14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157.20393815370375</v>
      </c>
      <c r="CZ139" s="59">
        <f t="shared" si="150"/>
        <v>64.616965816756363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62.436198496936427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62.436198496936427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-1.1368683772161603E-13</v>
      </c>
      <c r="DP139" s="17">
        <f>DO139*VLOOKUP('Données projet'!$B$14,Paramètres!$A$1:$I$89,3,0)*VLOOKUP('Données projet'!$B$14,Paramètres!$A$1:$I$89,5,0)</f>
        <v>-9.2222762759774927E-14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221.78186926953776</v>
      </c>
      <c r="DU139" s="59">
        <f t="shared" si="152"/>
        <v>276.69392352410654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22.074790470832859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22.074790470832859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-5.6843418860808015E-14</v>
      </c>
      <c r="EK139" s="17">
        <f>EJ139*VLOOKUP('Données projet'!$B$15,Paramètres!$A$1:$I$89,3,0)*VLOOKUP('Données projet'!$B$15,Paramètres!$A$1:$I$89,5,0)</f>
        <v>-6.1186256061773749E-14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219.76574638403434</v>
      </c>
      <c r="EP139" s="59">
        <f t="shared" si="154"/>
        <v>92.286636088269972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79.77958696830764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79.77958696830764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>
        <f>FE139*VLOOKUP('Données projet'!$B$16,Paramètres!$A$1:$I$89,3,0)*VLOOKUP('Données projet'!$B$16,Paramètres!$A$1:$I$89,5,0)</f>
        <v>0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86.164294406232727</v>
      </c>
      <c r="FK139" s="59">
        <f t="shared" si="156"/>
        <v>138.91188401562334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13.964684869241113</v>
      </c>
      <c r="FR139" s="21">
        <f>EXP(-LN(2)/25)*FR138+(1-EXP(-LN(2)/25))/(LN(2)/25)*Calculateur!FM139*Calculateur!FO139*VLOOKUP('Données projet'!$B$16,Paramètres!$A$1:$I$89,3,0)*0.475*44/12</f>
        <v>5.0364008041262638</v>
      </c>
      <c r="FS139" s="21">
        <f>EXP(-LN(2)/2)*FS138+(1-EXP(-LN(2)/2))/(LN(2)/2)*FM139*FP139*VLOOKUP('Données projet'!$B$16,Paramètres!$A$1:$I$89,3,0)*0.475*44/12</f>
        <v>1.2804257047546357E-10</v>
      </c>
      <c r="FT139" s="22">
        <f t="shared" si="132"/>
        <v>19.001085673495421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150.21793637331223</v>
      </c>
      <c r="T140" s="59">
        <f t="shared" si="142"/>
        <v>364.59164590134486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12.811642722932465</v>
      </c>
      <c r="AA140" s="21">
        <f>EXP(-LN(2)/25)*AA139+(1-EXP(-LN(2)/25))/(LN(2)/25)*Calculateur!V140*Calculateur!X140*VLOOKUP('Données projet'!$B$9,Paramètres!$A$1:$I$89,3,0)*0.475*44/12</f>
        <v>1.1593680517628857</v>
      </c>
      <c r="AB140" s="21">
        <f>EXP(-LN(2)/2)*AB139+(1-EXP(-LN(2)/2))/(LN(2)/2)*V140*Y140*VLOOKUP('Données projet'!$B$9,Paramètres!$A$1:$I$89,3,0)*0.475*44/12</f>
        <v>1.5194869174712704E-15</v>
      </c>
      <c r="AC140" s="22">
        <f t="shared" si="111"/>
        <v>13.971010774695353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-5.6843418860808015E-14</v>
      </c>
      <c r="AJ140" s="13">
        <f>AI140*VLOOKUP('Données projet'!$B$10,Paramètres!$A$1:$I$89,3,0)*VLOOKUP('Données projet'!$B$10,Paramètres!$A$1:$I$89,5,0)</f>
        <v>-6.2073013396002344E-14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223.92539057016376</v>
      </c>
      <c r="AO140" s="59">
        <f t="shared" si="144"/>
        <v>94.125825809616856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79.348710942060322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79.348710942060322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-5.6843418860808015E-14</v>
      </c>
      <c r="BE140" s="13">
        <f>BD140*VLOOKUP('Données projet'!$B$11,Paramètres!$A$1:$I$89,3,0)*VLOOKUP('Données projet'!$B$11,Paramètres!$A$1:$I$89,5,0)</f>
        <v>-6.4733285398688169E-14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236.39682613502913</v>
      </c>
      <c r="BJ140" s="59">
        <f t="shared" si="146"/>
        <v>99.639724892155641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82.749369982434359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82.749369982434359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-5.6843418860808015E-14</v>
      </c>
      <c r="CU140" s="17">
        <f>CT140*VLOOKUP('Données projet'!$B$13,Paramètres!$A$1:$I$89,3,0)*VLOOKUP('Données projet'!$B$13,Paramètres!$A$1:$I$89,5,0)</f>
        <v>-4.7884896048344674E-14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157.20393815370375</v>
      </c>
      <c r="CZ140" s="59">
        <f t="shared" si="150"/>
        <v>64.616965816756363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61.211862726732271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61.211862726732271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-1.1368683772161603E-13</v>
      </c>
      <c r="DP140" s="17">
        <f>DO140*VLOOKUP('Données projet'!$B$14,Paramètres!$A$1:$I$89,3,0)*VLOOKUP('Données projet'!$B$14,Paramètres!$A$1:$I$89,5,0)</f>
        <v>-9.2222762759774927E-14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221.78186926953776</v>
      </c>
      <c r="DU140" s="59">
        <f t="shared" si="152"/>
        <v>276.69392352410654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21.641917293992524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21.641917293992524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-5.6843418860808015E-14</v>
      </c>
      <c r="EK140" s="17">
        <f>EJ140*VLOOKUP('Données projet'!$B$15,Paramètres!$A$1:$I$89,3,0)*VLOOKUP('Données projet'!$B$15,Paramètres!$A$1:$I$89,5,0)</f>
        <v>-6.1186256061773749E-14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219.76574638403434</v>
      </c>
      <c r="EP140" s="59">
        <f t="shared" si="154"/>
        <v>92.286636088269972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78.215157928602324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78.215157928602324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>
        <f>FE140*VLOOKUP('Données projet'!$B$16,Paramètres!$A$1:$I$89,3,0)*VLOOKUP('Données projet'!$B$16,Paramètres!$A$1:$I$89,5,0)</f>
        <v>0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86.164294406232727</v>
      </c>
      <c r="FK140" s="59">
        <f t="shared" si="156"/>
        <v>138.91188401562334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13.69084591657202</v>
      </c>
      <c r="FR140" s="21">
        <f>EXP(-LN(2)/25)*FR139+(1-EXP(-LN(2)/25))/(LN(2)/25)*Calculateur!FM140*Calculateur!FO140*VLOOKUP('Données projet'!$B$16,Paramètres!$A$1:$I$89,3,0)*0.475*44/12</f>
        <v>4.8986801592846234</v>
      </c>
      <c r="FS140" s="21">
        <f>EXP(-LN(2)/2)*FS139+(1-EXP(-LN(2)/2))/(LN(2)/2)*FM140*FP140*VLOOKUP('Données projet'!$B$16,Paramètres!$A$1:$I$89,3,0)*0.475*44/12</f>
        <v>9.0539769863756711E-11</v>
      </c>
      <c r="FT140" s="22">
        <f t="shared" si="132"/>
        <v>18.589526075947184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150.21793637331223</v>
      </c>
      <c r="T141" s="59">
        <f t="shared" si="142"/>
        <v>364.59164590134486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12.560414223466219</v>
      </c>
      <c r="AA141" s="21">
        <f>EXP(-LN(2)/25)*AA140+(1-EXP(-LN(2)/25))/(LN(2)/25)*Calculateur!V141*Calculateur!X141*VLOOKUP('Données projet'!$B$9,Paramètres!$A$1:$I$89,3,0)*0.475*44/12</f>
        <v>1.1276650714189136</v>
      </c>
      <c r="AB141" s="21">
        <f>EXP(-LN(2)/2)*AB140+(1-EXP(-LN(2)/2))/(LN(2)/2)*V141*Y141*VLOOKUP('Données projet'!$B$9,Paramètres!$A$1:$I$89,3,0)*0.475*44/12</f>
        <v>1.0744395032681792E-15</v>
      </c>
      <c r="AC141" s="22">
        <f t="shared" si="111"/>
        <v>13.688079294885135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-5.6843418860808015E-14</v>
      </c>
      <c r="AJ141" s="13">
        <f>AI141*VLOOKUP('Données projet'!$B$10,Paramètres!$A$1:$I$89,3,0)*VLOOKUP('Données projet'!$B$10,Paramètres!$A$1:$I$89,5,0)</f>
        <v>-6.2073013396002344E-14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223.92539057016376</v>
      </c>
      <c r="AO141" s="59">
        <f t="shared" si="144"/>
        <v>94.125825809616856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77.792731118421301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77.792731118421301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-5.6843418860808015E-14</v>
      </c>
      <c r="BE141" s="13">
        <f>BD141*VLOOKUP('Données projet'!$B$11,Paramètres!$A$1:$I$89,3,0)*VLOOKUP('Données projet'!$B$11,Paramètres!$A$1:$I$89,5,0)</f>
        <v>-6.4733285398688169E-14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236.39682613502913</v>
      </c>
      <c r="BJ141" s="59">
        <f t="shared" si="146"/>
        <v>99.639724892155641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81.126705309210806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81.126705309210806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-5.6843418860808015E-14</v>
      </c>
      <c r="CU141" s="17">
        <f>CT141*VLOOKUP('Données projet'!$B$13,Paramètres!$A$1:$I$89,3,0)*VLOOKUP('Données projet'!$B$13,Paramètres!$A$1:$I$89,5,0)</f>
        <v>-4.7884896048344674E-14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157.20393815370375</v>
      </c>
      <c r="CZ141" s="59">
        <f t="shared" si="150"/>
        <v>64.616965816756363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60.011535434210735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60.011535434210735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-1.1368683772161603E-13</v>
      </c>
      <c r="DP141" s="17">
        <f>DO141*VLOOKUP('Données projet'!$B$14,Paramètres!$A$1:$I$89,3,0)*VLOOKUP('Données projet'!$B$14,Paramètres!$A$1:$I$89,5,0)</f>
        <v>-9.2222762759774927E-14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221.78186926953776</v>
      </c>
      <c r="DU141" s="59">
        <f t="shared" si="152"/>
        <v>276.69392352410654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21.217532496123461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21.217532496123461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-5.6843418860808015E-14</v>
      </c>
      <c r="EK141" s="17">
        <f>EJ141*VLOOKUP('Données projet'!$B$15,Paramètres!$A$1:$I$89,3,0)*VLOOKUP('Données projet'!$B$15,Paramètres!$A$1:$I$89,5,0)</f>
        <v>-6.1186256061773749E-14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219.76574638403434</v>
      </c>
      <c r="EP141" s="59">
        <f t="shared" si="154"/>
        <v>92.286636088269972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76.681406388158138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76.681406388158138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>
        <f>FE141*VLOOKUP('Données projet'!$B$16,Paramètres!$A$1:$I$89,3,0)*VLOOKUP('Données projet'!$B$16,Paramètres!$A$1:$I$89,5,0)</f>
        <v>0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86.164294406232727</v>
      </c>
      <c r="FK141" s="59">
        <f t="shared" si="156"/>
        <v>138.91188401562334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13.422376778739499</v>
      </c>
      <c r="FR141" s="21">
        <f>EXP(-LN(2)/25)*FR140+(1-EXP(-LN(2)/25))/(LN(2)/25)*Calculateur!FM141*Calculateur!FO141*VLOOKUP('Données projet'!$B$16,Paramètres!$A$1:$I$89,3,0)*0.475*44/12</f>
        <v>4.7647254927185916</v>
      </c>
      <c r="FS141" s="21">
        <f>EXP(-LN(2)/2)*FS140+(1-EXP(-LN(2)/2))/(LN(2)/2)*FM141*FP141*VLOOKUP('Données projet'!$B$16,Paramètres!$A$1:$I$89,3,0)*0.475*44/12</f>
        <v>6.4021285237731786E-11</v>
      </c>
      <c r="FT141" s="22">
        <f t="shared" si="132"/>
        <v>18.187102271522111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150.21793637331223</v>
      </c>
      <c r="T142" s="59">
        <f t="shared" si="142"/>
        <v>364.59164590134486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12.314112161640253</v>
      </c>
      <c r="AA142" s="21">
        <f>EXP(-LN(2)/25)*AA141+(1-EXP(-LN(2)/25))/(LN(2)/25)*Calculateur!V142*Calculateur!X142*VLOOKUP('Données projet'!$B$9,Paramètres!$A$1:$I$89,3,0)*0.475*44/12</f>
        <v>1.0968290107396346</v>
      </c>
      <c r="AB142" s="21">
        <f>EXP(-LN(2)/2)*AB141+(1-EXP(-LN(2)/2))/(LN(2)/2)*V142*Y142*VLOOKUP('Données projet'!$B$9,Paramètres!$A$1:$I$89,3,0)*0.475*44/12</f>
        <v>7.597434587356352E-16</v>
      </c>
      <c r="AC142" s="22">
        <f t="shared" si="111"/>
        <v>13.410941172379887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-5.6843418860808015E-14</v>
      </c>
      <c r="AJ142" s="13">
        <f>AI142*VLOOKUP('Données projet'!$B$10,Paramètres!$A$1:$I$89,3,0)*VLOOKUP('Données projet'!$B$10,Paramètres!$A$1:$I$89,5,0)</f>
        <v>-6.2073013396002344E-14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223.92539057016376</v>
      </c>
      <c r="AO142" s="59">
        <f t="shared" si="144"/>
        <v>94.125825809616856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76.267263110069848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76.267263110069848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-5.6843418860808015E-14</v>
      </c>
      <c r="BE142" s="13">
        <f>BD142*VLOOKUP('Données projet'!$B$11,Paramètres!$A$1:$I$89,3,0)*VLOOKUP('Données projet'!$B$11,Paramètres!$A$1:$I$89,5,0)</f>
        <v>-6.4733285398688169E-14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236.39682613502913</v>
      </c>
      <c r="BJ142" s="59">
        <f t="shared" si="146"/>
        <v>99.639724892155641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79.535860100501438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79.535860100501438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-5.6843418860808015E-14</v>
      </c>
      <c r="CU142" s="17">
        <f>CT142*VLOOKUP('Données projet'!$B$13,Paramètres!$A$1:$I$89,3,0)*VLOOKUP('Données projet'!$B$13,Paramètres!$A$1:$I$89,5,0)</f>
        <v>-4.7884896048344674E-14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157.20393815370375</v>
      </c>
      <c r="CZ142" s="59">
        <f t="shared" si="150"/>
        <v>64.616965816756363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58.834745827768188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58.834745827768188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-1.1368683772161603E-13</v>
      </c>
      <c r="DP142" s="17">
        <f>DO142*VLOOKUP('Données projet'!$B$14,Paramètres!$A$1:$I$89,3,0)*VLOOKUP('Données projet'!$B$14,Paramètres!$A$1:$I$89,5,0)</f>
        <v>-9.2222762759774927E-14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221.78186926953776</v>
      </c>
      <c r="DU142" s="59">
        <f t="shared" si="152"/>
        <v>276.69392352410654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20.801469625291443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20.801469625291443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-5.6843418860808015E-14</v>
      </c>
      <c r="EK142" s="17">
        <f>EJ142*VLOOKUP('Données projet'!$B$15,Paramètres!$A$1:$I$89,3,0)*VLOOKUP('Données projet'!$B$15,Paramètres!$A$1:$I$89,5,0)</f>
        <v>-6.1186256061773749E-14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219.76574638403434</v>
      </c>
      <c r="EP142" s="59">
        <f t="shared" si="154"/>
        <v>92.286636088269972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75.177730779925994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75.177730779925994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>
        <f>FE142*VLOOKUP('Données projet'!$B$16,Paramètres!$A$1:$I$89,3,0)*VLOOKUP('Données projet'!$B$16,Paramètres!$A$1:$I$89,5,0)</f>
        <v>0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86.164294406232727</v>
      </c>
      <c r="FK142" s="59">
        <f t="shared" si="156"/>
        <v>138.91188401562334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13.15917215694987</v>
      </c>
      <c r="FR142" s="21">
        <f>EXP(-LN(2)/25)*FR141+(1-EXP(-LN(2)/25))/(LN(2)/25)*Calculateur!FM142*Calculateur!FO142*VLOOKUP('Données projet'!$B$16,Paramètres!$A$1:$I$89,3,0)*0.475*44/12</f>
        <v>4.6344338235541782</v>
      </c>
      <c r="FS142" s="21">
        <f>EXP(-LN(2)/2)*FS141+(1-EXP(-LN(2)/2))/(LN(2)/2)*FM142*FP142*VLOOKUP('Données projet'!$B$16,Paramètres!$A$1:$I$89,3,0)*0.475*44/12</f>
        <v>4.5269884931878356E-11</v>
      </c>
      <c r="FT142" s="22">
        <f t="shared" si="132"/>
        <v>17.793605980549316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150.21793637331223</v>
      </c>
      <c r="T143" s="59">
        <f t="shared" si="142"/>
        <v>364.59164590134486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12.072639933017269</v>
      </c>
      <c r="AA143" s="21">
        <f>EXP(-LN(2)/25)*AA142+(1-EXP(-LN(2)/25))/(LN(2)/25)*Calculateur!V143*Calculateur!X143*VLOOKUP('Données projet'!$B$9,Paramètres!$A$1:$I$89,3,0)*0.475*44/12</f>
        <v>1.0668361637612285</v>
      </c>
      <c r="AB143" s="21">
        <f>EXP(-LN(2)/2)*AB142+(1-EXP(-LN(2)/2))/(LN(2)/2)*V143*Y143*VLOOKUP('Données projet'!$B$9,Paramètres!$A$1:$I$89,3,0)*0.475*44/12</f>
        <v>5.372197516340896E-16</v>
      </c>
      <c r="AC143" s="22">
        <f t="shared" si="111"/>
        <v>13.139476096778498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-5.6843418860808015E-14</v>
      </c>
      <c r="AJ143" s="13">
        <f>AI143*VLOOKUP('Données projet'!$B$10,Paramètres!$A$1:$I$89,3,0)*VLOOKUP('Données projet'!$B$10,Paramètres!$A$1:$I$89,5,0)</f>
        <v>-6.2073013396002344E-14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223.92539057016376</v>
      </c>
      <c r="AO143" s="59">
        <f t="shared" si="144"/>
        <v>94.125825809616856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74.771708598918565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74.771708598918565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-5.6843418860808015E-14</v>
      </c>
      <c r="BE143" s="13">
        <f>BD143*VLOOKUP('Données projet'!$B$11,Paramètres!$A$1:$I$89,3,0)*VLOOKUP('Données projet'!$B$11,Paramètres!$A$1:$I$89,5,0)</f>
        <v>-6.4733285398688169E-14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236.39682613502913</v>
      </c>
      <c r="BJ143" s="59">
        <f t="shared" si="146"/>
        <v>99.639724892155641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77.976210396015091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77.976210396015091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-5.6843418860808015E-14</v>
      </c>
      <c r="CU143" s="17">
        <f>CT143*VLOOKUP('Données projet'!$B$13,Paramètres!$A$1:$I$89,3,0)*VLOOKUP('Données projet'!$B$13,Paramètres!$A$1:$I$89,5,0)</f>
        <v>-4.7884896048344674E-14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157.20393815370375</v>
      </c>
      <c r="CZ143" s="59">
        <f t="shared" si="150"/>
        <v>64.616965816756363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57.681032347737194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57.681032347737194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-1.1368683772161603E-13</v>
      </c>
      <c r="DP143" s="17">
        <f>DO143*VLOOKUP('Données projet'!$B$14,Paramètres!$A$1:$I$89,3,0)*VLOOKUP('Données projet'!$B$14,Paramètres!$A$1:$I$89,5,0)</f>
        <v>-9.2222762759774927E-14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221.78186926953776</v>
      </c>
      <c r="DU143" s="59">
        <f t="shared" si="152"/>
        <v>276.69392352410654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20.393565493583147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20.393565493583147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-5.6843418860808015E-14</v>
      </c>
      <c r="EK143" s="17">
        <f>EJ143*VLOOKUP('Données projet'!$B$15,Paramètres!$A$1:$I$89,3,0)*VLOOKUP('Données projet'!$B$15,Paramètres!$A$1:$I$89,5,0)</f>
        <v>-6.1186256061773749E-14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219.76574638403434</v>
      </c>
      <c r="EP143" s="59">
        <f t="shared" si="154"/>
        <v>92.286636088269972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73.703541333219732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73.703541333219732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>
        <f>FE143*VLOOKUP('Données projet'!$B$16,Paramètres!$A$1:$I$89,3,0)*VLOOKUP('Données projet'!$B$16,Paramètres!$A$1:$I$89,5,0)</f>
        <v>0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86.164294406232727</v>
      </c>
      <c r="FK143" s="59">
        <f t="shared" si="156"/>
        <v>138.91188401562334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12.901128817254568</v>
      </c>
      <c r="FR143" s="21">
        <f>EXP(-LN(2)/25)*FR142+(1-EXP(-LN(2)/25))/(LN(2)/25)*Calculateur!FM143*Calculateur!FO143*VLOOKUP('Données projet'!$B$16,Paramètres!$A$1:$I$89,3,0)*0.475*44/12</f>
        <v>4.5077049869348063</v>
      </c>
      <c r="FS143" s="21">
        <f>EXP(-LN(2)/2)*FS142+(1-EXP(-LN(2)/2))/(LN(2)/2)*FM143*FP143*VLOOKUP('Données projet'!$B$16,Paramètres!$A$1:$I$89,3,0)*0.475*44/12</f>
        <v>3.2010642618865893E-11</v>
      </c>
      <c r="FT143" s="22">
        <f t="shared" si="132"/>
        <v>17.408833804221384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150.21793637331223</v>
      </c>
      <c r="T144" s="59">
        <f t="shared" si="142"/>
        <v>364.59164590134486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11.835902827514067</v>
      </c>
      <c r="AA144" s="21">
        <f>EXP(-LN(2)/25)*AA143+(1-EXP(-LN(2)/25))/(LN(2)/25)*Calculateur!V144*Calculateur!X144*VLOOKUP('Données projet'!$B$9,Paramètres!$A$1:$I$89,3,0)*0.475*44/12</f>
        <v>1.0376634727607021</v>
      </c>
      <c r="AB144" s="21">
        <f>EXP(-LN(2)/2)*AB143+(1-EXP(-LN(2)/2))/(LN(2)/2)*V144*Y144*VLOOKUP('Données projet'!$B$9,Paramètres!$A$1:$I$89,3,0)*0.475*44/12</f>
        <v>3.798717293678176E-16</v>
      </c>
      <c r="AC144" s="22">
        <f t="shared" si="111"/>
        <v>12.873566300274769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-5.6843418860808015E-14</v>
      </c>
      <c r="AJ144" s="13">
        <f>AI144*VLOOKUP('Données projet'!$B$10,Paramètres!$A$1:$I$89,3,0)*VLOOKUP('Données projet'!$B$10,Paramètres!$A$1:$I$89,5,0)</f>
        <v>-6.2073013396002344E-14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223.92539057016376</v>
      </c>
      <c r="AO144" s="59">
        <f t="shared" si="144"/>
        <v>94.125825809616856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73.305480999532776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73.305480999532776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-5.6843418860808015E-14</v>
      </c>
      <c r="BE144" s="13">
        <f>BD144*VLOOKUP('Données projet'!$B$11,Paramètres!$A$1:$I$89,3,0)*VLOOKUP('Données projet'!$B$11,Paramètres!$A$1:$I$89,5,0)</f>
        <v>-6.4733285398688169E-14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236.39682613502913</v>
      </c>
      <c r="BJ144" s="59">
        <f t="shared" si="146"/>
        <v>99.639724892155641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76.447144470941339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76.447144470941339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-5.6843418860808015E-14</v>
      </c>
      <c r="CU144" s="17">
        <f>CT144*VLOOKUP('Données projet'!$B$13,Paramètres!$A$1:$I$89,3,0)*VLOOKUP('Données projet'!$B$13,Paramètres!$A$1:$I$89,5,0)</f>
        <v>-4.7884896048344674E-14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157.20393815370375</v>
      </c>
      <c r="CZ144" s="59">
        <f t="shared" si="150"/>
        <v>64.616965816756363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56.549942485353867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56.549942485353867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-1.1368683772161603E-13</v>
      </c>
      <c r="DP144" s="17">
        <f>DO144*VLOOKUP('Données projet'!$B$14,Paramètres!$A$1:$I$89,3,0)*VLOOKUP('Données projet'!$B$14,Paramètres!$A$1:$I$89,5,0)</f>
        <v>-9.2222762759774927E-14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221.78186926953776</v>
      </c>
      <c r="DU144" s="59">
        <f t="shared" si="152"/>
        <v>276.69392352410654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19.993660113100699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19.993660113100699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-5.6843418860808015E-14</v>
      </c>
      <c r="EK144" s="17">
        <f>EJ144*VLOOKUP('Données projet'!$B$15,Paramètres!$A$1:$I$89,3,0)*VLOOKUP('Données projet'!$B$15,Paramètres!$A$1:$I$89,5,0)</f>
        <v>-6.1186256061773749E-14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219.76574638403434</v>
      </c>
      <c r="EP144" s="59">
        <f t="shared" si="154"/>
        <v>92.286636088269972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72.258259842396598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72.258259842396598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>
        <f>FE144*VLOOKUP('Données projet'!$B$16,Paramètres!$A$1:$I$89,3,0)*VLOOKUP('Données projet'!$B$16,Paramètres!$A$1:$I$89,5,0)</f>
        <v>0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86.164294406232727</v>
      </c>
      <c r="FK144" s="59">
        <f t="shared" si="156"/>
        <v>138.91188401562334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12.648145550059795</v>
      </c>
      <c r="FR144" s="21">
        <f>EXP(-LN(2)/25)*FR143+(1-EXP(-LN(2)/25))/(LN(2)/25)*Calculateur!FM144*Calculateur!FO144*VLOOKUP('Données projet'!$B$16,Paramètres!$A$1:$I$89,3,0)*0.475*44/12</f>
        <v>4.3844415570171709</v>
      </c>
      <c r="FS144" s="21">
        <f>EXP(-LN(2)/2)*FS143+(1-EXP(-LN(2)/2))/(LN(2)/2)*FM144*FP144*VLOOKUP('Données projet'!$B$16,Paramètres!$A$1:$I$89,3,0)*0.475*44/12</f>
        <v>2.2634942465939178E-11</v>
      </c>
      <c r="FT144" s="22">
        <f t="shared" si="132"/>
        <v>17.032587107099598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150.21793637331223</v>
      </c>
      <c r="T145" s="59">
        <f t="shared" si="142"/>
        <v>364.59164590134486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11.603807992254405</v>
      </c>
      <c r="AA145" s="21">
        <f>EXP(-LN(2)/25)*AA144+(1-EXP(-LN(2)/25))/(LN(2)/25)*Calculateur!V145*Calculateur!X145*VLOOKUP('Données projet'!$B$9,Paramètres!$A$1:$I$89,3,0)*0.475*44/12</f>
        <v>1.0092885105297102</v>
      </c>
      <c r="AB145" s="21">
        <f>EXP(-LN(2)/2)*AB144+(1-EXP(-LN(2)/2))/(LN(2)/2)*V145*Y145*VLOOKUP('Données projet'!$B$9,Paramètres!$A$1:$I$89,3,0)*0.475*44/12</f>
        <v>2.686098758170448E-16</v>
      </c>
      <c r="AC145" s="22">
        <f t="shared" si="111"/>
        <v>12.613096502784115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-5.6843418860808015E-14</v>
      </c>
      <c r="AJ145" s="13">
        <f>AI145*VLOOKUP('Données projet'!$B$10,Paramètres!$A$1:$I$89,3,0)*VLOOKUP('Données projet'!$B$10,Paramètres!$A$1:$I$89,5,0)</f>
        <v>-6.2073013396002344E-14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223.92539057016376</v>
      </c>
      <c r="AO145" s="59">
        <f t="shared" si="144"/>
        <v>94.125825809616856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71.868005229060415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71.868005229060415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-5.6843418860808015E-14</v>
      </c>
      <c r="BE145" s="13">
        <f>BD145*VLOOKUP('Données projet'!$B$11,Paramètres!$A$1:$I$89,3,0)*VLOOKUP('Données projet'!$B$11,Paramètres!$A$1:$I$89,5,0)</f>
        <v>-6.4733285398688169E-14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236.39682613502913</v>
      </c>
      <c r="BJ145" s="59">
        <f t="shared" si="146"/>
        <v>99.639724892155641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74.948062596020165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74.948062596020165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-5.6843418860808015E-14</v>
      </c>
      <c r="CU145" s="17">
        <f>CT145*VLOOKUP('Données projet'!$B$13,Paramètres!$A$1:$I$89,3,0)*VLOOKUP('Données projet'!$B$13,Paramètres!$A$1:$I$89,5,0)</f>
        <v>-4.7884896048344674E-14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157.20393815370375</v>
      </c>
      <c r="CZ145" s="59">
        <f t="shared" si="150"/>
        <v>64.616965816756363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55.441032605275183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55.441032605275183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-1.1368683772161603E-13</v>
      </c>
      <c r="DP145" s="17">
        <f>DO145*VLOOKUP('Données projet'!$B$14,Paramètres!$A$1:$I$89,3,0)*VLOOKUP('Données projet'!$B$14,Paramètres!$A$1:$I$89,5,0)</f>
        <v>-9.2222762759774927E-14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221.78186926953776</v>
      </c>
      <c r="DU145" s="59">
        <f t="shared" si="152"/>
        <v>276.69392352410654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19.601596633211315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19.601596633211315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-5.6843418860808015E-14</v>
      </c>
      <c r="EK145" s="17">
        <f>EJ145*VLOOKUP('Données projet'!$B$15,Paramètres!$A$1:$I$89,3,0)*VLOOKUP('Données projet'!$B$15,Paramètres!$A$1:$I$89,5,0)</f>
        <v>-6.1186256061773749E-14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219.76574638403434</v>
      </c>
      <c r="EP145" s="59">
        <f t="shared" si="154"/>
        <v>92.286636088269972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70.841319440073832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70.841319440073832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>
        <f>FE145*VLOOKUP('Données projet'!$B$16,Paramètres!$A$1:$I$89,3,0)*VLOOKUP('Données projet'!$B$16,Paramètres!$A$1:$I$89,5,0)</f>
        <v>0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86.164294406232727</v>
      </c>
      <c r="FK145" s="59">
        <f t="shared" si="156"/>
        <v>138.91188401562334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12.400123130430153</v>
      </c>
      <c r="FR145" s="21">
        <f>EXP(-LN(2)/25)*FR144+(1-EXP(-LN(2)/25))/(LN(2)/25)*Calculateur!FM145*Calculateur!FO145*VLOOKUP('Données projet'!$B$16,Paramètres!$A$1:$I$89,3,0)*0.475*44/12</f>
        <v>4.2645487720727759</v>
      </c>
      <c r="FS145" s="21">
        <f>EXP(-LN(2)/2)*FS144+(1-EXP(-LN(2)/2))/(LN(2)/2)*FM145*FP145*VLOOKUP('Données projet'!$B$16,Paramètres!$A$1:$I$89,3,0)*0.475*44/12</f>
        <v>1.6005321309432947E-11</v>
      </c>
      <c r="FT145" s="22">
        <f t="shared" si="132"/>
        <v>16.664671902518933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150.21793637331223</v>
      </c>
      <c r="T146" s="59">
        <f t="shared" si="142"/>
        <v>364.59164590134486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11.376264395150313</v>
      </c>
      <c r="AA146" s="21">
        <f>EXP(-LN(2)/25)*AA145+(1-EXP(-LN(2)/25))/(LN(2)/25)*Calculateur!V146*Calculateur!X146*VLOOKUP('Données projet'!$B$9,Paramètres!$A$1:$I$89,3,0)*0.475*44/12</f>
        <v>0.98168946313309935</v>
      </c>
      <c r="AB146" s="21">
        <f>EXP(-LN(2)/2)*AB145+(1-EXP(-LN(2)/2))/(LN(2)/2)*V146*Y146*VLOOKUP('Données projet'!$B$9,Paramètres!$A$1:$I$89,3,0)*0.475*44/12</f>
        <v>1.899358646839088E-16</v>
      </c>
      <c r="AC146" s="22">
        <f t="shared" si="111"/>
        <v>12.357953858283413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-5.6843418860808015E-14</v>
      </c>
      <c r="AJ146" s="13">
        <f>AI146*VLOOKUP('Données projet'!$B$10,Paramètres!$A$1:$I$89,3,0)*VLOOKUP('Données projet'!$B$10,Paramètres!$A$1:$I$89,5,0)</f>
        <v>-6.2073013396002344E-14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223.92539057016376</v>
      </c>
      <c r="AO146" s="59">
        <f t="shared" si="144"/>
        <v>94.125825809616856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70.458717481673375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70.458717481673375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-5.6843418860808015E-14</v>
      </c>
      <c r="BE146" s="13">
        <f>BD146*VLOOKUP('Données projet'!$B$11,Paramètres!$A$1:$I$89,3,0)*VLOOKUP('Données projet'!$B$11,Paramètres!$A$1:$I$89,5,0)</f>
        <v>-6.4733285398688169E-14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236.39682613502913</v>
      </c>
      <c r="BJ146" s="59">
        <f t="shared" si="146"/>
        <v>99.639724892155641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73.478376802316532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73.478376802316532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-5.6843418860808015E-14</v>
      </c>
      <c r="CU146" s="17">
        <f>CT146*VLOOKUP('Données projet'!$B$13,Paramètres!$A$1:$I$89,3,0)*VLOOKUP('Données projet'!$B$13,Paramètres!$A$1:$I$89,5,0)</f>
        <v>-4.7884896048344674E-14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157.20393815370375</v>
      </c>
      <c r="CZ146" s="59">
        <f t="shared" si="150"/>
        <v>64.616965816756363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54.353867771576603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54.353867771576603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-1.1368683772161603E-13</v>
      </c>
      <c r="DP146" s="17">
        <f>DO146*VLOOKUP('Données projet'!$B$14,Paramètres!$A$1:$I$89,3,0)*VLOOKUP('Données projet'!$B$14,Paramètres!$A$1:$I$89,5,0)</f>
        <v>-9.2222762759774927E-14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221.78186926953776</v>
      </c>
      <c r="DU146" s="59">
        <f t="shared" si="152"/>
        <v>276.69392352410654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19.217221279027452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19.217221279027452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-5.6843418860808015E-14</v>
      </c>
      <c r="EK146" s="17">
        <f>EJ146*VLOOKUP('Données projet'!$B$15,Paramètres!$A$1:$I$89,3,0)*VLOOKUP('Données projet'!$B$15,Paramètres!$A$1:$I$89,5,0)</f>
        <v>-6.1186256061773749E-14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219.76574638403434</v>
      </c>
      <c r="EP146" s="59">
        <f t="shared" si="154"/>
        <v>92.286636088269972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69.452164374792318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69.452164374792318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>
        <f>FE146*VLOOKUP('Données projet'!$B$16,Paramètres!$A$1:$I$89,3,0)*VLOOKUP('Données projet'!$B$16,Paramètres!$A$1:$I$89,5,0)</f>
        <v>0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86.164294406232727</v>
      </c>
      <c r="FK146" s="59">
        <f t="shared" si="156"/>
        <v>138.91188401562334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12.15696427917071</v>
      </c>
      <c r="FR146" s="21">
        <f>EXP(-LN(2)/25)*FR145+(1-EXP(-LN(2)/25))/(LN(2)/25)*Calculateur!FM146*Calculateur!FO146*VLOOKUP('Données projet'!$B$16,Paramètres!$A$1:$I$89,3,0)*0.475*44/12</f>
        <v>4.1479344616375728</v>
      </c>
      <c r="FS146" s="21">
        <f>EXP(-LN(2)/2)*FS145+(1-EXP(-LN(2)/2))/(LN(2)/2)*FM146*FP146*VLOOKUP('Données projet'!$B$16,Paramètres!$A$1:$I$89,3,0)*0.475*44/12</f>
        <v>1.1317471232969589E-11</v>
      </c>
      <c r="FT146" s="22">
        <f t="shared" si="132"/>
        <v>16.304898740819603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150.21793637331223</v>
      </c>
      <c r="T147" s="59">
        <f t="shared" si="142"/>
        <v>364.59164590134486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11.153182789197544</v>
      </c>
      <c r="AA147" s="21">
        <f>EXP(-LN(2)/25)*AA146+(1-EXP(-LN(2)/25))/(LN(2)/25)*Calculateur!V147*Calculateur!X147*VLOOKUP('Données projet'!$B$9,Paramètres!$A$1:$I$89,3,0)*0.475*44/12</f>
        <v>0.95484511313891951</v>
      </c>
      <c r="AB147" s="21">
        <f>EXP(-LN(2)/2)*AB146+(1-EXP(-LN(2)/2))/(LN(2)/2)*V147*Y147*VLOOKUP('Données projet'!$B$9,Paramètres!$A$1:$I$89,3,0)*0.475*44/12</f>
        <v>1.343049379085224E-16</v>
      </c>
      <c r="AC147" s="22">
        <f t="shared" si="111"/>
        <v>12.108027902336463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-5.6843418860808015E-14</v>
      </c>
      <c r="AJ147" s="13">
        <f>AI147*VLOOKUP('Données projet'!$B$10,Paramètres!$A$1:$I$89,3,0)*VLOOKUP('Données projet'!$B$10,Paramètres!$A$1:$I$89,5,0)</f>
        <v>-6.2073013396002344E-14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223.92539057016376</v>
      </c>
      <c r="AO147" s="59">
        <f t="shared" si="144"/>
        <v>94.125825809616856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69.077065007431941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69.077065007431941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-5.6843418860808015E-14</v>
      </c>
      <c r="BE147" s="13">
        <f>BD147*VLOOKUP('Données projet'!$B$11,Paramètres!$A$1:$I$89,3,0)*VLOOKUP('Données projet'!$B$11,Paramètres!$A$1:$I$89,5,0)</f>
        <v>-6.4733285398688169E-14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236.39682613502913</v>
      </c>
      <c r="BJ147" s="59">
        <f t="shared" si="146"/>
        <v>99.639724892155641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72.037510650607601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72.037510650607601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-5.6843418860808015E-14</v>
      </c>
      <c r="CU147" s="17">
        <f>CT147*VLOOKUP('Données projet'!$B$13,Paramètres!$A$1:$I$89,3,0)*VLOOKUP('Données projet'!$B$13,Paramètres!$A$1:$I$89,5,0)</f>
        <v>-4.7884896048344674E-14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157.20393815370375</v>
      </c>
      <c r="CZ147" s="59">
        <f t="shared" si="150"/>
        <v>64.616965816756363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53.288021577161778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53.288021577161778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-1.1368683772161603E-13</v>
      </c>
      <c r="DP147" s="17">
        <f>DO147*VLOOKUP('Données projet'!$B$14,Paramètres!$A$1:$I$89,3,0)*VLOOKUP('Données projet'!$B$14,Paramètres!$A$1:$I$89,5,0)</f>
        <v>-9.2222762759774927E-14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221.78186926953776</v>
      </c>
      <c r="DU147" s="59">
        <f t="shared" si="152"/>
        <v>276.69392352410654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18.840383291093318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18.840383291093318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-5.6843418860808015E-14</v>
      </c>
      <c r="EK147" s="17">
        <f>EJ147*VLOOKUP('Données projet'!$B$15,Paramètres!$A$1:$I$89,3,0)*VLOOKUP('Données projet'!$B$15,Paramètres!$A$1:$I$89,5,0)</f>
        <v>-6.1186256061773749E-14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219.76574638403434</v>
      </c>
      <c r="EP147" s="59">
        <f t="shared" si="154"/>
        <v>92.286636088269972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68.090249793040044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68.090249793040044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>
        <f>FE147*VLOOKUP('Données projet'!$B$16,Paramètres!$A$1:$I$89,3,0)*VLOOKUP('Données projet'!$B$16,Paramètres!$A$1:$I$89,5,0)</f>
        <v>0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86.164294406232727</v>
      </c>
      <c r="FK147" s="59">
        <f t="shared" si="156"/>
        <v>138.91188401562334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11.918573624672211</v>
      </c>
      <c r="FR147" s="21">
        <f>EXP(-LN(2)/25)*FR146+(1-EXP(-LN(2)/25))/(LN(2)/25)*Calculateur!FM147*Calculateur!FO147*VLOOKUP('Données projet'!$B$16,Paramètres!$A$1:$I$89,3,0)*0.475*44/12</f>
        <v>4.0345089756537007</v>
      </c>
      <c r="FS147" s="21">
        <f>EXP(-LN(2)/2)*FS146+(1-EXP(-LN(2)/2))/(LN(2)/2)*FM147*FP147*VLOOKUP('Données projet'!$B$16,Paramètres!$A$1:$I$89,3,0)*0.475*44/12</f>
        <v>8.0026606547164733E-12</v>
      </c>
      <c r="FT147" s="22">
        <f t="shared" si="132"/>
        <v>15.953082600333914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150.21793637331223</v>
      </c>
      <c r="T148" s="59">
        <f t="shared" si="142"/>
        <v>364.59164590134486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10.934475677471164</v>
      </c>
      <c r="AA148" s="21">
        <f>EXP(-LN(2)/25)*AA147+(1-EXP(-LN(2)/25))/(LN(2)/25)*Calculateur!V148*Calculateur!X148*VLOOKUP('Données projet'!$B$9,Paramètres!$A$1:$I$89,3,0)*0.475*44/12</f>
        <v>0.92873482330701362</v>
      </c>
      <c r="AB148" s="21">
        <f>EXP(-LN(2)/2)*AB147+(1-EXP(-LN(2)/2))/(LN(2)/2)*V148*Y148*VLOOKUP('Données projet'!$B$9,Paramètres!$A$1:$I$89,3,0)*0.475*44/12</f>
        <v>9.49679323419544E-17</v>
      </c>
      <c r="AC148" s="22">
        <f t="shared" si="111"/>
        <v>11.863210500778179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-5.6843418860808015E-14</v>
      </c>
      <c r="AJ148" s="13">
        <f>AI148*VLOOKUP('Données projet'!$B$10,Paramètres!$A$1:$I$89,3,0)*VLOOKUP('Données projet'!$B$10,Paramètres!$A$1:$I$89,5,0)</f>
        <v>-6.2073013396002344E-14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223.92539057016376</v>
      </c>
      <c r="AO148" s="59">
        <f t="shared" si="144"/>
        <v>94.125825809616856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67.722505895485583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67.722505895485583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-5.6843418860808015E-14</v>
      </c>
      <c r="BE148" s="13">
        <f>BD148*VLOOKUP('Données projet'!$B$11,Paramètres!$A$1:$I$89,3,0)*VLOOKUP('Données projet'!$B$11,Paramètres!$A$1:$I$89,5,0)</f>
        <v>-6.4733285398688169E-14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236.39682613502913</v>
      </c>
      <c r="BJ148" s="59">
        <f t="shared" si="146"/>
        <v>99.639724892155641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70.624899005292107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70.624899005292107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-5.6843418860808015E-14</v>
      </c>
      <c r="CU148" s="17">
        <f>CT148*VLOOKUP('Données projet'!$B$13,Paramètres!$A$1:$I$89,3,0)*VLOOKUP('Données projet'!$B$13,Paramètres!$A$1:$I$89,5,0)</f>
        <v>-4.7884896048344674E-14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157.20393815370375</v>
      </c>
      <c r="CZ148" s="59">
        <f t="shared" si="150"/>
        <v>64.616965816756363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52.243075976517446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52.243075976517446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-1.1368683772161603E-13</v>
      </c>
      <c r="DP148" s="17">
        <f>DO148*VLOOKUP('Données projet'!$B$14,Paramètres!$A$1:$I$89,3,0)*VLOOKUP('Données projet'!$B$14,Paramètres!$A$1:$I$89,5,0)</f>
        <v>-9.2222762759774927E-14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221.78186926953776</v>
      </c>
      <c r="DU148" s="59">
        <f t="shared" si="152"/>
        <v>276.69392352410654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18.470934866254094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18.470934866254094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-5.6843418860808015E-14</v>
      </c>
      <c r="EK148" s="17">
        <f>EJ148*VLOOKUP('Données projet'!$B$15,Paramètres!$A$1:$I$89,3,0)*VLOOKUP('Données projet'!$B$15,Paramètres!$A$1:$I$89,5,0)</f>
        <v>-6.1186256061773749E-14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219.76574638403434</v>
      </c>
      <c r="EP148" s="59">
        <f t="shared" si="154"/>
        <v>92.286636088269972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66.755041525550055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66.755041525550055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>
        <f>FE148*VLOOKUP('Données projet'!$B$16,Paramètres!$A$1:$I$89,3,0)*VLOOKUP('Données projet'!$B$16,Paramètres!$A$1:$I$89,5,0)</f>
        <v>0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86.164294406232727</v>
      </c>
      <c r="FK148" s="59">
        <f t="shared" si="156"/>
        <v>138.91188401562334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11.684857665504486</v>
      </c>
      <c r="FR148" s="21">
        <f>EXP(-LN(2)/25)*FR147+(1-EXP(-LN(2)/25))/(LN(2)/25)*Calculateur!FM148*Calculateur!FO148*VLOOKUP('Données projet'!$B$16,Paramètres!$A$1:$I$89,3,0)*0.475*44/12</f>
        <v>3.9241851155488443</v>
      </c>
      <c r="FS148" s="21">
        <f>EXP(-LN(2)/2)*FS147+(1-EXP(-LN(2)/2))/(LN(2)/2)*FM148*FP148*VLOOKUP('Données projet'!$B$16,Paramètres!$A$1:$I$89,3,0)*0.475*44/12</f>
        <v>5.6587356164847944E-12</v>
      </c>
      <c r="FT148" s="22">
        <f t="shared" si="132"/>
        <v>15.60904278105899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150.21793637331223</v>
      </c>
      <c r="T149" s="59">
        <f t="shared" si="142"/>
        <v>364.59164590134486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10.720057278807573</v>
      </c>
      <c r="AA149" s="21">
        <f>EXP(-LN(2)/25)*AA148+(1-EXP(-LN(2)/25))/(LN(2)/25)*Calculateur!V149*Calculateur!X149*VLOOKUP('Données projet'!$B$9,Paramètres!$A$1:$I$89,3,0)*0.475*44/12</f>
        <v>0.90333852072364162</v>
      </c>
      <c r="AB149" s="21">
        <f>EXP(-LN(2)/2)*AB148+(1-EXP(-LN(2)/2))/(LN(2)/2)*V149*Y149*VLOOKUP('Données projet'!$B$9,Paramètres!$A$1:$I$89,3,0)*0.475*44/12</f>
        <v>6.71524689542612E-17</v>
      </c>
      <c r="AC149" s="22">
        <f t="shared" si="111"/>
        <v>11.623395799531215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-5.6843418860808015E-14</v>
      </c>
      <c r="AJ149" s="13">
        <f>AI149*VLOOKUP('Données projet'!$B$10,Paramètres!$A$1:$I$89,3,0)*VLOOKUP('Données projet'!$B$10,Paramètres!$A$1:$I$89,5,0)</f>
        <v>-6.2073013396002344E-14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223.92539057016376</v>
      </c>
      <c r="AO149" s="59">
        <f t="shared" si="144"/>
        <v>94.125825809616856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66.394508861525011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66.394508861525011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-5.6843418860808015E-14</v>
      </c>
      <c r="BE149" s="13">
        <f>BD149*VLOOKUP('Données projet'!$B$11,Paramètres!$A$1:$I$89,3,0)*VLOOKUP('Données projet'!$B$11,Paramètres!$A$1:$I$89,5,0)</f>
        <v>-6.4733285398688169E-14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236.39682613502913</v>
      </c>
      <c r="BJ149" s="59">
        <f t="shared" si="146"/>
        <v>99.639724892155641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69.239987812733233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69.239987812733233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-5.6843418860808015E-14</v>
      </c>
      <c r="CU149" s="17">
        <f>CT149*VLOOKUP('Données projet'!$B$13,Paramètres!$A$1:$I$89,3,0)*VLOOKUP('Données projet'!$B$13,Paramètres!$A$1:$I$89,5,0)</f>
        <v>-4.7884896048344674E-14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157.20393815370375</v>
      </c>
      <c r="CZ149" s="59">
        <f t="shared" si="150"/>
        <v>64.616965816756363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51.218621121747866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51.218621121747866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-1.1368683772161603E-13</v>
      </c>
      <c r="DP149" s="17">
        <f>DO149*VLOOKUP('Données projet'!$B$14,Paramètres!$A$1:$I$89,3,0)*VLOOKUP('Données projet'!$B$14,Paramètres!$A$1:$I$89,5,0)</f>
        <v>-9.2222762759774927E-14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221.78186926953776</v>
      </c>
      <c r="DU149" s="59">
        <f t="shared" si="152"/>
        <v>276.69392352410654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18.108731099684679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18.108731099684679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-5.6843418860808015E-14</v>
      </c>
      <c r="EK149" s="17">
        <f>EJ149*VLOOKUP('Données projet'!$B$15,Paramètres!$A$1:$I$89,3,0)*VLOOKUP('Données projet'!$B$15,Paramètres!$A$1:$I$89,5,0)</f>
        <v>-6.1186256061773749E-14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219.76574638403434</v>
      </c>
      <c r="EP149" s="59">
        <f t="shared" si="154"/>
        <v>92.286636088269972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65.446015877788923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65.446015877788923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>
        <f>FE149*VLOOKUP('Données projet'!$B$16,Paramètres!$A$1:$I$89,3,0)*VLOOKUP('Données projet'!$B$16,Paramètres!$A$1:$I$89,5,0)</f>
        <v>0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86.164294406232727</v>
      </c>
      <c r="FK149" s="59">
        <f t="shared" si="156"/>
        <v>138.91188401562334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11.455724733743381</v>
      </c>
      <c r="FR149" s="21">
        <f>EXP(-LN(2)/25)*FR148+(1-EXP(-LN(2)/25))/(LN(2)/25)*Calculateur!FM149*Calculateur!FO149*VLOOKUP('Données projet'!$B$16,Paramètres!$A$1:$I$89,3,0)*0.475*44/12</f>
        <v>3.8168780672002347</v>
      </c>
      <c r="FS149" s="21">
        <f>EXP(-LN(2)/2)*FS148+(1-EXP(-LN(2)/2))/(LN(2)/2)*FM149*FP149*VLOOKUP('Données projet'!$B$16,Paramètres!$A$1:$I$89,3,0)*0.475*44/12</f>
        <v>4.0013303273582367E-12</v>
      </c>
      <c r="FT149" s="22">
        <f t="shared" si="132"/>
        <v>15.272602800947618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150.21793637331223</v>
      </c>
      <c r="T150" s="59">
        <f t="shared" si="142"/>
        <v>364.59164590134486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10.509843494159465</v>
      </c>
      <c r="AA150" s="21">
        <f>EXP(-LN(2)/25)*AA149+(1-EXP(-LN(2)/25))/(LN(2)/25)*Calculateur!V150*Calculateur!X150*VLOOKUP('Données projet'!$B$9,Paramètres!$A$1:$I$89,3,0)*0.475*44/12</f>
        <v>0.87863668136994544</v>
      </c>
      <c r="AB150" s="21">
        <f>EXP(-LN(2)/2)*AB149+(1-EXP(-LN(2)/2))/(LN(2)/2)*V150*Y150*VLOOKUP('Données projet'!$B$9,Paramètres!$A$1:$I$89,3,0)*0.475*44/12</f>
        <v>4.74839661709772E-17</v>
      </c>
      <c r="AC150" s="22">
        <f t="shared" si="111"/>
        <v>11.388480175529411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-5.6843418860808015E-14</v>
      </c>
      <c r="AJ150" s="13">
        <f>AI150*VLOOKUP('Données projet'!$B$10,Paramètres!$A$1:$I$89,3,0)*VLOOKUP('Données projet'!$B$10,Paramètres!$A$1:$I$89,5,0)</f>
        <v>-6.2073013396002344E-14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223.92539057016376</v>
      </c>
      <c r="AO150" s="59">
        <f t="shared" si="144"/>
        <v>94.125825809616856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65.092553039402205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65.092553039402205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-5.6843418860808015E-14</v>
      </c>
      <c r="BE150" s="13">
        <f>BD150*VLOOKUP('Données projet'!$B$11,Paramètres!$A$1:$I$89,3,0)*VLOOKUP('Données projet'!$B$11,Paramètres!$A$1:$I$89,5,0)</f>
        <v>-6.4733285398688169E-14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236.39682613502913</v>
      </c>
      <c r="BJ150" s="59">
        <f t="shared" si="146"/>
        <v>99.639724892155641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67.882233883948018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67.882233883948018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-5.6843418860808015E-14</v>
      </c>
      <c r="CU150" s="17">
        <f>CT150*VLOOKUP('Données projet'!$B$13,Paramètres!$A$1:$I$89,3,0)*VLOOKUP('Données projet'!$B$13,Paramètres!$A$1:$I$89,5,0)</f>
        <v>-4.7884896048344674E-14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157.20393815370375</v>
      </c>
      <c r="CZ150" s="59">
        <f t="shared" si="150"/>
        <v>64.616965816756363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50.214255201824557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50.214255201824557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-1.1368683772161603E-13</v>
      </c>
      <c r="DP150" s="17">
        <f>DO150*VLOOKUP('Données projet'!$B$14,Paramètres!$A$1:$I$89,3,0)*VLOOKUP('Données projet'!$B$14,Paramètres!$A$1:$I$89,5,0)</f>
        <v>-9.2222762759774927E-14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221.78186926953776</v>
      </c>
      <c r="DU150" s="59">
        <f t="shared" si="152"/>
        <v>276.69392352410654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17.753629928055208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17.753629928055208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-5.6843418860808015E-14</v>
      </c>
      <c r="EK150" s="17">
        <f>EJ150*VLOOKUP('Données projet'!$B$15,Paramètres!$A$1:$I$89,3,0)*VLOOKUP('Données projet'!$B$15,Paramètres!$A$1:$I$89,5,0)</f>
        <v>-6.1186256061773749E-14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219.76574638403434</v>
      </c>
      <c r="EP150" s="59">
        <f t="shared" si="154"/>
        <v>92.286636088269972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64.162659424553581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64.162659424553581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>
        <f>FE150*VLOOKUP('Données projet'!$B$16,Paramètres!$A$1:$I$89,3,0)*VLOOKUP('Données projet'!$B$16,Paramètres!$A$1:$I$89,5,0)</f>
        <v>0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86.164294406232727</v>
      </c>
      <c r="FK150" s="59">
        <f t="shared" si="156"/>
        <v>138.91188401562334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11.231084959016822</v>
      </c>
      <c r="FR150" s="21">
        <f>EXP(-LN(2)/25)*FR149+(1-EXP(-LN(2)/25))/(LN(2)/25)*Calculateur!FM150*Calculateur!FO150*VLOOKUP('Données projet'!$B$16,Paramètres!$A$1:$I$89,3,0)*0.475*44/12</f>
        <v>3.7125053357317501</v>
      </c>
      <c r="FS150" s="21">
        <f>EXP(-LN(2)/2)*FS149+(1-EXP(-LN(2)/2))/(LN(2)/2)*FM150*FP150*VLOOKUP('Données projet'!$B$16,Paramètres!$A$1:$I$89,3,0)*0.475*44/12</f>
        <v>2.8293678082423972E-12</v>
      </c>
      <c r="FT150" s="22">
        <f t="shared" si="132"/>
        <v>14.943590294751402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150.21793637331223</v>
      </c>
      <c r="T151" s="59">
        <f t="shared" si="142"/>
        <v>364.59164590134486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10.303751873610558</v>
      </c>
      <c r="AA151" s="21">
        <f>EXP(-LN(2)/25)*AA150+(1-EXP(-LN(2)/25))/(LN(2)/25)*Calculateur!V151*Calculateur!X151*VLOOKUP('Données projet'!$B$9,Paramètres!$A$1:$I$89,3,0)*0.475*44/12</f>
        <v>0.85461031511238938</v>
      </c>
      <c r="AB151" s="21">
        <f>EXP(-LN(2)/2)*AB150+(1-EXP(-LN(2)/2))/(LN(2)/2)*V151*Y151*VLOOKUP('Données projet'!$B$9,Paramètres!$A$1:$I$89,3,0)*0.475*44/12</f>
        <v>3.35762344771306E-17</v>
      </c>
      <c r="AC151" s="22">
        <f t="shared" si="111"/>
        <v>11.158362188722947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-5.6843418860808015E-14</v>
      </c>
      <c r="AJ151" s="13">
        <f>AI151*VLOOKUP('Données projet'!$B$10,Paramètres!$A$1:$I$89,3,0)*VLOOKUP('Données projet'!$B$10,Paramètres!$A$1:$I$89,5,0)</f>
        <v>-6.2073013396002344E-14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223.92539057016376</v>
      </c>
      <c r="AO151" s="59">
        <f t="shared" si="144"/>
        <v>94.125825809616856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63.816127776836581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63.816127776836581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-5.6843418860808015E-14</v>
      </c>
      <c r="BE151" s="13">
        <f>BD151*VLOOKUP('Données projet'!$B$11,Paramètres!$A$1:$I$89,3,0)*VLOOKUP('Données projet'!$B$11,Paramètres!$A$1:$I$89,5,0)</f>
        <v>-6.4733285398688169E-14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236.39682613502913</v>
      </c>
      <c r="BJ151" s="59">
        <f t="shared" si="146"/>
        <v>99.639724892155641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66.551104681558158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66.551104681558158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-5.6843418860808015E-14</v>
      </c>
      <c r="CU151" s="17">
        <f>CT151*VLOOKUP('Données projet'!$B$13,Paramètres!$A$1:$I$89,3,0)*VLOOKUP('Données projet'!$B$13,Paramètres!$A$1:$I$89,5,0)</f>
        <v>-4.7884896048344674E-14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157.20393815370375</v>
      </c>
      <c r="CZ151" s="59">
        <f t="shared" si="150"/>
        <v>64.616965816756363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49.229584284988221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49.229584284988221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-1.1368683772161603E-13</v>
      </c>
      <c r="DP151" s="17">
        <f>DO151*VLOOKUP('Données projet'!$B$14,Paramètres!$A$1:$I$89,3,0)*VLOOKUP('Données projet'!$B$14,Paramètres!$A$1:$I$89,5,0)</f>
        <v>-9.2222762759774927E-14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221.78186926953776</v>
      </c>
      <c r="DU151" s="59">
        <f t="shared" si="152"/>
        <v>276.69392352410654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17.405492073811061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17.405492073811061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-5.6843418860808015E-14</v>
      </c>
      <c r="EK151" s="17">
        <f>EJ151*VLOOKUP('Données projet'!$B$15,Paramètres!$A$1:$I$89,3,0)*VLOOKUP('Données projet'!$B$15,Paramètres!$A$1:$I$89,5,0)</f>
        <v>-6.1186256061773749E-14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219.76574638403434</v>
      </c>
      <c r="EP151" s="59">
        <f t="shared" si="154"/>
        <v>92.286636088269972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62.904468808596036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62.904468808596036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>
        <f>FE151*VLOOKUP('Données projet'!$B$16,Paramètres!$A$1:$I$89,3,0)*VLOOKUP('Données projet'!$B$16,Paramètres!$A$1:$I$89,5,0)</f>
        <v>0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86.164294406232727</v>
      </c>
      <c r="FK151" s="59">
        <f t="shared" si="156"/>
        <v>138.91188401562334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11.010850233255917</v>
      </c>
      <c r="FR151" s="21">
        <f>EXP(-LN(2)/25)*FR150+(1-EXP(-LN(2)/25))/(LN(2)/25)*Calculateur!FM151*Calculateur!FO151*VLOOKUP('Données projet'!$B$16,Paramètres!$A$1:$I$89,3,0)*0.475*44/12</f>
        <v>3.6109866820939946</v>
      </c>
      <c r="FS151" s="21">
        <f>EXP(-LN(2)/2)*FS150+(1-EXP(-LN(2)/2))/(LN(2)/2)*FM151*FP151*VLOOKUP('Données projet'!$B$16,Paramètres!$A$1:$I$89,3,0)*0.475*44/12</f>
        <v>2.0006651636791183E-12</v>
      </c>
      <c r="FT151" s="22">
        <f t="shared" si="132"/>
        <v>14.621836915351912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150.21793637331223</v>
      </c>
      <c r="T152" s="59">
        <f t="shared" si="142"/>
        <v>364.59164590134486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10.101701584037139</v>
      </c>
      <c r="AA152" s="21">
        <f>EXP(-LN(2)/25)*AA151+(1-EXP(-LN(2)/25))/(LN(2)/25)*Calculateur!V152*Calculateur!X152*VLOOKUP('Données projet'!$B$9,Paramètres!$A$1:$I$89,3,0)*0.475*44/12</f>
        <v>0.83124095110363783</v>
      </c>
      <c r="AB152" s="21">
        <f>EXP(-LN(2)/2)*AB151+(1-EXP(-LN(2)/2))/(LN(2)/2)*V152*Y152*VLOOKUP('Données projet'!$B$9,Paramètres!$A$1:$I$89,3,0)*0.475*44/12</f>
        <v>2.37419830854886E-17</v>
      </c>
      <c r="AC152" s="22">
        <f t="shared" si="111"/>
        <v>10.932942535140777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-5.6843418860808015E-14</v>
      </c>
      <c r="AJ152" s="13">
        <f>AI152*VLOOKUP('Données projet'!$B$10,Paramètres!$A$1:$I$89,3,0)*VLOOKUP('Données projet'!$B$10,Paramètres!$A$1:$I$89,5,0)</f>
        <v>-6.2073013396002344E-14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223.92539057016376</v>
      </c>
      <c r="AO152" s="59">
        <f t="shared" si="144"/>
        <v>94.125825809616856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62.564732435127333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62.564732435127333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-5.6843418860808015E-14</v>
      </c>
      <c r="BE152" s="13">
        <f>BD152*VLOOKUP('Données projet'!$B$11,Paramètres!$A$1:$I$89,3,0)*VLOOKUP('Données projet'!$B$11,Paramètres!$A$1:$I$89,5,0)</f>
        <v>-6.4733285398688169E-14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236.39682613502913</v>
      </c>
      <c r="BJ152" s="59">
        <f t="shared" si="146"/>
        <v>99.639724892155641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65.246078110918518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65.246078110918518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-5.6843418860808015E-14</v>
      </c>
      <c r="CU152" s="17">
        <f>CT152*VLOOKUP('Données projet'!$B$13,Paramètres!$A$1:$I$89,3,0)*VLOOKUP('Données projet'!$B$13,Paramètres!$A$1:$I$89,5,0)</f>
        <v>-4.7884896048344674E-14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157.20393815370375</v>
      </c>
      <c r="CZ152" s="59">
        <f t="shared" si="150"/>
        <v>64.616965816756363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48.26422216424109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48.26422216424109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-1.1368683772161603E-13</v>
      </c>
      <c r="DP152" s="17">
        <f>DO152*VLOOKUP('Données projet'!$B$14,Paramètres!$A$1:$I$89,3,0)*VLOOKUP('Données projet'!$B$14,Paramètres!$A$1:$I$89,5,0)</f>
        <v>-9.2222762759774927E-14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221.78186926953776</v>
      </c>
      <c r="DU152" s="59">
        <f t="shared" si="152"/>
        <v>276.69392352410654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17.06418099054552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17.06418099054552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-5.6843418860808015E-14</v>
      </c>
      <c r="EK152" s="17">
        <f>EJ152*VLOOKUP('Données projet'!$B$15,Paramètres!$A$1:$I$89,3,0)*VLOOKUP('Données projet'!$B$15,Paramètres!$A$1:$I$89,5,0)</f>
        <v>-6.1186256061773749E-14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219.76574638403434</v>
      </c>
      <c r="EP152" s="59">
        <f t="shared" si="154"/>
        <v>92.286636088269972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61.670950543196923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61.670950543196923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>
        <f>FE152*VLOOKUP('Données projet'!$B$16,Paramètres!$A$1:$I$89,3,0)*VLOOKUP('Données projet'!$B$16,Paramètres!$A$1:$I$89,5,0)</f>
        <v>0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86.164294406232727</v>
      </c>
      <c r="FK152" s="59">
        <f t="shared" si="156"/>
        <v>138.91188401562334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10.794934176137266</v>
      </c>
      <c r="FR152" s="21">
        <f>EXP(-LN(2)/25)*FR151+(1-EXP(-LN(2)/25))/(LN(2)/25)*Calculateur!FM152*Calculateur!FO152*VLOOKUP('Données projet'!$B$16,Paramètres!$A$1:$I$89,3,0)*0.475*44/12</f>
        <v>3.5122440613785977</v>
      </c>
      <c r="FS152" s="21">
        <f>EXP(-LN(2)/2)*FS151+(1-EXP(-LN(2)/2))/(LN(2)/2)*FM152*FP152*VLOOKUP('Données projet'!$B$16,Paramètres!$A$1:$I$89,3,0)*0.475*44/12</f>
        <v>1.4146839041211986E-12</v>
      </c>
      <c r="FT152" s="22">
        <f t="shared" si="132"/>
        <v>14.307178237517277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150.21793637331223</v>
      </c>
      <c r="T153" s="59">
        <f t="shared" si="142"/>
        <v>364.59164590134486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9.9036133774037456</v>
      </c>
      <c r="AA153" s="21">
        <f>EXP(-LN(2)/25)*AA152+(1-EXP(-LN(2)/25))/(LN(2)/25)*Calculateur!V153*Calculateur!X153*VLOOKUP('Données projet'!$B$9,Paramètres!$A$1:$I$89,3,0)*0.475*44/12</f>
        <v>0.80851062358264703</v>
      </c>
      <c r="AB153" s="21">
        <f>EXP(-LN(2)/2)*AB152+(1-EXP(-LN(2)/2))/(LN(2)/2)*V153*Y153*VLOOKUP('Données projet'!$B$9,Paramètres!$A$1:$I$89,3,0)*0.475*44/12</f>
        <v>1.67881172385653E-17</v>
      </c>
      <c r="AC153" s="22">
        <f t="shared" si="111"/>
        <v>10.712124000986393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-5.6843418860808015E-14</v>
      </c>
      <c r="AJ153" s="13">
        <f>AI153*VLOOKUP('Données projet'!$B$10,Paramètres!$A$1:$I$89,3,0)*VLOOKUP('Données projet'!$B$10,Paramètres!$A$1:$I$89,5,0)</f>
        <v>-6.2073013396002344E-14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223.92539057016376</v>
      </c>
      <c r="AO153" s="59">
        <f t="shared" si="144"/>
        <v>94.125825809616856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61.33787619279321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61.33787619279321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-5.6843418860808015E-14</v>
      </c>
      <c r="BE153" s="13">
        <f>BD153*VLOOKUP('Données projet'!$B$11,Paramètres!$A$1:$I$89,3,0)*VLOOKUP('Données projet'!$B$11,Paramètres!$A$1:$I$89,5,0)</f>
        <v>-6.4733285398688169E-14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236.39682613502913</v>
      </c>
      <c r="BJ153" s="59">
        <f t="shared" si="146"/>
        <v>99.639724892155641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63.96664231534151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63.96664231534151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-5.6843418860808015E-14</v>
      </c>
      <c r="CU153" s="17">
        <f>CT153*VLOOKUP('Données projet'!$B$13,Paramètres!$A$1:$I$89,3,0)*VLOOKUP('Données projet'!$B$13,Paramètres!$A$1:$I$89,5,0)</f>
        <v>-4.7884896048344674E-14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157.20393815370375</v>
      </c>
      <c r="CZ153" s="59">
        <f t="shared" si="150"/>
        <v>64.616965816756363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47.317790205869052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47.317790205869052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-1.1368683772161603E-13</v>
      </c>
      <c r="DP153" s="17">
        <f>DO153*VLOOKUP('Données projet'!$B$14,Paramètres!$A$1:$I$89,3,0)*VLOOKUP('Données projet'!$B$14,Paramètres!$A$1:$I$89,5,0)</f>
        <v>-9.2222762759774927E-14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221.78186926953776</v>
      </c>
      <c r="DU153" s="59">
        <f t="shared" si="152"/>
        <v>276.69392352410654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16.72956280944361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16.72956280944361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-5.6843418860808015E-14</v>
      </c>
      <c r="EK153" s="17">
        <f>EJ153*VLOOKUP('Données projet'!$B$15,Paramètres!$A$1:$I$89,3,0)*VLOOKUP('Données projet'!$B$15,Paramètres!$A$1:$I$89,5,0)</f>
        <v>-6.1186256061773749E-14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219.76574638403434</v>
      </c>
      <c r="EP153" s="59">
        <f t="shared" si="154"/>
        <v>92.286636088269972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60.461620818610434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60.461620818610434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>
        <f>FE153*VLOOKUP('Données projet'!$B$16,Paramètres!$A$1:$I$89,3,0)*VLOOKUP('Données projet'!$B$16,Paramètres!$A$1:$I$89,5,0)</f>
        <v>0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86.164294406232727</v>
      </c>
      <c r="FK153" s="59">
        <f t="shared" si="156"/>
        <v>138.91188401562334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10.58325210120292</v>
      </c>
      <c r="FR153" s="21">
        <f>EXP(-LN(2)/25)*FR152+(1-EXP(-LN(2)/25))/(LN(2)/25)*Calculateur!FM153*Calculateur!FO153*VLOOKUP('Données projet'!$B$16,Paramètres!$A$1:$I$89,3,0)*0.475*44/12</f>
        <v>3.4162015628193121</v>
      </c>
      <c r="FS153" s="21">
        <f>EXP(-LN(2)/2)*FS152+(1-EXP(-LN(2)/2))/(LN(2)/2)*FM153*FP153*VLOOKUP('Données projet'!$B$16,Paramètres!$A$1:$I$89,3,0)*0.475*44/12</f>
        <v>1.0003325818395592E-12</v>
      </c>
      <c r="FT153" s="22">
        <f t="shared" si="132"/>
        <v>13.999453664023232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150.21793637331223</v>
      </c>
      <c r="T154" s="59">
        <f t="shared" si="142"/>
        <v>364.59164590134486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9.7094095596805587</v>
      </c>
      <c r="AA154" s="21">
        <f>EXP(-LN(2)/25)*AA153+(1-EXP(-LN(2)/25))/(LN(2)/25)*Calculateur!V154*Calculateur!X154*VLOOKUP('Données projet'!$B$9,Paramètres!$A$1:$I$89,3,0)*0.475*44/12</f>
        <v>0.78640185806305374</v>
      </c>
      <c r="AB154" s="21">
        <f>EXP(-LN(2)/2)*AB153+(1-EXP(-LN(2)/2))/(LN(2)/2)*V154*Y154*VLOOKUP('Données projet'!$B$9,Paramètres!$A$1:$I$89,3,0)*0.475*44/12</f>
        <v>1.18709915427443E-17</v>
      </c>
      <c r="AC154" s="22">
        <f t="shared" ref="AC154:AC203" si="163">SUM(Z154:AB154)</f>
        <v>10.495811417743612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-5.6843418860808015E-14</v>
      </c>
      <c r="AJ154" s="13">
        <f>AI154*VLOOKUP('Données projet'!$B$10,Paramètres!$A$1:$I$89,3,0)*VLOOKUP('Données projet'!$B$10,Paramètres!$A$1:$I$89,5,0)</f>
        <v>-6.2073013396002344E-14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223.92539057016376</v>
      </c>
      <c r="AO154" s="59">
        <f t="shared" si="144"/>
        <v>94.125825809616856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60.135077853062846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60.135077853062846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-5.6843418860808015E-14</v>
      </c>
      <c r="BE154" s="13">
        <f>BD154*VLOOKUP('Données projet'!$B$11,Paramètres!$A$1:$I$89,3,0)*VLOOKUP('Données projet'!$B$11,Paramètres!$A$1:$I$89,5,0)</f>
        <v>-6.4733285398688169E-14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236.39682613502913</v>
      </c>
      <c r="BJ154" s="59">
        <f t="shared" si="146"/>
        <v>99.639724892155641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62.712295475336987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62.712295475336987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-5.6843418860808015E-14</v>
      </c>
      <c r="CU154" s="17">
        <f>CT154*VLOOKUP('Données projet'!$B$13,Paramètres!$A$1:$I$89,3,0)*VLOOKUP('Données projet'!$B$13,Paramètres!$A$1:$I$89,5,0)</f>
        <v>-4.7884896048344674E-14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157.20393815370375</v>
      </c>
      <c r="CZ154" s="59">
        <f t="shared" si="150"/>
        <v>64.616965816756363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46.3899172009342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46.3899172009342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-1.1368683772161603E-13</v>
      </c>
      <c r="DP154" s="17">
        <f>DO154*VLOOKUP('Données projet'!$B$14,Paramètres!$A$1:$I$89,3,0)*VLOOKUP('Données projet'!$B$14,Paramètres!$A$1:$I$89,5,0)</f>
        <v>-9.2222762759774927E-14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221.78186926953776</v>
      </c>
      <c r="DU154" s="59">
        <f t="shared" si="152"/>
        <v>276.69392352410654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16.401506286776172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16.401506286776172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-5.6843418860808015E-14</v>
      </c>
      <c r="EK154" s="17">
        <f>EJ154*VLOOKUP('Données projet'!$B$15,Paramètres!$A$1:$I$89,3,0)*VLOOKUP('Données projet'!$B$15,Paramètres!$A$1:$I$89,5,0)</f>
        <v>-6.1186256061773749E-14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219.76574638403434</v>
      </c>
      <c r="EP154" s="59">
        <f t="shared" si="154"/>
        <v>92.286636088269972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59.27600531230479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59.27600531230479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>
        <f>FE154*VLOOKUP('Données projet'!$B$16,Paramètres!$A$1:$I$89,3,0)*VLOOKUP('Données projet'!$B$16,Paramètres!$A$1:$I$89,5,0)</f>
        <v>0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86.164294406232727</v>
      </c>
      <c r="FK154" s="59">
        <f t="shared" si="156"/>
        <v>138.91188401562334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10.375720982644719</v>
      </c>
      <c r="FR154" s="21">
        <f>EXP(-LN(2)/25)*FR153+(1-EXP(-LN(2)/25))/(LN(2)/25)*Calculateur!FM154*Calculateur!FO154*VLOOKUP('Données projet'!$B$16,Paramètres!$A$1:$I$89,3,0)*0.475*44/12</f>
        <v>3.3227853514337857</v>
      </c>
      <c r="FS154" s="21">
        <f>EXP(-LN(2)/2)*FS153+(1-EXP(-LN(2)/2))/(LN(2)/2)*FM154*FP154*VLOOKUP('Données projet'!$B$16,Paramètres!$A$1:$I$89,3,0)*0.475*44/12</f>
        <v>7.0734195206059931E-13</v>
      </c>
      <c r="FT154" s="22">
        <f t="shared" ref="FT154:FT203" si="184">SUM(FQ154:FS154)</f>
        <v>13.698506334079212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150.21793637331223</v>
      </c>
      <c r="T155" s="59">
        <f t="shared" si="142"/>
        <v>364.59164590134486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9.519013960370291</v>
      </c>
      <c r="AA155" s="21">
        <f>EXP(-LN(2)/25)*AA154+(1-EXP(-LN(2)/25))/(LN(2)/25)*Calculateur!V155*Calculateur!X155*VLOOKUP('Données projet'!$B$9,Paramètres!$A$1:$I$89,3,0)*0.475*44/12</f>
        <v>0.76489765789924313</v>
      </c>
      <c r="AB155" s="21">
        <f>EXP(-LN(2)/2)*AB154+(1-EXP(-LN(2)/2))/(LN(2)/2)*V155*Y155*VLOOKUP('Données projet'!$B$9,Paramètres!$A$1:$I$89,3,0)*0.475*44/12</f>
        <v>8.3940586192826499E-18</v>
      </c>
      <c r="AC155" s="22">
        <f t="shared" si="163"/>
        <v>10.283911618269535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-5.6843418860808015E-14</v>
      </c>
      <c r="AJ155" s="13">
        <f>AI155*VLOOKUP('Données projet'!$B$10,Paramètres!$A$1:$I$89,3,0)*VLOOKUP('Données projet'!$B$10,Paramètres!$A$1:$I$89,5,0)</f>
        <v>-6.2073013396002344E-14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223.92539057016376</v>
      </c>
      <c r="AO155" s="59">
        <f t="shared" si="144"/>
        <v>94.125825809616856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58.955865655140045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58.955865655140045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-5.6843418860808015E-14</v>
      </c>
      <c r="BE155" s="13">
        <f>BD155*VLOOKUP('Données projet'!$B$11,Paramètres!$A$1:$I$89,3,0)*VLOOKUP('Données projet'!$B$11,Paramètres!$A$1:$I$89,5,0)</f>
        <v>-6.4733285398688169E-14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236.39682613502913</v>
      </c>
      <c r="BJ155" s="59">
        <f t="shared" si="146"/>
        <v>99.639724892155641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61.482545611788922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61.482545611788922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-5.6843418860808015E-14</v>
      </c>
      <c r="CU155" s="17">
        <f>CT155*VLOOKUP('Données projet'!$B$13,Paramètres!$A$1:$I$89,3,0)*VLOOKUP('Données projet'!$B$13,Paramètres!$A$1:$I$89,5,0)</f>
        <v>-4.7884896048344674E-14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157.20393815370375</v>
      </c>
      <c r="CZ155" s="59">
        <f t="shared" si="150"/>
        <v>64.616965816756363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45.480239219679468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45.480239219679468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-1.1368683772161603E-13</v>
      </c>
      <c r="DP155" s="17">
        <f>DO155*VLOOKUP('Données projet'!$B$14,Paramètres!$A$1:$I$89,3,0)*VLOOKUP('Données projet'!$B$14,Paramètres!$A$1:$I$89,5,0)</f>
        <v>-9.2222762759774927E-14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221.78186926953776</v>
      </c>
      <c r="DU155" s="59">
        <f t="shared" si="152"/>
        <v>276.69392352410654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16.079882752423519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16.079882752423519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-5.6843418860808015E-14</v>
      </c>
      <c r="EK155" s="17">
        <f>EJ155*VLOOKUP('Données projet'!$B$15,Paramètres!$A$1:$I$89,3,0)*VLOOKUP('Données projet'!$B$15,Paramètres!$A$1:$I$89,5,0)</f>
        <v>-6.1186256061773749E-14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219.76574638403434</v>
      </c>
      <c r="EP155" s="59">
        <f t="shared" si="154"/>
        <v>92.286636088269972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58.11363900292374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58.11363900292374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>
        <f>FE155*VLOOKUP('Données projet'!$B$16,Paramètres!$A$1:$I$89,3,0)*VLOOKUP('Données projet'!$B$16,Paramètres!$A$1:$I$89,5,0)</f>
        <v>0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86.164294406232727</v>
      </c>
      <c r="FK155" s="59">
        <f t="shared" si="156"/>
        <v>138.91188401562334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10.172259422739961</v>
      </c>
      <c r="FR155" s="21">
        <f>EXP(-LN(2)/25)*FR154+(1-EXP(-LN(2)/25))/(LN(2)/25)*Calculateur!FM155*Calculateur!FO155*VLOOKUP('Données projet'!$B$16,Paramètres!$A$1:$I$89,3,0)*0.475*44/12</f>
        <v>3.2319236112611414</v>
      </c>
      <c r="FS155" s="21">
        <f>EXP(-LN(2)/2)*FS154+(1-EXP(-LN(2)/2))/(LN(2)/2)*FM155*FP155*VLOOKUP('Données projet'!$B$16,Paramètres!$A$1:$I$89,3,0)*0.475*44/12</f>
        <v>5.0016629091977958E-13</v>
      </c>
      <c r="FT155" s="22">
        <f t="shared" si="184"/>
        <v>13.404183034001603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150.21793637331223</v>
      </c>
      <c r="T156" s="59">
        <f t="shared" si="142"/>
        <v>364.59164590134486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9.3323519026326487</v>
      </c>
      <c r="AA156" s="21">
        <f>EXP(-LN(2)/25)*AA155+(1-EXP(-LN(2)/25))/(LN(2)/25)*Calculateur!V156*Calculateur!X156*VLOOKUP('Données projet'!$B$9,Paramètres!$A$1:$I$89,3,0)*0.475*44/12</f>
        <v>0.74398149121976864</v>
      </c>
      <c r="AB156" s="21">
        <f>EXP(-LN(2)/2)*AB155+(1-EXP(-LN(2)/2))/(LN(2)/2)*V156*Y156*VLOOKUP('Données projet'!$B$9,Paramètres!$A$1:$I$89,3,0)*0.475*44/12</f>
        <v>5.93549577137215E-18</v>
      </c>
      <c r="AC156" s="22">
        <f t="shared" si="163"/>
        <v>10.076333393852417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-5.6843418860808015E-14</v>
      </c>
      <c r="AJ156" s="13">
        <f>AI156*VLOOKUP('Données projet'!$B$10,Paramètres!$A$1:$I$89,3,0)*VLOOKUP('Données projet'!$B$10,Paramètres!$A$1:$I$89,5,0)</f>
        <v>-6.2073013396002344E-14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223.92539057016376</v>
      </c>
      <c r="AO156" s="59">
        <f t="shared" si="144"/>
        <v>94.125825809616856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57.799777089170092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57.799777089170092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-5.6843418860808015E-14</v>
      </c>
      <c r="BE156" s="13">
        <f>BD156*VLOOKUP('Données projet'!$B$11,Paramètres!$A$1:$I$89,3,0)*VLOOKUP('Données projet'!$B$11,Paramètres!$A$1:$I$89,5,0)</f>
        <v>-6.4733285398688169E-14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236.39682613502913</v>
      </c>
      <c r="BJ156" s="59">
        <f t="shared" si="146"/>
        <v>99.639724892155641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60.276910392991681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60.276910392991681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-5.6843418860808015E-14</v>
      </c>
      <c r="CU156" s="17">
        <f>CT156*VLOOKUP('Données projet'!$B$13,Paramètres!$A$1:$I$89,3,0)*VLOOKUP('Données projet'!$B$13,Paramètres!$A$1:$I$89,5,0)</f>
        <v>-4.7884896048344674E-14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157.20393815370375</v>
      </c>
      <c r="CZ156" s="59">
        <f t="shared" si="150"/>
        <v>64.616965816756363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44.58839946878836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44.58839946878836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-1.1368683772161603E-13</v>
      </c>
      <c r="DP156" s="17">
        <f>DO156*VLOOKUP('Données projet'!$B$14,Paramètres!$A$1:$I$89,3,0)*VLOOKUP('Données projet'!$B$14,Paramètres!$A$1:$I$89,5,0)</f>
        <v>-9.2222762759774927E-14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221.78186926953776</v>
      </c>
      <c r="DU156" s="59">
        <f t="shared" si="152"/>
        <v>276.69392352410654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15.764566059408537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15.764566059408537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-5.6843418860808015E-14</v>
      </c>
      <c r="EK156" s="17">
        <f>EJ156*VLOOKUP('Données projet'!$B$15,Paramètres!$A$1:$I$89,3,0)*VLOOKUP('Données projet'!$B$15,Paramètres!$A$1:$I$89,5,0)</f>
        <v>-6.1186256061773749E-14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219.76574638403434</v>
      </c>
      <c r="EP156" s="59">
        <f t="shared" si="154"/>
        <v>92.286636088269972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56.974065987896211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56.974065987896211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>
        <f>FE156*VLOOKUP('Données projet'!$B$16,Paramètres!$A$1:$I$89,3,0)*VLOOKUP('Données projet'!$B$16,Paramètres!$A$1:$I$89,5,0)</f>
        <v>0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86.164294406232727</v>
      </c>
      <c r="FK156" s="59">
        <f t="shared" si="156"/>
        <v>138.91188401562334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9.9727876199256382</v>
      </c>
      <c r="FR156" s="21">
        <f>EXP(-LN(2)/25)*FR155+(1-EXP(-LN(2)/25))/(LN(2)/25)*Calculateur!FM156*Calculateur!FO156*VLOOKUP('Données projet'!$B$16,Paramètres!$A$1:$I$89,3,0)*0.475*44/12</f>
        <v>3.1435464901517296</v>
      </c>
      <c r="FS156" s="21">
        <f>EXP(-LN(2)/2)*FS155+(1-EXP(-LN(2)/2))/(LN(2)/2)*FM156*FP156*VLOOKUP('Données projet'!$B$16,Paramètres!$A$1:$I$89,3,0)*0.475*44/12</f>
        <v>3.5367097603029965E-13</v>
      </c>
      <c r="FT156" s="22">
        <f t="shared" si="184"/>
        <v>13.116334110077721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150.21793637331223</v>
      </c>
      <c r="T157" s="59">
        <f t="shared" si="142"/>
        <v>364.59164590134486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9.1493501739946286</v>
      </c>
      <c r="AA157" s="21">
        <f>EXP(-LN(2)/25)*AA156+(1-EXP(-LN(2)/25))/(LN(2)/25)*Calculateur!V157*Calculateur!X157*VLOOKUP('Données projet'!$B$9,Paramètres!$A$1:$I$89,3,0)*0.475*44/12</f>
        <v>0.72363727821807788</v>
      </c>
      <c r="AB157" s="21">
        <f>EXP(-LN(2)/2)*AB156+(1-EXP(-LN(2)/2))/(LN(2)/2)*V157*Y157*VLOOKUP('Données projet'!$B$9,Paramètres!$A$1:$I$89,3,0)*0.475*44/12</f>
        <v>4.197029309641325E-18</v>
      </c>
      <c r="AC157" s="22">
        <f t="shared" si="163"/>
        <v>9.8729874522127066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-5.6843418860808015E-14</v>
      </c>
      <c r="AJ157" s="13">
        <f>AI157*VLOOKUP('Données projet'!$B$10,Paramètres!$A$1:$I$89,3,0)*VLOOKUP('Données projet'!$B$10,Paramètres!$A$1:$I$89,5,0)</f>
        <v>-6.2073013396002344E-14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223.92539057016376</v>
      </c>
      <c r="AO157" s="59">
        <f t="shared" si="144"/>
        <v>94.125825809616856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56.666358714834409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56.666358714834409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-5.6843418860808015E-14</v>
      </c>
      <c r="BE157" s="13">
        <f>BD157*VLOOKUP('Données projet'!$B$11,Paramètres!$A$1:$I$89,3,0)*VLOOKUP('Données projet'!$B$11,Paramètres!$A$1:$I$89,5,0)</f>
        <v>-6.4733285398688169E-14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236.39682613502913</v>
      </c>
      <c r="BJ157" s="59">
        <f t="shared" si="146"/>
        <v>99.639724892155641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59.094916945470182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59.094916945470182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-5.6843418860808015E-14</v>
      </c>
      <c r="CU157" s="17">
        <f>CT157*VLOOKUP('Données projet'!$B$13,Paramètres!$A$1:$I$89,3,0)*VLOOKUP('Données projet'!$B$13,Paramètres!$A$1:$I$89,5,0)</f>
        <v>-4.7884896048344674E-14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157.20393815370375</v>
      </c>
      <c r="CZ157" s="59">
        <f t="shared" si="150"/>
        <v>64.616965816756363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43.714048151443691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43.714048151443691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-1.1368683772161603E-13</v>
      </c>
      <c r="DP157" s="17">
        <f>DO157*VLOOKUP('Données projet'!$B$14,Paramètres!$A$1:$I$89,3,0)*VLOOKUP('Données projet'!$B$14,Paramètres!$A$1:$I$89,5,0)</f>
        <v>-9.2222762759774927E-14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221.78186926953776</v>
      </c>
      <c r="DU157" s="59">
        <f t="shared" si="152"/>
        <v>276.69392352410654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15.455432534419387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15.455432534419387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-5.6843418860808015E-14</v>
      </c>
      <c r="EK157" s="17">
        <f>EJ157*VLOOKUP('Données projet'!$B$15,Paramètres!$A$1:$I$89,3,0)*VLOOKUP('Données projet'!$B$15,Paramètres!$A$1:$I$89,5,0)</f>
        <v>-6.1186256061773749E-14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219.76574638403434</v>
      </c>
      <c r="EP157" s="59">
        <f t="shared" si="154"/>
        <v>92.286636088269972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55.856839304622468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55.856839304622468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>
        <f>FE157*VLOOKUP('Données projet'!$B$16,Paramètres!$A$1:$I$89,3,0)*VLOOKUP('Données projet'!$B$16,Paramètres!$A$1:$I$89,5,0)</f>
        <v>0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86.164294406232727</v>
      </c>
      <c r="FK157" s="59">
        <f t="shared" si="156"/>
        <v>138.91188401562334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9.7772273374987186</v>
      </c>
      <c r="FR157" s="21">
        <f>EXP(-LN(2)/25)*FR156+(1-EXP(-LN(2)/25))/(LN(2)/25)*Calculateur!FM157*Calculateur!FO157*VLOOKUP('Données projet'!$B$16,Paramètres!$A$1:$I$89,3,0)*0.475*44/12</f>
        <v>3.0575860460666053</v>
      </c>
      <c r="FS157" s="21">
        <f>EXP(-LN(2)/2)*FS156+(1-EXP(-LN(2)/2))/(LN(2)/2)*FM157*FP157*VLOOKUP('Données projet'!$B$16,Paramètres!$A$1:$I$89,3,0)*0.475*44/12</f>
        <v>2.5008314545988979E-13</v>
      </c>
      <c r="FT157" s="22">
        <f t="shared" si="184"/>
        <v>12.834813383565574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150.21793637331223</v>
      </c>
      <c r="T158" s="59">
        <f t="shared" si="142"/>
        <v>364.59164590134486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8.9699369976351662</v>
      </c>
      <c r="AA158" s="21">
        <f>EXP(-LN(2)/25)*AA157+(1-EXP(-LN(2)/25))/(LN(2)/25)*Calculateur!V158*Calculateur!X158*VLOOKUP('Données projet'!$B$9,Paramètres!$A$1:$I$89,3,0)*0.475*44/12</f>
        <v>0.70384937879077403</v>
      </c>
      <c r="AB158" s="21">
        <f>EXP(-LN(2)/2)*AB157+(1-EXP(-LN(2)/2))/(LN(2)/2)*V158*Y158*VLOOKUP('Données projet'!$B$9,Paramètres!$A$1:$I$89,3,0)*0.475*44/12</f>
        <v>2.967747885686075E-18</v>
      </c>
      <c r="AC158" s="22">
        <f t="shared" si="163"/>
        <v>9.6737863764259409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-5.6843418860808015E-14</v>
      </c>
      <c r="AJ158" s="13">
        <f>AI158*VLOOKUP('Données projet'!$B$10,Paramètres!$A$1:$I$89,3,0)*VLOOKUP('Données projet'!$B$10,Paramètres!$A$1:$I$89,5,0)</f>
        <v>-6.2073013396002344E-14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223.92539057016376</v>
      </c>
      <c r="AO158" s="59">
        <f t="shared" si="144"/>
        <v>94.125825809616856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55.555165983502505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55.555165983502505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-5.6843418860808015E-14</v>
      </c>
      <c r="BE158" s="13">
        <f>BD158*VLOOKUP('Données projet'!$B$11,Paramètres!$A$1:$I$89,3,0)*VLOOKUP('Données projet'!$B$11,Paramètres!$A$1:$I$89,5,0)</f>
        <v>-6.4733285398688169E-14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236.39682613502913</v>
      </c>
      <c r="BJ158" s="59">
        <f t="shared" si="146"/>
        <v>99.639724892155641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57.936101668509764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57.936101668509764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-5.6843418860808015E-14</v>
      </c>
      <c r="CU158" s="17">
        <f>CT158*VLOOKUP('Données projet'!$B$13,Paramètres!$A$1:$I$89,3,0)*VLOOKUP('Données projet'!$B$13,Paramètres!$A$1:$I$89,5,0)</f>
        <v>-4.7884896048344674E-14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157.20393815370375</v>
      </c>
      <c r="CZ158" s="59">
        <f t="shared" si="150"/>
        <v>64.616965816756363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42.856842330130505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42.856842330130505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-1.1368683772161603E-13</v>
      </c>
      <c r="DP158" s="17">
        <f>DO158*VLOOKUP('Données projet'!$B$14,Paramètres!$A$1:$I$89,3,0)*VLOOKUP('Données projet'!$B$14,Paramètres!$A$1:$I$89,5,0)</f>
        <v>-9.2222762759774927E-14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221.78186926953776</v>
      </c>
      <c r="DU158" s="59">
        <f t="shared" si="152"/>
        <v>276.69392352410654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15.152360929302441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15.152360929302441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-5.6843418860808015E-14</v>
      </c>
      <c r="EK158" s="17">
        <f>EJ158*VLOOKUP('Données projet'!$B$15,Paramètres!$A$1:$I$89,3,0)*VLOOKUP('Données projet'!$B$15,Paramètres!$A$1:$I$89,5,0)</f>
        <v>-6.1186256061773749E-14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219.76574638403434</v>
      </c>
      <c r="EP158" s="59">
        <f t="shared" si="154"/>
        <v>92.286636088269972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54.761520755166735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54.761520755166735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>
        <f>FE158*VLOOKUP('Données projet'!$B$16,Paramètres!$A$1:$I$89,3,0)*VLOOKUP('Données projet'!$B$16,Paramètres!$A$1:$I$89,5,0)</f>
        <v>0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86.164294406232727</v>
      </c>
      <c r="FK158" s="59">
        <f t="shared" si="156"/>
        <v>138.91188401562334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9.5855018729301964</v>
      </c>
      <c r="FR158" s="21">
        <f>EXP(-LN(2)/25)*FR157+(1-EXP(-LN(2)/25))/(LN(2)/25)*Calculateur!FM158*Calculateur!FO158*VLOOKUP('Données projet'!$B$16,Paramètres!$A$1:$I$89,3,0)*0.475*44/12</f>
        <v>2.9739761948454522</v>
      </c>
      <c r="FS158" s="21">
        <f>EXP(-LN(2)/2)*FS157+(1-EXP(-LN(2)/2))/(LN(2)/2)*FM158*FP158*VLOOKUP('Données projet'!$B$16,Paramètres!$A$1:$I$89,3,0)*0.475*44/12</f>
        <v>1.7683548801514983E-13</v>
      </c>
      <c r="FT158" s="22">
        <f t="shared" si="184"/>
        <v>12.559478067775826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150.21793637331223</v>
      </c>
      <c r="T159" s="59">
        <f t="shared" si="142"/>
        <v>364.59164590134486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8.79404200423288</v>
      </c>
      <c r="AA159" s="21">
        <f>EXP(-LN(2)/25)*AA158+(1-EXP(-LN(2)/25))/(LN(2)/25)*Calculateur!V159*Calculateur!X159*VLOOKUP('Données projet'!$B$9,Paramètres!$A$1:$I$89,3,0)*0.475*44/12</f>
        <v>0.6846025805139101</v>
      </c>
      <c r="AB159" s="21">
        <f>EXP(-LN(2)/2)*AB158+(1-EXP(-LN(2)/2))/(LN(2)/2)*V159*Y159*VLOOKUP('Données projet'!$B$9,Paramètres!$A$1:$I$89,3,0)*0.475*44/12</f>
        <v>2.0985146548206625E-18</v>
      </c>
      <c r="AC159" s="22">
        <f t="shared" si="163"/>
        <v>9.4786445847467906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-5.6843418860808015E-14</v>
      </c>
      <c r="AJ159" s="13">
        <f>AI159*VLOOKUP('Données projet'!$B$10,Paramètres!$A$1:$I$89,3,0)*VLOOKUP('Données projet'!$B$10,Paramètres!$A$1:$I$89,5,0)</f>
        <v>-6.2073013396002344E-14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223.92539057016376</v>
      </c>
      <c r="AO159" s="59">
        <f t="shared" si="144"/>
        <v>94.125825809616856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54.465763063871371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54.465763063871371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-5.6843418860808015E-14</v>
      </c>
      <c r="BE159" s="13">
        <f>BD159*VLOOKUP('Données projet'!$B$11,Paramètres!$A$1:$I$89,3,0)*VLOOKUP('Données projet'!$B$11,Paramètres!$A$1:$I$89,5,0)</f>
        <v>-6.4733285398688169E-14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236.39682613502913</v>
      </c>
      <c r="BJ159" s="59">
        <f t="shared" si="146"/>
        <v>99.639724892155641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56.80001005232301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56.80001005232301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-5.6843418860808015E-14</v>
      </c>
      <c r="CU159" s="17">
        <f>CT159*VLOOKUP('Données projet'!$B$13,Paramètres!$A$1:$I$89,3,0)*VLOOKUP('Données projet'!$B$13,Paramètres!$A$1:$I$89,5,0)</f>
        <v>-4.7884896048344674E-14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157.20393815370375</v>
      </c>
      <c r="CZ159" s="59">
        <f t="shared" si="150"/>
        <v>64.616965816756363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42.016445792129346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42.016445792129346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-1.1368683772161603E-13</v>
      </c>
      <c r="DP159" s="17">
        <f>DO159*VLOOKUP('Données projet'!$B$14,Paramètres!$A$1:$I$89,3,0)*VLOOKUP('Données projet'!$B$14,Paramètres!$A$1:$I$89,5,0)</f>
        <v>-9.2222762759774927E-14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221.78186926953776</v>
      </c>
      <c r="DU159" s="59">
        <f t="shared" si="152"/>
        <v>276.69392352410654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14.855232373506412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14.855232373506412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-5.6843418860808015E-14</v>
      </c>
      <c r="EK159" s="17">
        <f>EJ159*VLOOKUP('Données projet'!$B$15,Paramètres!$A$1:$I$89,3,0)*VLOOKUP('Données projet'!$B$15,Paramètres!$A$1:$I$89,5,0)</f>
        <v>-6.1186256061773749E-14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219.76574638403434</v>
      </c>
      <c r="EP159" s="59">
        <f t="shared" si="154"/>
        <v>92.286636088269972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53.687680734387477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53.687680734387477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>
        <f>FE159*VLOOKUP('Données projet'!$B$16,Paramètres!$A$1:$I$89,3,0)*VLOOKUP('Données projet'!$B$16,Paramètres!$A$1:$I$89,5,0)</f>
        <v>0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86.164294406232727</v>
      </c>
      <c r="FK159" s="59">
        <f t="shared" si="156"/>
        <v>138.91188401562334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9.3975360277808768</v>
      </c>
      <c r="FR159" s="21">
        <f>EXP(-LN(2)/25)*FR158+(1-EXP(-LN(2)/25))/(LN(2)/25)*Calculateur!FM159*Calculateur!FO159*VLOOKUP('Données projet'!$B$16,Paramètres!$A$1:$I$89,3,0)*0.475*44/12</f>
        <v>2.8926526594027924</v>
      </c>
      <c r="FS159" s="21">
        <f>EXP(-LN(2)/2)*FS158+(1-EXP(-LN(2)/2))/(LN(2)/2)*FM159*FP159*VLOOKUP('Données projet'!$B$16,Paramètres!$A$1:$I$89,3,0)*0.475*44/12</f>
        <v>1.250415727299449E-13</v>
      </c>
      <c r="FT159" s="22">
        <f t="shared" si="184"/>
        <v>12.290188687183793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150.21793637331223</v>
      </c>
      <c r="T160" s="59">
        <f t="shared" si="142"/>
        <v>364.59164590134486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8.6215962043658614</v>
      </c>
      <c r="AA160" s="21">
        <f>EXP(-LN(2)/25)*AA159+(1-EXP(-LN(2)/25))/(LN(2)/25)*Calculateur!V160*Calculateur!X160*VLOOKUP('Données projet'!$B$9,Paramètres!$A$1:$I$89,3,0)*0.475*44/12</f>
        <v>0.66588208694807216</v>
      </c>
      <c r="AB160" s="21">
        <f>EXP(-LN(2)/2)*AB159+(1-EXP(-LN(2)/2))/(LN(2)/2)*V160*Y160*VLOOKUP('Données projet'!$B$9,Paramètres!$A$1:$I$89,3,0)*0.475*44/12</f>
        <v>1.4838739428430375E-18</v>
      </c>
      <c r="AC160" s="22">
        <f t="shared" si="163"/>
        <v>9.2874782913139331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-5.6843418860808015E-14</v>
      </c>
      <c r="AJ160" s="13">
        <f>AI160*VLOOKUP('Données projet'!$B$10,Paramètres!$A$1:$I$89,3,0)*VLOOKUP('Données projet'!$B$10,Paramètres!$A$1:$I$89,5,0)</f>
        <v>-6.2073013396002344E-14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223.92539057016376</v>
      </c>
      <c r="AO160" s="59">
        <f t="shared" si="144"/>
        <v>94.125825809616856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53.397722671024034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53.397722671024034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-5.6843418860808015E-14</v>
      </c>
      <c r="BE160" s="13">
        <f>BD160*VLOOKUP('Données projet'!$B$11,Paramètres!$A$1:$I$89,3,0)*VLOOKUP('Données projet'!$B$11,Paramètres!$A$1:$I$89,5,0)</f>
        <v>-6.4733285398688169E-14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236.39682613502913</v>
      </c>
      <c r="BJ160" s="59">
        <f t="shared" si="146"/>
        <v>99.639724892155641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55.68619649978222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55.68619649978222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-5.6843418860808015E-14</v>
      </c>
      <c r="CU160" s="17">
        <f>CT160*VLOOKUP('Données projet'!$B$13,Paramètres!$A$1:$I$89,3,0)*VLOOKUP('Données projet'!$B$13,Paramètres!$A$1:$I$89,5,0)</f>
        <v>-4.7884896048344674E-14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157.20393815370375</v>
      </c>
      <c r="CZ160" s="59">
        <f t="shared" si="150"/>
        <v>64.616965816756363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41.192528917647117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41.192528917647117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-1.1368683772161603E-13</v>
      </c>
      <c r="DP160" s="17">
        <f>DO160*VLOOKUP('Données projet'!$B$14,Paramètres!$A$1:$I$89,3,0)*VLOOKUP('Données projet'!$B$14,Paramètres!$A$1:$I$89,5,0)</f>
        <v>-9.2222762759774927E-14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221.78186926953776</v>
      </c>
      <c r="DU160" s="59">
        <f t="shared" si="152"/>
        <v>276.69392352410654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14.563930327459021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14.563930327459021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-5.6843418860808015E-14</v>
      </c>
      <c r="EK160" s="17">
        <f>EJ160*VLOOKUP('Données projet'!$B$15,Paramètres!$A$1:$I$89,3,0)*VLOOKUP('Données projet'!$B$15,Paramètres!$A$1:$I$89,5,0)</f>
        <v>-6.1186256061773749E-14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219.76574638403434</v>
      </c>
      <c r="EP160" s="59">
        <f t="shared" si="154"/>
        <v>92.286636088269972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52.634898061437966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52.634898061437966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>
        <f>FE160*VLOOKUP('Données projet'!$B$16,Paramètres!$A$1:$I$89,3,0)*VLOOKUP('Données projet'!$B$16,Paramètres!$A$1:$I$89,5,0)</f>
        <v>0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86.164294406232727</v>
      </c>
      <c r="FK160" s="59">
        <f t="shared" si="156"/>
        <v>138.91188401562334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9.21325607820709</v>
      </c>
      <c r="FR160" s="21">
        <f>EXP(-LN(2)/25)*FR159+(1-EXP(-LN(2)/25))/(LN(2)/25)*Calculateur!FM160*Calculateur!FO160*VLOOKUP('Données projet'!$B$16,Paramètres!$A$1:$I$89,3,0)*0.475*44/12</f>
        <v>2.8135529203134308</v>
      </c>
      <c r="FS160" s="21">
        <f>EXP(-LN(2)/2)*FS159+(1-EXP(-LN(2)/2))/(LN(2)/2)*FM160*FP160*VLOOKUP('Données projet'!$B$16,Paramètres!$A$1:$I$89,3,0)*0.475*44/12</f>
        <v>8.8417744007574913E-14</v>
      </c>
      <c r="FT160" s="22">
        <f t="shared" si="184"/>
        <v>12.026808998520609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150.21793637331223</v>
      </c>
      <c r="T161" s="59">
        <f t="shared" si="142"/>
        <v>364.59164590134486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8.4525319614526833</v>
      </c>
      <c r="AA161" s="21">
        <f>EXP(-LN(2)/25)*AA160+(1-EXP(-LN(2)/25))/(LN(2)/25)*Calculateur!V161*Calculateur!X161*VLOOKUP('Données projet'!$B$9,Paramètres!$A$1:$I$89,3,0)*0.475*44/12</f>
        <v>0.64767350626326003</v>
      </c>
      <c r="AB161" s="21">
        <f>EXP(-LN(2)/2)*AB160+(1-EXP(-LN(2)/2))/(LN(2)/2)*V161*Y161*VLOOKUP('Données projet'!$B$9,Paramètres!$A$1:$I$89,3,0)*0.475*44/12</f>
        <v>1.0492573274103312E-18</v>
      </c>
      <c r="AC161" s="22">
        <f t="shared" si="163"/>
        <v>9.1002054677159432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-5.6843418860808015E-14</v>
      </c>
      <c r="AJ161" s="13">
        <f>AI161*VLOOKUP('Données projet'!$B$10,Paramètres!$A$1:$I$89,3,0)*VLOOKUP('Données projet'!$B$10,Paramètres!$A$1:$I$89,5,0)</f>
        <v>-6.2073013396002344E-14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223.92539057016376</v>
      </c>
      <c r="AO161" s="59">
        <f t="shared" si="144"/>
        <v>94.125825809616856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52.350625898840121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52.350625898840121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-5.6843418860808015E-14</v>
      </c>
      <c r="BE161" s="13">
        <f>BD161*VLOOKUP('Données projet'!$B$11,Paramètres!$A$1:$I$89,3,0)*VLOOKUP('Données projet'!$B$11,Paramètres!$A$1:$I$89,5,0)</f>
        <v>-6.4733285398688169E-14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236.39682613502913</v>
      </c>
      <c r="BJ161" s="59">
        <f t="shared" si="146"/>
        <v>99.639724892155641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54.594224151647566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54.594224151647566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-5.6843418860808015E-14</v>
      </c>
      <c r="CU161" s="17">
        <f>CT161*VLOOKUP('Données projet'!$B$13,Paramètres!$A$1:$I$89,3,0)*VLOOKUP('Données projet'!$B$13,Paramètres!$A$1:$I$89,5,0)</f>
        <v>-4.7884896048344674E-14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157.20393815370375</v>
      </c>
      <c r="CZ161" s="59">
        <f t="shared" si="150"/>
        <v>64.616965816756363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40.384768550533813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40.384768550533813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-1.1368683772161603E-13</v>
      </c>
      <c r="DP161" s="17">
        <f>DO161*VLOOKUP('Données projet'!$B$14,Paramètres!$A$1:$I$89,3,0)*VLOOKUP('Données projet'!$B$14,Paramètres!$A$1:$I$89,5,0)</f>
        <v>-9.2222762759774927E-14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221.78186926953776</v>
      </c>
      <c r="DU161" s="59">
        <f t="shared" si="152"/>
        <v>276.69392352410654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14.278340536857915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14.278340536857915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-5.6843418860808015E-14</v>
      </c>
      <c r="EK161" s="17">
        <f>EJ161*VLOOKUP('Données projet'!$B$15,Paramètres!$A$1:$I$89,3,0)*VLOOKUP('Données projet'!$B$15,Paramètres!$A$1:$I$89,5,0)</f>
        <v>-6.1186256061773749E-14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219.76574638403434</v>
      </c>
      <c r="EP161" s="59">
        <f t="shared" si="154"/>
        <v>92.286636088269972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51.602759814570966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51.602759814570966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>
        <f>FE161*VLOOKUP('Données projet'!$B$16,Paramètres!$A$1:$I$89,3,0)*VLOOKUP('Données projet'!$B$16,Paramètres!$A$1:$I$89,5,0)</f>
        <v>0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86.164294406232727</v>
      </c>
      <c r="FK161" s="59">
        <f t="shared" si="156"/>
        <v>138.91188401562334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9.0325897460447742</v>
      </c>
      <c r="FR161" s="21">
        <f>EXP(-LN(2)/25)*FR160+(1-EXP(-LN(2)/25))/(LN(2)/25)*Calculateur!FM161*Calculateur!FO161*VLOOKUP('Données projet'!$B$16,Paramètres!$A$1:$I$89,3,0)*0.475*44/12</f>
        <v>2.7366161677491423</v>
      </c>
      <c r="FS161" s="21">
        <f>EXP(-LN(2)/2)*FS160+(1-EXP(-LN(2)/2))/(LN(2)/2)*FM161*FP161*VLOOKUP('Données projet'!$B$16,Paramètres!$A$1:$I$89,3,0)*0.475*44/12</f>
        <v>6.2520786364972448E-14</v>
      </c>
      <c r="FT161" s="22">
        <f t="shared" si="184"/>
        <v>11.769205913793979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150.21793637331223</v>
      </c>
      <c r="T162" s="59">
        <f t="shared" si="142"/>
        <v>364.59164590134486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8.2867829652240257</v>
      </c>
      <c r="AA162" s="21">
        <f>EXP(-LN(2)/25)*AA161+(1-EXP(-LN(2)/25))/(LN(2)/25)*Calculateur!V162*Calculateur!X162*VLOOKUP('Données projet'!$B$9,Paramètres!$A$1:$I$89,3,0)*0.475*44/12</f>
        <v>0.62996284017482174</v>
      </c>
      <c r="AB162" s="21">
        <f>EXP(-LN(2)/2)*AB161+(1-EXP(-LN(2)/2))/(LN(2)/2)*V162*Y162*VLOOKUP('Données projet'!$B$9,Paramètres!$A$1:$I$89,3,0)*0.475*44/12</f>
        <v>7.4193697142151875E-19</v>
      </c>
      <c r="AC162" s="22">
        <f t="shared" si="163"/>
        <v>8.9167458053988469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-5.6843418860808015E-14</v>
      </c>
      <c r="AJ162" s="13">
        <f>AI162*VLOOKUP('Données projet'!$B$10,Paramètres!$A$1:$I$89,3,0)*VLOOKUP('Données projet'!$B$10,Paramètres!$A$1:$I$89,5,0)</f>
        <v>-6.2073013396002344E-14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223.92539057016376</v>
      </c>
      <c r="AO162" s="59">
        <f t="shared" si="144"/>
        <v>94.125825809616856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51.324062055692764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51.324062055692764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-5.6843418860808015E-14</v>
      </c>
      <c r="BE162" s="13">
        <f>BD162*VLOOKUP('Données projet'!$B$11,Paramètres!$A$1:$I$89,3,0)*VLOOKUP('Données projet'!$B$11,Paramètres!$A$1:$I$89,5,0)</f>
        <v>-6.4733285398688169E-14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236.39682613502913</v>
      </c>
      <c r="BJ162" s="59">
        <f t="shared" si="146"/>
        <v>99.639724892155641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53.523664715222466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53.523664715222466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-5.6843418860808015E-14</v>
      </c>
      <c r="CU162" s="17">
        <f>CT162*VLOOKUP('Données projet'!$B$13,Paramètres!$A$1:$I$89,3,0)*VLOOKUP('Données projet'!$B$13,Paramètres!$A$1:$I$89,5,0)</f>
        <v>-4.7884896048344674E-14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157.20393815370375</v>
      </c>
      <c r="CZ162" s="59">
        <f t="shared" si="150"/>
        <v>64.616965816756363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39.592847871534424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39.592847871534424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-1.1368683772161603E-13</v>
      </c>
      <c r="DP162" s="17">
        <f>DO162*VLOOKUP('Données projet'!$B$14,Paramètres!$A$1:$I$89,3,0)*VLOOKUP('Données projet'!$B$14,Paramètres!$A$1:$I$89,5,0)</f>
        <v>-9.2222762759774927E-14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221.78186926953776</v>
      </c>
      <c r="DU162" s="59">
        <f t="shared" si="152"/>
        <v>276.69392352410654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13.998350987857924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13.998350987857924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-5.6843418860808015E-14</v>
      </c>
      <c r="EK162" s="17">
        <f>EJ162*VLOOKUP('Données projet'!$B$15,Paramètres!$A$1:$I$89,3,0)*VLOOKUP('Données projet'!$B$15,Paramètres!$A$1:$I$89,5,0)</f>
        <v>-6.1186256061773749E-14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219.76574638403434</v>
      </c>
      <c r="EP162" s="59">
        <f t="shared" si="154"/>
        <v>92.286636088269972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50.590861169182858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50.590861169182858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>
        <f>FE162*VLOOKUP('Données projet'!$B$16,Paramètres!$A$1:$I$89,3,0)*VLOOKUP('Données projet'!$B$16,Paramètres!$A$1:$I$89,5,0)</f>
        <v>0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86.164294406232727</v>
      </c>
      <c r="FK162" s="59">
        <f t="shared" si="156"/>
        <v>138.91188401562334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8.8554661704605788</v>
      </c>
      <c r="FR162" s="21">
        <f>EXP(-LN(2)/25)*FR161+(1-EXP(-LN(2)/25))/(LN(2)/25)*Calculateur!FM162*Calculateur!FO162*VLOOKUP('Données projet'!$B$16,Paramètres!$A$1:$I$89,3,0)*0.475*44/12</f>
        <v>2.6617832547296523</v>
      </c>
      <c r="FS162" s="21">
        <f>EXP(-LN(2)/2)*FS161+(1-EXP(-LN(2)/2))/(LN(2)/2)*FM162*FP162*VLOOKUP('Données projet'!$B$16,Paramètres!$A$1:$I$89,3,0)*0.475*44/12</f>
        <v>4.4208872003787457E-14</v>
      </c>
      <c r="FT162" s="22">
        <f t="shared" si="184"/>
        <v>11.517249425190276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150.21793637331223</v>
      </c>
      <c r="T163" s="59">
        <f t="shared" si="142"/>
        <v>364.59164590134486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8.1242842057145062</v>
      </c>
      <c r="AA163" s="21">
        <f>EXP(-LN(2)/25)*AA162+(1-EXP(-LN(2)/25))/(LN(2)/25)*Calculateur!V163*Calculateur!X163*VLOOKUP('Données projet'!$B$9,Paramètres!$A$1:$I$89,3,0)*0.475*44/12</f>
        <v>0.61273647318193525</v>
      </c>
      <c r="AB163" s="21">
        <f>EXP(-LN(2)/2)*AB162+(1-EXP(-LN(2)/2))/(LN(2)/2)*V163*Y163*VLOOKUP('Données projet'!$B$9,Paramètres!$A$1:$I$89,3,0)*0.475*44/12</f>
        <v>5.2462866370516562E-19</v>
      </c>
      <c r="AC163" s="22">
        <f t="shared" si="163"/>
        <v>8.7370206788964406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-5.6843418860808015E-14</v>
      </c>
      <c r="AJ163" s="13">
        <f>AI163*VLOOKUP('Données projet'!$B$10,Paramètres!$A$1:$I$89,3,0)*VLOOKUP('Données projet'!$B$10,Paramètres!$A$1:$I$89,5,0)</f>
        <v>-6.2073013396002344E-14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223.92539057016376</v>
      </c>
      <c r="AO163" s="59">
        <f t="shared" si="144"/>
        <v>94.125825809616856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50.317628503367409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50.317628503367409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-5.6843418860808015E-14</v>
      </c>
      <c r="BE163" s="13">
        <f>BD163*VLOOKUP('Données projet'!$B$11,Paramètres!$A$1:$I$89,3,0)*VLOOKUP('Données projet'!$B$11,Paramètres!$A$1:$I$89,5,0)</f>
        <v>-6.4733285398688169E-14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236.39682613502913</v>
      </c>
      <c r="BJ163" s="59">
        <f t="shared" si="146"/>
        <v>99.639724892155641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52.474098296368886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52.474098296368886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-5.6843418860808015E-14</v>
      </c>
      <c r="CU163" s="17">
        <f>CT163*VLOOKUP('Données projet'!$B$13,Paramètres!$A$1:$I$89,3,0)*VLOOKUP('Données projet'!$B$13,Paramètres!$A$1:$I$89,5,0)</f>
        <v>-4.7884896048344674E-14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157.20393815370375</v>
      </c>
      <c r="CZ163" s="59">
        <f t="shared" si="150"/>
        <v>64.616965816756363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38.816456274026294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38.816456274026294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-1.1368683772161603E-13</v>
      </c>
      <c r="DP163" s="17">
        <f>DO163*VLOOKUP('Données projet'!$B$14,Paramètres!$A$1:$I$89,3,0)*VLOOKUP('Données projet'!$B$14,Paramètres!$A$1:$I$89,5,0)</f>
        <v>-9.2222762759774927E-14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221.78186926953776</v>
      </c>
      <c r="DU163" s="59">
        <f t="shared" si="152"/>
        <v>276.69392352410654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13.72385186313706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13.72385186313706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-5.6843418860808015E-14</v>
      </c>
      <c r="EK163" s="17">
        <f>EJ163*VLOOKUP('Données projet'!$B$15,Paramètres!$A$1:$I$89,3,0)*VLOOKUP('Données projet'!$B$15,Paramètres!$A$1:$I$89,5,0)</f>
        <v>-6.1186256061773749E-14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219.76574638403434</v>
      </c>
      <c r="EP163" s="59">
        <f t="shared" si="154"/>
        <v>92.286636088269972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49.598805239033581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49.598805239033581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>
        <f>FE163*VLOOKUP('Données projet'!$B$16,Paramètres!$A$1:$I$89,3,0)*VLOOKUP('Données projet'!$B$16,Paramètres!$A$1:$I$89,5,0)</f>
        <v>0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86.164294406232727</v>
      </c>
      <c r="FK163" s="59">
        <f t="shared" si="156"/>
        <v>138.91188401562334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8.6818158801588758</v>
      </c>
      <c r="FR163" s="21">
        <f>EXP(-LN(2)/25)*FR162+(1-EXP(-LN(2)/25))/(LN(2)/25)*Calculateur!FM163*Calculateur!FO163*VLOOKUP('Données projet'!$B$16,Paramètres!$A$1:$I$89,3,0)*0.475*44/12</f>
        <v>2.5889966516519722</v>
      </c>
      <c r="FS163" s="21">
        <f>EXP(-LN(2)/2)*FS162+(1-EXP(-LN(2)/2))/(LN(2)/2)*FM163*FP163*VLOOKUP('Données projet'!$B$16,Paramètres!$A$1:$I$89,3,0)*0.475*44/12</f>
        <v>3.1260393182486224E-14</v>
      </c>
      <c r="FT163" s="22">
        <f t="shared" si="184"/>
        <v>11.270812531810879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150.21793637331223</v>
      </c>
      <c r="T164" s="59">
        <f t="shared" si="142"/>
        <v>364.59164590134486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7.9649719477645124</v>
      </c>
      <c r="AA164" s="21">
        <f>EXP(-LN(2)/25)*AA163+(1-EXP(-LN(2)/25))/(LN(2)/25)*Calculateur!V164*Calculateur!X164*VLOOKUP('Données projet'!$B$9,Paramètres!$A$1:$I$89,3,0)*0.475*44/12</f>
        <v>0.59598116210036456</v>
      </c>
      <c r="AB164" s="21">
        <f>EXP(-LN(2)/2)*AB163+(1-EXP(-LN(2)/2))/(LN(2)/2)*V164*Y164*VLOOKUP('Données projet'!$B$9,Paramètres!$A$1:$I$89,3,0)*0.475*44/12</f>
        <v>3.7096848571075938E-19</v>
      </c>
      <c r="AC164" s="22">
        <f t="shared" si="163"/>
        <v>8.5609531098648777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-5.6843418860808015E-14</v>
      </c>
      <c r="AJ164" s="13">
        <f>AI164*VLOOKUP('Données projet'!$B$10,Paramètres!$A$1:$I$89,3,0)*VLOOKUP('Données projet'!$B$10,Paramètres!$A$1:$I$89,5,0)</f>
        <v>-6.2073013396002344E-14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223.92539057016376</v>
      </c>
      <c r="AO164" s="59">
        <f t="shared" si="144"/>
        <v>94.125825809616856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49.330930499139306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49.330930499139306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-5.6843418860808015E-14</v>
      </c>
      <c r="BE164" s="13">
        <f>BD164*VLOOKUP('Données projet'!$B$11,Paramètres!$A$1:$I$89,3,0)*VLOOKUP('Données projet'!$B$11,Paramètres!$A$1:$I$89,5,0)</f>
        <v>-6.4733285398688169E-14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236.39682613502913</v>
      </c>
      <c r="BJ164" s="59">
        <f t="shared" si="146"/>
        <v>99.639724892155641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51.445113234816716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51.445113234816716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-5.6843418860808015E-14</v>
      </c>
      <c r="CU164" s="17">
        <f>CT164*VLOOKUP('Données projet'!$B$13,Paramètres!$A$1:$I$89,3,0)*VLOOKUP('Données projet'!$B$13,Paramètres!$A$1:$I$89,5,0)</f>
        <v>-4.7884896048344674E-14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157.20393815370375</v>
      </c>
      <c r="CZ164" s="59">
        <f t="shared" si="150"/>
        <v>64.616965816756363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38.055289242193183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38.055289242193183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-1.1368683772161603E-13</v>
      </c>
      <c r="DP164" s="17">
        <f>DO164*VLOOKUP('Données projet'!$B$14,Paramètres!$A$1:$I$89,3,0)*VLOOKUP('Données projet'!$B$14,Paramètres!$A$1:$I$89,5,0)</f>
        <v>-9.2222762759774927E-14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221.78186926953776</v>
      </c>
      <c r="DU164" s="59">
        <f t="shared" si="152"/>
        <v>276.69392352410654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13.454735498824039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13.454735498824039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-5.6843418860808015E-14</v>
      </c>
      <c r="EK164" s="17">
        <f>EJ164*VLOOKUP('Données projet'!$B$15,Paramètres!$A$1:$I$89,3,0)*VLOOKUP('Données projet'!$B$15,Paramètres!$A$1:$I$89,5,0)</f>
        <v>-6.1186256061773749E-14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219.76574638403434</v>
      </c>
      <c r="EP164" s="59">
        <f t="shared" si="154"/>
        <v>92.286636088269972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48.626202920580162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48.626202920580162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>
        <f>FE164*VLOOKUP('Données projet'!$B$16,Paramètres!$A$1:$I$89,3,0)*VLOOKUP('Données projet'!$B$16,Paramètres!$A$1:$I$89,5,0)</f>
        <v>0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86.164294406232727</v>
      </c>
      <c r="FK164" s="59">
        <f t="shared" si="156"/>
        <v>138.91188401562334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8.5115707661337705</v>
      </c>
      <c r="FR164" s="21">
        <f>EXP(-LN(2)/25)*FR163+(1-EXP(-LN(2)/25))/(LN(2)/25)*Calculateur!FM164*Calculateur!FO164*VLOOKUP('Données projet'!$B$16,Paramètres!$A$1:$I$89,3,0)*0.475*44/12</f>
        <v>2.5182004020631323</v>
      </c>
      <c r="FS164" s="21">
        <f>EXP(-LN(2)/2)*FS163+(1-EXP(-LN(2)/2))/(LN(2)/2)*FM164*FP164*VLOOKUP('Données projet'!$B$16,Paramètres!$A$1:$I$89,3,0)*0.475*44/12</f>
        <v>2.2104436001893728E-14</v>
      </c>
      <c r="FT164" s="22">
        <f t="shared" si="184"/>
        <v>11.029771168196923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150.21793637331223</v>
      </c>
      <c r="T165" s="59">
        <f t="shared" si="142"/>
        <v>364.59164590134486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7.8087837060220355</v>
      </c>
      <c r="AA165" s="21">
        <f>EXP(-LN(2)/25)*AA164+(1-EXP(-LN(2)/25))/(LN(2)/25)*Calculateur!V165*Calculateur!X165*VLOOKUP('Données projet'!$B$9,Paramètres!$A$1:$I$89,3,0)*0.475*44/12</f>
        <v>0.57968402588144285</v>
      </c>
      <c r="AB165" s="21">
        <f>EXP(-LN(2)/2)*AB164+(1-EXP(-LN(2)/2))/(LN(2)/2)*V165*Y165*VLOOKUP('Données projet'!$B$9,Paramètres!$A$1:$I$89,3,0)*0.475*44/12</f>
        <v>2.6231433185258281E-19</v>
      </c>
      <c r="AC165" s="22">
        <f t="shared" si="163"/>
        <v>8.3884677319034786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-5.6843418860808015E-14</v>
      </c>
      <c r="AJ165" s="13">
        <f>AI165*VLOOKUP('Données projet'!$B$10,Paramètres!$A$1:$I$89,3,0)*VLOOKUP('Données projet'!$B$10,Paramètres!$A$1:$I$89,5,0)</f>
        <v>-6.2073013396002344E-14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223.92539057016376</v>
      </c>
      <c r="AO165" s="59">
        <f t="shared" si="144"/>
        <v>94.125825809616856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48.363581040947757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48.363581040947757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-5.6843418860808015E-14</v>
      </c>
      <c r="BE165" s="13">
        <f>BD165*VLOOKUP('Données projet'!$B$11,Paramètres!$A$1:$I$89,3,0)*VLOOKUP('Données projet'!$B$11,Paramètres!$A$1:$I$89,5,0)</f>
        <v>-6.4733285398688169E-14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236.39682613502913</v>
      </c>
      <c r="BJ165" s="59">
        <f t="shared" si="146"/>
        <v>99.639724892155641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50.436305942702674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50.436305942702674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-5.6843418860808015E-14</v>
      </c>
      <c r="CU165" s="17">
        <f>CT165*VLOOKUP('Données projet'!$B$13,Paramètres!$A$1:$I$89,3,0)*VLOOKUP('Données projet'!$B$13,Paramètres!$A$1:$I$89,5,0)</f>
        <v>-4.7884896048344674E-14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157.20393815370375</v>
      </c>
      <c r="CZ165" s="59">
        <f t="shared" si="150"/>
        <v>64.616965816756363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37.309048231588271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37.309048231588271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-1.1368683772161603E-13</v>
      </c>
      <c r="DP165" s="17">
        <f>DO165*VLOOKUP('Données projet'!$B$14,Paramètres!$A$1:$I$89,3,0)*VLOOKUP('Données projet'!$B$14,Paramètres!$A$1:$I$89,5,0)</f>
        <v>-9.2222762759774927E-14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221.78186926953776</v>
      </c>
      <c r="DU165" s="59">
        <f t="shared" si="152"/>
        <v>276.69392352410654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13.190896342270422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13.190896342270422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-5.6843418860808015E-14</v>
      </c>
      <c r="EK165" s="17">
        <f>EJ165*VLOOKUP('Données projet'!$B$15,Paramètres!$A$1:$I$89,3,0)*VLOOKUP('Données projet'!$B$15,Paramètres!$A$1:$I$89,5,0)</f>
        <v>-6.1186256061773749E-14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219.76574638403434</v>
      </c>
      <c r="EP165" s="59">
        <f t="shared" si="154"/>
        <v>92.286636088269972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47.672672740362778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47.672672740362778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>
        <f>FE165*VLOOKUP('Données projet'!$B$16,Paramètres!$A$1:$I$89,3,0)*VLOOKUP('Données projet'!$B$16,Paramètres!$A$1:$I$89,5,0)</f>
        <v>0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86.164294406232727</v>
      </c>
      <c r="FK165" s="59">
        <f t="shared" si="156"/>
        <v>138.91188401562334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8.3446640549554321</v>
      </c>
      <c r="FR165" s="21">
        <f>EXP(-LN(2)/25)*FR164+(1-EXP(-LN(2)/25))/(LN(2)/25)*Calculateur!FM165*Calculateur!FO165*VLOOKUP('Données projet'!$B$16,Paramètres!$A$1:$I$89,3,0)*0.475*44/12</f>
        <v>2.4493400796423122</v>
      </c>
      <c r="FS165" s="21">
        <f>EXP(-LN(2)/2)*FS164+(1-EXP(-LN(2)/2))/(LN(2)/2)*FM165*FP165*VLOOKUP('Données projet'!$B$16,Paramètres!$A$1:$I$89,3,0)*0.475*44/12</f>
        <v>1.5630196591243112E-14</v>
      </c>
      <c r="FT165" s="22">
        <f t="shared" si="184"/>
        <v>10.79400413459776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150.21793637331223</v>
      </c>
      <c r="T166" s="59">
        <f t="shared" si="142"/>
        <v>364.59164590134486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7.6556582204347077</v>
      </c>
      <c r="AA166" s="21">
        <f>EXP(-LN(2)/25)*AA165+(1-EXP(-LN(2)/25))/(LN(2)/25)*Calculateur!V166*Calculateur!X166*VLOOKUP('Données projet'!$B$9,Paramètres!$A$1:$I$89,3,0)*0.475*44/12</f>
        <v>0.56383253570945679</v>
      </c>
      <c r="AB166" s="21">
        <f>EXP(-LN(2)/2)*AB165+(1-EXP(-LN(2)/2))/(LN(2)/2)*V166*Y166*VLOOKUP('Données projet'!$B$9,Paramètres!$A$1:$I$89,3,0)*0.475*44/12</f>
        <v>1.8548424285537969E-19</v>
      </c>
      <c r="AC166" s="22">
        <f t="shared" si="163"/>
        <v>8.2194907561441646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-5.6843418860808015E-14</v>
      </c>
      <c r="AJ166" s="13">
        <f>AI166*VLOOKUP('Données projet'!$B$10,Paramètres!$A$1:$I$89,3,0)*VLOOKUP('Données projet'!$B$10,Paramètres!$A$1:$I$89,5,0)</f>
        <v>-6.2073013396002344E-14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223.92539057016376</v>
      </c>
      <c r="AO166" s="59">
        <f t="shared" si="144"/>
        <v>94.125825809616856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47.415200715606431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47.415200715606431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-5.6843418860808015E-14</v>
      </c>
      <c r="BE166" s="13">
        <f>BD166*VLOOKUP('Données projet'!$B$11,Paramètres!$A$1:$I$89,3,0)*VLOOKUP('Données projet'!$B$11,Paramètres!$A$1:$I$89,5,0)</f>
        <v>-6.4733285398688169E-14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236.39682613502913</v>
      </c>
      <c r="BJ166" s="59">
        <f t="shared" si="146"/>
        <v>99.639724892155641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49.447280746275297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49.447280746275297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-5.6843418860808015E-14</v>
      </c>
      <c r="CU166" s="17">
        <f>CT166*VLOOKUP('Données projet'!$B$13,Paramètres!$A$1:$I$89,3,0)*VLOOKUP('Données projet'!$B$13,Paramètres!$A$1:$I$89,5,0)</f>
        <v>-4.7884896048344674E-14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157.20393815370375</v>
      </c>
      <c r="CZ166" s="59">
        <f t="shared" si="150"/>
        <v>64.616965816756363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36.577440552039249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36.577440552039249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-1.1368683772161603E-13</v>
      </c>
      <c r="DP166" s="17">
        <f>DO166*VLOOKUP('Données projet'!$B$14,Paramètres!$A$1:$I$89,3,0)*VLOOKUP('Données projet'!$B$14,Paramètres!$A$1:$I$89,5,0)</f>
        <v>-9.2222762759774927E-14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221.78186926953776</v>
      </c>
      <c r="DU166" s="59">
        <f t="shared" si="152"/>
        <v>276.69392352410654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12.932230910650826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12.932230910650826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-5.6843418860808015E-14</v>
      </c>
      <c r="EK166" s="17">
        <f>EJ166*VLOOKUP('Données projet'!$B$15,Paramètres!$A$1:$I$89,3,0)*VLOOKUP('Données projet'!$B$15,Paramètres!$A$1:$I$89,5,0)</f>
        <v>-6.1186256061773749E-14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219.76574638403434</v>
      </c>
      <c r="EP166" s="59">
        <f t="shared" si="154"/>
        <v>92.286636088269972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46.737840705383476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46.737840705383476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>
        <f>FE166*VLOOKUP('Données projet'!$B$16,Paramètres!$A$1:$I$89,3,0)*VLOOKUP('Données projet'!$B$16,Paramètres!$A$1:$I$89,5,0)</f>
        <v>0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86.164294406232727</v>
      </c>
      <c r="FK166" s="59">
        <f t="shared" si="156"/>
        <v>138.91188401562334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8.1810302825802594</v>
      </c>
      <c r="FR166" s="21">
        <f>EXP(-LN(2)/25)*FR165+(1-EXP(-LN(2)/25))/(LN(2)/25)*Calculateur!FM166*Calculateur!FO166*VLOOKUP('Données projet'!$B$16,Paramètres!$A$1:$I$89,3,0)*0.475*44/12</f>
        <v>2.3823627463592962</v>
      </c>
      <c r="FS166" s="21">
        <f>EXP(-LN(2)/2)*FS165+(1-EXP(-LN(2)/2))/(LN(2)/2)*FM166*FP166*VLOOKUP('Données projet'!$B$16,Paramètres!$A$1:$I$89,3,0)*0.475*44/12</f>
        <v>1.1052218000946864E-14</v>
      </c>
      <c r="FT166" s="22">
        <f t="shared" si="184"/>
        <v>10.563393028939567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150.21793637331223</v>
      </c>
      <c r="T167" s="59">
        <f t="shared" si="142"/>
        <v>364.59164590134486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7.5055354322224233</v>
      </c>
      <c r="AA167" s="21">
        <f>EXP(-LN(2)/25)*AA166+(1-EXP(-LN(2)/25))/(LN(2)/25)*Calculateur!V167*Calculateur!X167*VLOOKUP('Données projet'!$B$9,Paramètres!$A$1:$I$89,3,0)*0.475*44/12</f>
        <v>0.54841450536981728</v>
      </c>
      <c r="AB167" s="21">
        <f>EXP(-LN(2)/2)*AB166+(1-EXP(-LN(2)/2))/(LN(2)/2)*V167*Y167*VLOOKUP('Données projet'!$B$9,Paramètres!$A$1:$I$89,3,0)*0.475*44/12</f>
        <v>1.3115716592629141E-19</v>
      </c>
      <c r="AC167" s="22">
        <f t="shared" si="163"/>
        <v>8.0539499375922396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-5.6843418860808015E-14</v>
      </c>
      <c r="AJ167" s="13">
        <f>AI167*VLOOKUP('Données projet'!$B$10,Paramètres!$A$1:$I$89,3,0)*VLOOKUP('Données projet'!$B$10,Paramètres!$A$1:$I$89,5,0)</f>
        <v>-6.2073013396002344E-14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223.92539057016376</v>
      </c>
      <c r="AO167" s="59">
        <f t="shared" si="144"/>
        <v>94.125825809616856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46.485417549990174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46.485417549990174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-5.6843418860808015E-14</v>
      </c>
      <c r="BE167" s="13">
        <f>BD167*VLOOKUP('Données projet'!$B$11,Paramètres!$A$1:$I$89,3,0)*VLOOKUP('Données projet'!$B$11,Paramètres!$A$1:$I$89,5,0)</f>
        <v>-6.4733285398688169E-14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236.39682613502913</v>
      </c>
      <c r="BJ167" s="59">
        <f t="shared" si="146"/>
        <v>99.639724892155641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48.477649730704051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48.477649730704051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-5.6843418860808015E-14</v>
      </c>
      <c r="CU167" s="17">
        <f>CT167*VLOOKUP('Données projet'!$B$13,Paramètres!$A$1:$I$89,3,0)*VLOOKUP('Données projet'!$B$13,Paramètres!$A$1:$I$89,5,0)</f>
        <v>-4.7884896048344674E-14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157.20393815370375</v>
      </c>
      <c r="CZ167" s="59">
        <f t="shared" si="150"/>
        <v>64.616965816756363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35.860179252849562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35.860179252849562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-1.1368683772161603E-13</v>
      </c>
      <c r="DP167" s="17">
        <f>DO167*VLOOKUP('Données projet'!$B$14,Paramètres!$A$1:$I$89,3,0)*VLOOKUP('Données projet'!$B$14,Paramètres!$A$1:$I$89,5,0)</f>
        <v>-9.2222762759774927E-14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221.78186926953776</v>
      </c>
      <c r="DU167" s="59">
        <f t="shared" si="152"/>
        <v>276.69392352410654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12.678637750374955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12.678637750374955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-5.6843418860808015E-14</v>
      </c>
      <c r="EK167" s="17">
        <f>EJ167*VLOOKUP('Données projet'!$B$15,Paramètres!$A$1:$I$89,3,0)*VLOOKUP('Données projet'!$B$15,Paramètres!$A$1:$I$89,5,0)</f>
        <v>-6.1186256061773749E-14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219.76574638403434</v>
      </c>
      <c r="EP167" s="59">
        <f t="shared" si="154"/>
        <v>92.286636088269972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45.821340156418877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45.821340156418877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>
        <f>FE167*VLOOKUP('Données projet'!$B$16,Paramètres!$A$1:$I$89,3,0)*VLOOKUP('Données projet'!$B$16,Paramètres!$A$1:$I$89,5,0)</f>
        <v>0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86.164294406232727</v>
      </c>
      <c r="FK167" s="59">
        <f t="shared" si="156"/>
        <v>138.91188401562334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8.0206052686746183</v>
      </c>
      <c r="FR167" s="21">
        <f>EXP(-LN(2)/25)*FR166+(1-EXP(-LN(2)/25))/(LN(2)/25)*Calculateur!FM167*Calculateur!FO167*VLOOKUP('Données projet'!$B$16,Paramètres!$A$1:$I$89,3,0)*0.475*44/12</f>
        <v>2.3172169117770895</v>
      </c>
      <c r="FS167" s="21">
        <f>EXP(-LN(2)/2)*FS166+(1-EXP(-LN(2)/2))/(LN(2)/2)*FM167*FP167*VLOOKUP('Données projet'!$B$16,Paramètres!$A$1:$I$89,3,0)*0.475*44/12</f>
        <v>7.815098295621556E-15</v>
      </c>
      <c r="FT167" s="22">
        <f t="shared" si="184"/>
        <v>10.337822180451715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150.21793637331223</v>
      </c>
      <c r="T168" s="59">
        <f t="shared" si="142"/>
        <v>364.59164590134486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7.3583564603211231</v>
      </c>
      <c r="AA168" s="21">
        <f>EXP(-LN(2)/25)*AA167+(1-EXP(-LN(2)/25))/(LN(2)/25)*Calculateur!V168*Calculateur!X168*VLOOKUP('Données projet'!$B$9,Paramètres!$A$1:$I$89,3,0)*0.475*44/12</f>
        <v>0.53341808188061424</v>
      </c>
      <c r="AB168" s="21">
        <f>EXP(-LN(2)/2)*AB167+(1-EXP(-LN(2)/2))/(LN(2)/2)*V168*Y168*VLOOKUP('Données projet'!$B$9,Paramètres!$A$1:$I$89,3,0)*0.475*44/12</f>
        <v>9.2742121427689844E-20</v>
      </c>
      <c r="AC168" s="22">
        <f t="shared" si="163"/>
        <v>7.8917745422017376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-5.6843418860808015E-14</v>
      </c>
      <c r="AJ168" s="13">
        <f>AI168*VLOOKUP('Données projet'!$B$10,Paramètres!$A$1:$I$89,3,0)*VLOOKUP('Données projet'!$B$10,Paramètres!$A$1:$I$89,5,0)</f>
        <v>-6.2073013396002344E-14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223.92539057016376</v>
      </c>
      <c r="AO168" s="59">
        <f t="shared" si="144"/>
        <v>94.125825809616856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45.573866865139919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45.573866865139919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-5.6843418860808015E-14</v>
      </c>
      <c r="BE168" s="13">
        <f>BD168*VLOOKUP('Données projet'!$B$11,Paramètres!$A$1:$I$89,3,0)*VLOOKUP('Données projet'!$B$11,Paramètres!$A$1:$I$89,5,0)</f>
        <v>-6.4733285398688169E-14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236.39682613502913</v>
      </c>
      <c r="BJ168" s="59">
        <f t="shared" si="146"/>
        <v>99.639724892155641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47.527032587931636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47.527032587931636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-5.6843418860808015E-14</v>
      </c>
      <c r="CU168" s="17">
        <f>CT168*VLOOKUP('Données projet'!$B$13,Paramètres!$A$1:$I$89,3,0)*VLOOKUP('Données projet'!$B$13,Paramètres!$A$1:$I$89,5,0)</f>
        <v>-4.7884896048344674E-14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157.20393815370375</v>
      </c>
      <c r="CZ168" s="59">
        <f t="shared" si="150"/>
        <v>64.616965816756363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35.156983010250791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35.156983010250791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-1.1368683772161603E-13</v>
      </c>
      <c r="DP168" s="17">
        <f>DO168*VLOOKUP('Données projet'!$B$14,Paramètres!$A$1:$I$89,3,0)*VLOOKUP('Données projet'!$B$14,Paramètres!$A$1:$I$89,5,0)</f>
        <v>-9.2222762759774927E-14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221.78186926953776</v>
      </c>
      <c r="DU168" s="59">
        <f t="shared" si="152"/>
        <v>276.69392352410654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12.43001739729554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12.43001739729554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-5.6843418860808015E-14</v>
      </c>
      <c r="EK168" s="17">
        <f>EJ168*VLOOKUP('Données projet'!$B$15,Paramètres!$A$1:$I$89,3,0)*VLOOKUP('Données projet'!$B$15,Paramètres!$A$1:$I$89,5,0)</f>
        <v>-6.1186256061773749E-14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219.76574638403434</v>
      </c>
      <c r="EP168" s="59">
        <f t="shared" si="154"/>
        <v>92.286636088269972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44.922811624209338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44.922811624209338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>
        <f>FE168*VLOOKUP('Données projet'!$B$16,Paramètres!$A$1:$I$89,3,0)*VLOOKUP('Données projet'!$B$16,Paramètres!$A$1:$I$89,5,0)</f>
        <v>0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86.164294406232727</v>
      </c>
      <c r="FK168" s="59">
        <f t="shared" si="156"/>
        <v>138.91188401562334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7.8633260914420697</v>
      </c>
      <c r="FR168" s="21">
        <f>EXP(-LN(2)/25)*FR167+(1-EXP(-LN(2)/25))/(LN(2)/25)*Calculateur!FM168*Calculateur!FO168*VLOOKUP('Données projet'!$B$16,Paramètres!$A$1:$I$89,3,0)*0.475*44/12</f>
        <v>2.2538524934674036</v>
      </c>
      <c r="FS168" s="21">
        <f>EXP(-LN(2)/2)*FS167+(1-EXP(-LN(2)/2))/(LN(2)/2)*FM168*FP168*VLOOKUP('Données projet'!$B$16,Paramètres!$A$1:$I$89,3,0)*0.475*44/12</f>
        <v>5.5261090004734321E-15</v>
      </c>
      <c r="FT168" s="22">
        <f t="shared" si="184"/>
        <v>10.117178584909478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150.21793637331223</v>
      </c>
      <c r="T169" s="59">
        <f t="shared" si="142"/>
        <v>364.59164590134486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7.2140635782884983</v>
      </c>
      <c r="AA169" s="21">
        <f>EXP(-LN(2)/25)*AA168+(1-EXP(-LN(2)/25))/(LN(2)/25)*Calculateur!V169*Calculateur!X169*VLOOKUP('Données projet'!$B$9,Paramètres!$A$1:$I$89,3,0)*0.475*44/12</f>
        <v>0.51883173638035107</v>
      </c>
      <c r="AB169" s="21">
        <f>EXP(-LN(2)/2)*AB168+(1-EXP(-LN(2)/2))/(LN(2)/2)*V169*Y169*VLOOKUP('Données projet'!$B$9,Paramètres!$A$1:$I$89,3,0)*0.475*44/12</f>
        <v>6.5578582963145703E-20</v>
      </c>
      <c r="AC169" s="22">
        <f t="shared" si="163"/>
        <v>7.7328953146688493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-5.6843418860808015E-14</v>
      </c>
      <c r="AJ169" s="13">
        <f>AI169*VLOOKUP('Données projet'!$B$10,Paramètres!$A$1:$I$89,3,0)*VLOOKUP('Données projet'!$B$10,Paramètres!$A$1:$I$89,5,0)</f>
        <v>-6.2073013396002344E-14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223.92539057016376</v>
      </c>
      <c r="AO169" s="59">
        <f t="shared" si="144"/>
        <v>94.125825809616856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44.680191133228554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44.680191133228554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-5.6843418860808015E-14</v>
      </c>
      <c r="BE169" s="13">
        <f>BD169*VLOOKUP('Données projet'!$B$11,Paramètres!$A$1:$I$89,3,0)*VLOOKUP('Données projet'!$B$11,Paramètres!$A$1:$I$89,5,0)</f>
        <v>-6.4733285398688169E-14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236.39682613502913</v>
      </c>
      <c r="BJ169" s="59">
        <f t="shared" si="146"/>
        <v>99.639724892155641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46.595056467509785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46.595056467509785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-5.6843418860808015E-14</v>
      </c>
      <c r="CU169" s="17">
        <f>CT169*VLOOKUP('Données projet'!$B$13,Paramètres!$A$1:$I$89,3,0)*VLOOKUP('Données projet'!$B$13,Paramètres!$A$1:$I$89,5,0)</f>
        <v>-4.7884896048344674E-14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157.20393815370375</v>
      </c>
      <c r="CZ169" s="59">
        <f t="shared" si="150"/>
        <v>64.616965816756363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34.467576017062022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34.467576017062022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-1.1368683772161603E-13</v>
      </c>
      <c r="DP169" s="17">
        <f>DO169*VLOOKUP('Données projet'!$B$14,Paramètres!$A$1:$I$89,3,0)*VLOOKUP('Données projet'!$B$14,Paramètres!$A$1:$I$89,5,0)</f>
        <v>-9.2222762759774927E-14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221.78186926953776</v>
      </c>
      <c r="DU169" s="59">
        <f t="shared" si="152"/>
        <v>276.69392352410654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12.18627233769657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12.18627233769657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-5.6843418860808015E-14</v>
      </c>
      <c r="EK169" s="17">
        <f>EJ169*VLOOKUP('Données projet'!$B$15,Paramètres!$A$1:$I$89,3,0)*VLOOKUP('Données projet'!$B$15,Paramètres!$A$1:$I$89,5,0)</f>
        <v>-6.1186256061773749E-14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219.76574638403434</v>
      </c>
      <c r="EP169" s="59">
        <f t="shared" si="154"/>
        <v>92.286636088269972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44.041902688468134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44.041902688468134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>
        <f>FE169*VLOOKUP('Données projet'!$B$16,Paramètres!$A$1:$I$89,3,0)*VLOOKUP('Données projet'!$B$16,Paramètres!$A$1:$I$89,5,0)</f>
        <v>0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86.164294406232727</v>
      </c>
      <c r="FK169" s="59">
        <f t="shared" si="156"/>
        <v>138.91188401562334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7.7091310629442251</v>
      </c>
      <c r="FR169" s="21">
        <f>EXP(-LN(2)/25)*FR168+(1-EXP(-LN(2)/25))/(LN(2)/25)*Calculateur!FM169*Calculateur!FO169*VLOOKUP('Données projet'!$B$16,Paramètres!$A$1:$I$89,3,0)*0.475*44/12</f>
        <v>2.1922207785085859</v>
      </c>
      <c r="FS169" s="21">
        <f>EXP(-LN(2)/2)*FS168+(1-EXP(-LN(2)/2))/(LN(2)/2)*FM169*FP169*VLOOKUP('Données projet'!$B$16,Paramètres!$A$1:$I$89,3,0)*0.475*44/12</f>
        <v>3.907549147810778E-15</v>
      </c>
      <c r="FT169" s="22">
        <f t="shared" si="184"/>
        <v>9.901351841452815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150.21793637331223</v>
      </c>
      <c r="T170" s="59">
        <f t="shared" si="142"/>
        <v>364.59164590134486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7.0726001916625654</v>
      </c>
      <c r="AA170" s="21">
        <f>EXP(-LN(2)/25)*AA169+(1-EXP(-LN(2)/25))/(LN(2)/25)*Calculateur!V170*Calculateur!X170*VLOOKUP('Données projet'!$B$9,Paramètres!$A$1:$I$89,3,0)*0.475*44/12</f>
        <v>0.50464425526485512</v>
      </c>
      <c r="AB170" s="21">
        <f>EXP(-LN(2)/2)*AB169+(1-EXP(-LN(2)/2))/(LN(2)/2)*V170*Y170*VLOOKUP('Données projet'!$B$9,Paramètres!$A$1:$I$89,3,0)*0.475*44/12</f>
        <v>4.6371060713844922E-20</v>
      </c>
      <c r="AC170" s="22">
        <f t="shared" si="163"/>
        <v>7.5772444469274207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-5.6843418860808015E-14</v>
      </c>
      <c r="AJ170" s="13">
        <f>AI170*VLOOKUP('Données projet'!$B$10,Paramètres!$A$1:$I$89,3,0)*VLOOKUP('Données projet'!$B$10,Paramètres!$A$1:$I$89,5,0)</f>
        <v>-6.2073013396002344E-14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223.92539057016376</v>
      </c>
      <c r="AO170" s="59">
        <f t="shared" si="144"/>
        <v>94.125825809616856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43.804039837331601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43.804039837331601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-5.6843418860808015E-14</v>
      </c>
      <c r="BE170" s="13">
        <f>BD170*VLOOKUP('Données projet'!$B$11,Paramètres!$A$1:$I$89,3,0)*VLOOKUP('Données projet'!$B$11,Paramètres!$A$1:$I$89,5,0)</f>
        <v>-6.4733285398688169E-14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236.39682613502913</v>
      </c>
      <c r="BJ170" s="59">
        <f t="shared" si="146"/>
        <v>99.639724892155641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45.681355830360104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45.681355830360104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-5.6843418860808015E-14</v>
      </c>
      <c r="CU170" s="17">
        <f>CT170*VLOOKUP('Données projet'!$B$13,Paramètres!$A$1:$I$89,3,0)*VLOOKUP('Données projet'!$B$13,Paramètres!$A$1:$I$89,5,0)</f>
        <v>-4.7884896048344674E-14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157.20393815370375</v>
      </c>
      <c r="CZ170" s="59">
        <f t="shared" si="150"/>
        <v>64.616965816756363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33.791687874512945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33.791687874512945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-1.1368683772161603E-13</v>
      </c>
      <c r="DP170" s="17">
        <f>DO170*VLOOKUP('Données projet'!$B$14,Paramètres!$A$1:$I$89,3,0)*VLOOKUP('Données projet'!$B$14,Paramètres!$A$1:$I$89,5,0)</f>
        <v>-9.2222762759774927E-14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221.78186926953776</v>
      </c>
      <c r="DU170" s="59">
        <f t="shared" si="152"/>
        <v>276.69392352410654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11.94730697004653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11.94730697004653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-5.6843418860808015E-14</v>
      </c>
      <c r="EK170" s="17">
        <f>EJ170*VLOOKUP('Données projet'!$B$15,Paramètres!$A$1:$I$89,3,0)*VLOOKUP('Données projet'!$B$15,Paramètres!$A$1:$I$89,5,0)</f>
        <v>-6.1186256061773749E-14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219.76574638403434</v>
      </c>
      <c r="EP170" s="59">
        <f t="shared" si="154"/>
        <v>92.286636088269972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43.178267839655419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43.178267839655419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>
        <f>FE170*VLOOKUP('Données projet'!$B$16,Paramètres!$A$1:$I$89,3,0)*VLOOKUP('Données projet'!$B$16,Paramètres!$A$1:$I$89,5,0)</f>
        <v>0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86.164294406232727</v>
      </c>
      <c r="FK170" s="59">
        <f t="shared" si="156"/>
        <v>138.91188401562334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7.5579597049055431</v>
      </c>
      <c r="FR170" s="21">
        <f>EXP(-LN(2)/25)*FR169+(1-EXP(-LN(2)/25))/(LN(2)/25)*Calculateur!FM170*Calculateur!FO170*VLOOKUP('Données projet'!$B$16,Paramètres!$A$1:$I$89,3,0)*0.475*44/12</f>
        <v>2.1322743860363884</v>
      </c>
      <c r="FS170" s="21">
        <f>EXP(-LN(2)/2)*FS169+(1-EXP(-LN(2)/2))/(LN(2)/2)*FM170*FP170*VLOOKUP('Données projet'!$B$16,Paramètres!$A$1:$I$89,3,0)*0.475*44/12</f>
        <v>2.763054500236716E-15</v>
      </c>
      <c r="FT170" s="22">
        <f t="shared" si="184"/>
        <v>9.6902340909419351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150.21793637331223</v>
      </c>
      <c r="T171" s="59">
        <f t="shared" si="142"/>
        <v>364.59164590134486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6.9339108157642206</v>
      </c>
      <c r="AA171" s="21">
        <f>EXP(-LN(2)/25)*AA170+(1-EXP(-LN(2)/25))/(LN(2)/25)*Calculateur!V171*Calculateur!X171*VLOOKUP('Données projet'!$B$9,Paramètres!$A$1:$I$89,3,0)*0.475*44/12</f>
        <v>0.49084473156654967</v>
      </c>
      <c r="AB171" s="21">
        <f>EXP(-LN(2)/2)*AB170+(1-EXP(-LN(2)/2))/(LN(2)/2)*V171*Y171*VLOOKUP('Données projet'!$B$9,Paramètres!$A$1:$I$89,3,0)*0.475*44/12</f>
        <v>3.2789291481572851E-20</v>
      </c>
      <c r="AC171" s="22">
        <f t="shared" si="163"/>
        <v>7.4247555473307703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-5.6843418860808015E-14</v>
      </c>
      <c r="AJ171" s="13">
        <f>AI171*VLOOKUP('Données projet'!$B$10,Paramètres!$A$1:$I$89,3,0)*VLOOKUP('Données projet'!$B$10,Paramètres!$A$1:$I$89,5,0)</f>
        <v>-6.2073013396002344E-14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223.92539057016376</v>
      </c>
      <c r="AO171" s="59">
        <f t="shared" si="144"/>
        <v>94.125825809616856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42.945069333947664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42.945069333947664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-5.6843418860808015E-14</v>
      </c>
      <c r="BE171" s="13">
        <f>BD171*VLOOKUP('Données projet'!$B$11,Paramètres!$A$1:$I$89,3,0)*VLOOKUP('Données projet'!$B$11,Paramètres!$A$1:$I$89,5,0)</f>
        <v>-6.4733285398688169E-14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236.39682613502913</v>
      </c>
      <c r="BJ171" s="59">
        <f t="shared" si="146"/>
        <v>99.639724892155641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44.785572305402567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44.785572305402567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-5.6843418860808015E-14</v>
      </c>
      <c r="CU171" s="17">
        <f>CT171*VLOOKUP('Données projet'!$B$13,Paramètres!$A$1:$I$89,3,0)*VLOOKUP('Données projet'!$B$13,Paramètres!$A$1:$I$89,5,0)</f>
        <v>-4.7884896048344674E-14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157.20393815370375</v>
      </c>
      <c r="CZ171" s="59">
        <f t="shared" si="150"/>
        <v>64.616965816756363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33.129053486188191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33.129053486188191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-1.1368683772161603E-13</v>
      </c>
      <c r="DP171" s="17">
        <f>DO171*VLOOKUP('Données projet'!$B$14,Paramètres!$A$1:$I$89,3,0)*VLOOKUP('Données projet'!$B$14,Paramètres!$A$1:$I$89,5,0)</f>
        <v>-9.2222762759774927E-14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221.78186926953776</v>
      </c>
      <c r="DU171" s="59">
        <f t="shared" si="152"/>
        <v>276.69392352410654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11.713027567501623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11.713027567501623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-5.6843418860808015E-14</v>
      </c>
      <c r="EK171" s="17">
        <f>EJ171*VLOOKUP('Données projet'!$B$15,Paramètres!$A$1:$I$89,3,0)*VLOOKUP('Données projet'!$B$15,Paramètres!$A$1:$I$89,5,0)</f>
        <v>-6.1186256061773749E-14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219.76574638403434</v>
      </c>
      <c r="EP171" s="59">
        <f t="shared" si="154"/>
        <v>92.286636088269972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42.331568343462678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42.331568343462678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>
        <f>FE171*VLOOKUP('Données projet'!$B$16,Paramètres!$A$1:$I$89,3,0)*VLOOKUP('Données projet'!$B$16,Paramètres!$A$1:$I$89,5,0)</f>
        <v>0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86.164294406232727</v>
      </c>
      <c r="FK171" s="59">
        <f t="shared" si="156"/>
        <v>138.91188401562334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7.4097527249925754</v>
      </c>
      <c r="FR171" s="21">
        <f>EXP(-LN(2)/25)*FR170+(1-EXP(-LN(2)/25))/(LN(2)/25)*Calculateur!FM171*Calculateur!FO171*VLOOKUP('Données projet'!$B$16,Paramètres!$A$1:$I$89,3,0)*0.475*44/12</f>
        <v>2.0739672308187869</v>
      </c>
      <c r="FS171" s="21">
        <f>EXP(-LN(2)/2)*FS170+(1-EXP(-LN(2)/2))/(LN(2)/2)*FM171*FP171*VLOOKUP('Données projet'!$B$16,Paramètres!$A$1:$I$89,3,0)*0.475*44/12</f>
        <v>1.953774573905389E-15</v>
      </c>
      <c r="FT171" s="22">
        <f t="shared" si="184"/>
        <v>9.483719955811365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150.21793637331223</v>
      </c>
      <c r="T172" s="59">
        <f t="shared" si="142"/>
        <v>364.59164590134486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6.7979410539350766</v>
      </c>
      <c r="AA172" s="21">
        <f>EXP(-LN(2)/25)*AA171+(1-EXP(-LN(2)/25))/(LN(2)/25)*Calculateur!V172*Calculateur!X172*VLOOKUP('Données projet'!$B$9,Paramètres!$A$1:$I$89,3,0)*0.475*44/12</f>
        <v>0.47742255656945976</v>
      </c>
      <c r="AB172" s="21">
        <f>EXP(-LN(2)/2)*AB171+(1-EXP(-LN(2)/2))/(LN(2)/2)*V172*Y172*VLOOKUP('Données projet'!$B$9,Paramètres!$A$1:$I$89,3,0)*0.475*44/12</f>
        <v>2.3185530356922461E-20</v>
      </c>
      <c r="AC172" s="22">
        <f t="shared" si="163"/>
        <v>7.2753636105045363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-5.6843418860808015E-14</v>
      </c>
      <c r="AJ172" s="13">
        <f>AI172*VLOOKUP('Données projet'!$B$10,Paramètres!$A$1:$I$89,3,0)*VLOOKUP('Données projet'!$B$10,Paramètres!$A$1:$I$89,5,0)</f>
        <v>-6.2073013396002344E-14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223.92539057016376</v>
      </c>
      <c r="AO172" s="59">
        <f t="shared" si="144"/>
        <v>94.125825809616856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42.102942718214813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42.102942718214813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-5.6843418860808015E-14</v>
      </c>
      <c r="BE172" s="13">
        <f>BD172*VLOOKUP('Données projet'!$B$11,Paramètres!$A$1:$I$89,3,0)*VLOOKUP('Données projet'!$B$11,Paramètres!$A$1:$I$89,5,0)</f>
        <v>-6.4733285398688169E-14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236.39682613502913</v>
      </c>
      <c r="BJ172" s="59">
        <f t="shared" si="146"/>
        <v>99.639724892155641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43.90735454899545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43.90735454899545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-5.6843418860808015E-14</v>
      </c>
      <c r="CU172" s="17">
        <f>CT172*VLOOKUP('Données projet'!$B$13,Paramètres!$A$1:$I$89,3,0)*VLOOKUP('Données projet'!$B$13,Paramètres!$A$1:$I$89,5,0)</f>
        <v>-4.7884896048344674E-14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157.20393815370375</v>
      </c>
      <c r="CZ172" s="59">
        <f t="shared" si="150"/>
        <v>64.616965816756363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32.479412954051419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32.479412954051419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-1.1368683772161603E-13</v>
      </c>
      <c r="DP172" s="17">
        <f>DO172*VLOOKUP('Données projet'!$B$14,Paramètres!$A$1:$I$89,3,0)*VLOOKUP('Données projet'!$B$14,Paramètres!$A$1:$I$89,5,0)</f>
        <v>-9.2222762759774927E-14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221.78186926953776</v>
      </c>
      <c r="DU172" s="59">
        <f t="shared" si="152"/>
        <v>276.69392352410654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11.483342241144298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11.483342241144298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-5.6843418860808015E-14</v>
      </c>
      <c r="EK172" s="17">
        <f>EJ172*VLOOKUP('Données projet'!$B$15,Paramètres!$A$1:$I$89,3,0)*VLOOKUP('Données projet'!$B$15,Paramètres!$A$1:$I$89,5,0)</f>
        <v>-6.1186256061773749E-14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219.76574638403434</v>
      </c>
      <c r="EP172" s="59">
        <f t="shared" si="154"/>
        <v>92.286636088269972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41.501472107954577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41.501472107954577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>
        <f>FE172*VLOOKUP('Données projet'!$B$16,Paramètres!$A$1:$I$89,3,0)*VLOOKUP('Données projet'!$B$16,Paramètres!$A$1:$I$89,5,0)</f>
        <v>0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86.164294406232727</v>
      </c>
      <c r="FK172" s="59">
        <f t="shared" si="156"/>
        <v>138.91188401562334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7.2644519935583691</v>
      </c>
      <c r="FR172" s="21">
        <f>EXP(-LN(2)/25)*FR171+(1-EXP(-LN(2)/25))/(LN(2)/25)*Calculateur!FM172*Calculateur!FO172*VLOOKUP('Données projet'!$B$16,Paramètres!$A$1:$I$89,3,0)*0.475*44/12</f>
        <v>2.0172544878268508</v>
      </c>
      <c r="FS172" s="21">
        <f>EXP(-LN(2)/2)*FS171+(1-EXP(-LN(2)/2))/(LN(2)/2)*FM172*FP172*VLOOKUP('Données projet'!$B$16,Paramètres!$A$1:$I$89,3,0)*0.475*44/12</f>
        <v>1.381527250118358E-15</v>
      </c>
      <c r="FT172" s="22">
        <f t="shared" si="184"/>
        <v>9.2817064813852213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150.21793637331223</v>
      </c>
      <c r="T173" s="59">
        <f t="shared" si="142"/>
        <v>364.59164590134486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6.6646375762020362</v>
      </c>
      <c r="AA173" s="21">
        <f>EXP(-LN(2)/25)*AA172+(1-EXP(-LN(2)/25))/(LN(2)/25)*Calculateur!V173*Calculateur!X173*VLOOKUP('Données projet'!$B$9,Paramètres!$A$1:$I$89,3,0)*0.475*44/12</f>
        <v>0.46436741165350681</v>
      </c>
      <c r="AB173" s="21">
        <f>EXP(-LN(2)/2)*AB172+(1-EXP(-LN(2)/2))/(LN(2)/2)*V173*Y173*VLOOKUP('Données projet'!$B$9,Paramètres!$A$1:$I$89,3,0)*0.475*44/12</f>
        <v>1.6394645740786426E-20</v>
      </c>
      <c r="AC173" s="22">
        <f t="shared" si="163"/>
        <v>7.1290049878555433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-5.6843418860808015E-14</v>
      </c>
      <c r="AJ173" s="13">
        <f>AI173*VLOOKUP('Données projet'!$B$10,Paramètres!$A$1:$I$89,3,0)*VLOOKUP('Données projet'!$B$10,Paramètres!$A$1:$I$89,5,0)</f>
        <v>-6.2073013396002344E-14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223.92539057016376</v>
      </c>
      <c r="AO173" s="59">
        <f t="shared" si="144"/>
        <v>94.125825809616856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41.277329691769964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41.277329691769964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-5.6843418860808015E-14</v>
      </c>
      <c r="BE173" s="13">
        <f>BD173*VLOOKUP('Données projet'!$B$11,Paramètres!$A$1:$I$89,3,0)*VLOOKUP('Données projet'!$B$11,Paramètres!$A$1:$I$89,5,0)</f>
        <v>-6.4733285398688169E-14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236.39682613502913</v>
      </c>
      <c r="BJ173" s="59">
        <f t="shared" si="146"/>
        <v>99.639724892155641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43.046358107131539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43.046358107131539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-5.6843418860808015E-14</v>
      </c>
      <c r="CU173" s="17">
        <f>CT173*VLOOKUP('Données projet'!$B$13,Paramètres!$A$1:$I$89,3,0)*VLOOKUP('Données projet'!$B$13,Paramètres!$A$1:$I$89,5,0)</f>
        <v>-4.7884896048344674E-14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157.20393815370375</v>
      </c>
      <c r="CZ173" s="59">
        <f t="shared" si="150"/>
        <v>64.616965816756363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31.84251147650825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31.84251147650825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-1.1368683772161603E-13</v>
      </c>
      <c r="DP173" s="17">
        <f>DO173*VLOOKUP('Données projet'!$B$14,Paramètres!$A$1:$I$89,3,0)*VLOOKUP('Données projet'!$B$14,Paramètres!$A$1:$I$89,5,0)</f>
        <v>-9.2222762759774927E-14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221.78186926953776</v>
      </c>
      <c r="DU173" s="59">
        <f t="shared" si="152"/>
        <v>276.69392352410654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11.258160903942622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11.258160903942622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-5.6843418860808015E-14</v>
      </c>
      <c r="EK173" s="17">
        <f>EJ173*VLOOKUP('Données projet'!$B$15,Paramètres!$A$1:$I$89,3,0)*VLOOKUP('Données projet'!$B$15,Paramètres!$A$1:$I$89,5,0)</f>
        <v>-6.1186256061773749E-14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219.76574638403434</v>
      </c>
      <c r="EP173" s="59">
        <f t="shared" si="154"/>
        <v>92.286636088269972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40.687653553316082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40.687653553316082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>
        <f>FE173*VLOOKUP('Données projet'!$B$16,Paramètres!$A$1:$I$89,3,0)*VLOOKUP('Données projet'!$B$16,Paramètres!$A$1:$I$89,5,0)</f>
        <v>0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86.164294406232727</v>
      </c>
      <c r="FK173" s="59">
        <f t="shared" si="156"/>
        <v>138.91188401562334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7.1220005208428923</v>
      </c>
      <c r="FR173" s="21">
        <f>EXP(-LN(2)/25)*FR172+(1-EXP(-LN(2)/25))/(LN(2)/25)*Calculateur!FM173*Calculateur!FO173*VLOOKUP('Données projet'!$B$16,Paramètres!$A$1:$I$89,3,0)*0.475*44/12</f>
        <v>1.9620925577744226</v>
      </c>
      <c r="FS173" s="21">
        <f>EXP(-LN(2)/2)*FS172+(1-EXP(-LN(2)/2))/(LN(2)/2)*FM173*FP173*VLOOKUP('Données projet'!$B$16,Paramètres!$A$1:$I$89,3,0)*0.475*44/12</f>
        <v>9.768872869526945E-16</v>
      </c>
      <c r="FT173" s="22">
        <f t="shared" si="184"/>
        <v>9.0840930786173164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150.21793637331223</v>
      </c>
      <c r="T174" s="59">
        <f t="shared" si="142"/>
        <v>364.59164590134486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6.5339480983602476</v>
      </c>
      <c r="AA174" s="21">
        <f>EXP(-LN(2)/25)*AA173+(1-EXP(-LN(2)/25))/(LN(2)/25)*Calculateur!V174*Calculateur!X174*VLOOKUP('Données projet'!$B$9,Paramètres!$A$1:$I$89,3,0)*0.475*44/12</f>
        <v>0.45166926036182081</v>
      </c>
      <c r="AB174" s="21">
        <f>EXP(-LN(2)/2)*AB173+(1-EXP(-LN(2)/2))/(LN(2)/2)*V174*Y174*VLOOKUP('Données projet'!$B$9,Paramètres!$A$1:$I$89,3,0)*0.475*44/12</f>
        <v>1.159276517846123E-20</v>
      </c>
      <c r="AC174" s="22">
        <f t="shared" si="163"/>
        <v>6.9856173587220685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-5.6843418860808015E-14</v>
      </c>
      <c r="AJ174" s="13">
        <f>AI174*VLOOKUP('Données projet'!$B$10,Paramètres!$A$1:$I$89,3,0)*VLOOKUP('Données projet'!$B$10,Paramètres!$A$1:$I$89,5,0)</f>
        <v>-6.2073013396002344E-14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223.92539057016376</v>
      </c>
      <c r="AO174" s="59">
        <f t="shared" si="144"/>
        <v>94.125825809616856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40.467906433199474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40.467906433199474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-5.6843418860808015E-14</v>
      </c>
      <c r="BE174" s="13">
        <f>BD174*VLOOKUP('Données projet'!$B$11,Paramètres!$A$1:$I$89,3,0)*VLOOKUP('Données projet'!$B$11,Paramètres!$A$1:$I$89,5,0)</f>
        <v>-6.4733285398688169E-14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236.39682613502913</v>
      </c>
      <c r="BJ174" s="59">
        <f t="shared" si="146"/>
        <v>99.639724892155641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42.202245280336598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42.202245280336598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-5.6843418860808015E-14</v>
      </c>
      <c r="CU174" s="17">
        <f>CT174*VLOOKUP('Données projet'!$B$13,Paramètres!$A$1:$I$89,3,0)*VLOOKUP('Données projet'!$B$13,Paramètres!$A$1:$I$89,5,0)</f>
        <v>-4.7884896048344674E-14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157.20393815370375</v>
      </c>
      <c r="CZ174" s="59">
        <f t="shared" si="150"/>
        <v>64.616965816756363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31.21809924846816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31.21809924846816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-1.1368683772161603E-13</v>
      </c>
      <c r="DP174" s="17">
        <f>DO174*VLOOKUP('Données projet'!$B$14,Paramètres!$A$1:$I$89,3,0)*VLOOKUP('Données projet'!$B$14,Paramètres!$A$1:$I$89,5,0)</f>
        <v>-9.2222762759774927E-14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221.78186926953776</v>
      </c>
      <c r="DU174" s="59">
        <f t="shared" si="152"/>
        <v>276.69392352410654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11.037395235416419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11.037395235416419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-5.6843418860808015E-14</v>
      </c>
      <c r="EK174" s="17">
        <f>EJ174*VLOOKUP('Données projet'!$B$15,Paramètres!$A$1:$I$89,3,0)*VLOOKUP('Données projet'!$B$15,Paramètres!$A$1:$I$89,5,0)</f>
        <v>-6.1186256061773749E-14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219.76574638403434</v>
      </c>
      <c r="EP174" s="59">
        <f t="shared" si="154"/>
        <v>92.286636088269972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39.889793484153742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39.889793484153742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>
        <f>FE174*VLOOKUP('Données projet'!$B$16,Paramètres!$A$1:$I$89,3,0)*VLOOKUP('Données projet'!$B$16,Paramètres!$A$1:$I$89,5,0)</f>
        <v>0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86.164294406232727</v>
      </c>
      <c r="FK174" s="59">
        <f t="shared" si="156"/>
        <v>138.91188401562334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6.9823424346205476</v>
      </c>
      <c r="FR174" s="21">
        <f>EXP(-LN(2)/25)*FR173+(1-EXP(-LN(2)/25))/(LN(2)/25)*Calculateur!FM174*Calculateur!FO174*VLOOKUP('Données projet'!$B$16,Paramètres!$A$1:$I$89,3,0)*0.475*44/12</f>
        <v>1.9084390336001178</v>
      </c>
      <c r="FS174" s="21">
        <f>EXP(-LN(2)/2)*FS173+(1-EXP(-LN(2)/2))/(LN(2)/2)*FM174*FP174*VLOOKUP('Données projet'!$B$16,Paramètres!$A$1:$I$89,3,0)*0.475*44/12</f>
        <v>6.9076362505917901E-16</v>
      </c>
      <c r="FT174" s="22">
        <f t="shared" si="184"/>
        <v>8.8907814682206663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150.21793637331223</v>
      </c>
      <c r="T175" s="59">
        <f t="shared" si="142"/>
        <v>364.59164590134486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6.4058213614662263</v>
      </c>
      <c r="AA175" s="21">
        <f>EXP(-LN(2)/25)*AA174+(1-EXP(-LN(2)/25))/(LN(2)/25)*Calculateur!V175*Calculateur!X175*VLOOKUP('Données projet'!$B$9,Paramètres!$A$1:$I$89,3,0)*0.475*44/12</f>
        <v>0.43931834068497272</v>
      </c>
      <c r="AB175" s="21">
        <f>EXP(-LN(2)/2)*AB174+(1-EXP(-LN(2)/2))/(LN(2)/2)*V175*Y175*VLOOKUP('Données projet'!$B$9,Paramètres!$A$1:$I$89,3,0)*0.475*44/12</f>
        <v>8.1973228703932128E-21</v>
      </c>
      <c r="AC175" s="22">
        <f t="shared" si="163"/>
        <v>6.845139702151199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-5.6843418860808015E-14</v>
      </c>
      <c r="AJ175" s="13">
        <f>AI175*VLOOKUP('Données projet'!$B$10,Paramètres!$A$1:$I$89,3,0)*VLOOKUP('Données projet'!$B$10,Paramètres!$A$1:$I$89,5,0)</f>
        <v>-6.2073013396002344E-14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223.92539057016376</v>
      </c>
      <c r="AO175" s="59">
        <f t="shared" si="144"/>
        <v>94.125825809616856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39.674355471030111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39.674355471030111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-5.6843418860808015E-14</v>
      </c>
      <c r="BE175" s="13">
        <f>BD175*VLOOKUP('Données projet'!$B$11,Paramètres!$A$1:$I$89,3,0)*VLOOKUP('Données projet'!$B$11,Paramètres!$A$1:$I$89,5,0)</f>
        <v>-6.4733285398688169E-14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236.39682613502913</v>
      </c>
      <c r="BJ175" s="59">
        <f t="shared" si="146"/>
        <v>99.639724892155641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41.374684991217123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41.374684991217123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-5.6843418860808015E-14</v>
      </c>
      <c r="CU175" s="17">
        <f>CT175*VLOOKUP('Données projet'!$B$13,Paramètres!$A$1:$I$89,3,0)*VLOOKUP('Données projet'!$B$13,Paramètres!$A$1:$I$89,5,0)</f>
        <v>-4.7884896048344674E-14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157.20393815370375</v>
      </c>
      <c r="CZ175" s="59">
        <f t="shared" si="150"/>
        <v>64.616965816756363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30.605931363366082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30.605931363366082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-1.1368683772161603E-13</v>
      </c>
      <c r="DP175" s="17">
        <f>DO175*VLOOKUP('Données projet'!$B$14,Paramètres!$A$1:$I$89,3,0)*VLOOKUP('Données projet'!$B$14,Paramètres!$A$1:$I$89,5,0)</f>
        <v>-9.2222762759774927E-14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221.78186926953776</v>
      </c>
      <c r="DU175" s="59">
        <f t="shared" si="152"/>
        <v>276.69392352410654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10.820958646996253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10.820958646996253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-5.6843418860808015E-14</v>
      </c>
      <c r="EK175" s="17">
        <f>EJ175*VLOOKUP('Données projet'!$B$15,Paramètres!$A$1:$I$89,3,0)*VLOOKUP('Données projet'!$B$15,Paramètres!$A$1:$I$89,5,0)</f>
        <v>-6.1186256061773749E-14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219.76574638403434</v>
      </c>
      <c r="EP175" s="59">
        <f t="shared" si="154"/>
        <v>92.286636088269972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39.107578964301091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39.107578964301091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>
        <f>FE175*VLOOKUP('Données projet'!$B$16,Paramètres!$A$1:$I$89,3,0)*VLOOKUP('Données projet'!$B$16,Paramètres!$A$1:$I$89,5,0)</f>
        <v>0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86.164294406232727</v>
      </c>
      <c r="FK175" s="59">
        <f t="shared" si="156"/>
        <v>138.91188401562334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6.8454229582860018</v>
      </c>
      <c r="FR175" s="21">
        <f>EXP(-LN(2)/25)*FR174+(1-EXP(-LN(2)/25))/(LN(2)/25)*Calculateur!FM175*Calculateur!FO175*VLOOKUP('Données projet'!$B$16,Paramètres!$A$1:$I$89,3,0)*0.475*44/12</f>
        <v>1.8562526678658755</v>
      </c>
      <c r="FS175" s="21">
        <f>EXP(-LN(2)/2)*FS174+(1-EXP(-LN(2)/2))/(LN(2)/2)*FM175*FP175*VLOOKUP('Données projet'!$B$16,Paramètres!$A$1:$I$89,3,0)*0.475*44/12</f>
        <v>4.8844364347634725E-16</v>
      </c>
      <c r="FT175" s="22">
        <f t="shared" si="184"/>
        <v>8.7016756261518768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150.21793637331223</v>
      </c>
      <c r="T176" s="59">
        <f t="shared" si="142"/>
        <v>364.59164590134486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6.2802071117331035</v>
      </c>
      <c r="AA176" s="21">
        <f>EXP(-LN(2)/25)*AA175+(1-EXP(-LN(2)/25))/(LN(2)/25)*Calculateur!V176*Calculateur!X176*VLOOKUP('Données projet'!$B$9,Paramètres!$A$1:$I$89,3,0)*0.475*44/12</f>
        <v>0.42730515755619469</v>
      </c>
      <c r="AB176" s="21">
        <f>EXP(-LN(2)/2)*AB175+(1-EXP(-LN(2)/2))/(LN(2)/2)*V176*Y176*VLOOKUP('Données projet'!$B$9,Paramètres!$A$1:$I$89,3,0)*0.475*44/12</f>
        <v>5.7963825892306152E-21</v>
      </c>
      <c r="AC176" s="22">
        <f t="shared" si="163"/>
        <v>6.7075122692892979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-5.6843418860808015E-14</v>
      </c>
      <c r="AJ176" s="13">
        <f>AI176*VLOOKUP('Données projet'!$B$10,Paramètres!$A$1:$I$89,3,0)*VLOOKUP('Données projet'!$B$10,Paramètres!$A$1:$I$89,5,0)</f>
        <v>-6.2073013396002344E-14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223.92539057016376</v>
      </c>
      <c r="AO176" s="59">
        <f t="shared" si="144"/>
        <v>94.125825809616856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38.896365559210601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38.896365559210601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-5.6843418860808015E-14</v>
      </c>
      <c r="BE176" s="13">
        <f>BD176*VLOOKUP('Données projet'!$B$11,Paramètres!$A$1:$I$89,3,0)*VLOOKUP('Données projet'!$B$11,Paramètres!$A$1:$I$89,5,0)</f>
        <v>-6.4733285398688169E-14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236.39682613502913</v>
      </c>
      <c r="BJ176" s="59">
        <f t="shared" si="146"/>
        <v>99.639724892155641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40.563352654605346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40.563352654605346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-5.6843418860808015E-14</v>
      </c>
      <c r="CU176" s="17">
        <f>CT176*VLOOKUP('Données projet'!$B$13,Paramètres!$A$1:$I$89,3,0)*VLOOKUP('Données projet'!$B$13,Paramètres!$A$1:$I$89,5,0)</f>
        <v>-4.7884896048344674E-14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157.20393815370375</v>
      </c>
      <c r="CZ176" s="59">
        <f t="shared" si="150"/>
        <v>64.616965816756363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30.005767717105314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30.005767717105314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-1.1368683772161603E-13</v>
      </c>
      <c r="DP176" s="17">
        <f>DO176*VLOOKUP('Données projet'!$B$14,Paramètres!$A$1:$I$89,3,0)*VLOOKUP('Données projet'!$B$14,Paramètres!$A$1:$I$89,5,0)</f>
        <v>-9.2222762759774927E-14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221.78186926953776</v>
      </c>
      <c r="DU176" s="59">
        <f t="shared" si="152"/>
        <v>276.69392352410654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10.608766248061722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10.608766248061722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-5.6843418860808015E-14</v>
      </c>
      <c r="EK176" s="17">
        <f>EJ176*VLOOKUP('Données projet'!$B$15,Paramètres!$A$1:$I$89,3,0)*VLOOKUP('Données projet'!$B$15,Paramètres!$A$1:$I$89,5,0)</f>
        <v>-6.1186256061773749E-14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219.76574638403434</v>
      </c>
      <c r="EP176" s="59">
        <f t="shared" si="154"/>
        <v>92.286636088269972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38.340703194078998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38.340703194078998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>
        <f>FE176*VLOOKUP('Données projet'!$B$16,Paramètres!$A$1:$I$89,3,0)*VLOOKUP('Données projet'!$B$16,Paramètres!$A$1:$I$89,5,0)</f>
        <v>0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86.164294406232727</v>
      </c>
      <c r="FK176" s="59">
        <f t="shared" si="156"/>
        <v>138.91188401562334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6.7111883893697417</v>
      </c>
      <c r="FR176" s="21">
        <f>EXP(-LN(2)/25)*FR175+(1-EXP(-LN(2)/25))/(LN(2)/25)*Calculateur!FM176*Calculateur!FO176*VLOOKUP('Données projet'!$B$16,Paramètres!$A$1:$I$89,3,0)*0.475*44/12</f>
        <v>1.8054933410469978</v>
      </c>
      <c r="FS176" s="21">
        <f>EXP(-LN(2)/2)*FS175+(1-EXP(-LN(2)/2))/(LN(2)/2)*FM176*FP176*VLOOKUP('Données projet'!$B$16,Paramètres!$A$1:$I$89,3,0)*0.475*44/12</f>
        <v>3.453818125295895E-16</v>
      </c>
      <c r="FT176" s="22">
        <f t="shared" si="184"/>
        <v>8.5166817304167388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150.21793637331223</v>
      </c>
      <c r="T177" s="59">
        <f t="shared" si="142"/>
        <v>364.59164590134486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6.1570560808201202</v>
      </c>
      <c r="AA177" s="21">
        <f>EXP(-LN(2)/25)*AA176+(1-EXP(-LN(2)/25))/(LN(2)/25)*Calculateur!V177*Calculateur!X177*VLOOKUP('Données projet'!$B$9,Paramètres!$A$1:$I$89,3,0)*0.475*44/12</f>
        <v>0.41562047555181891</v>
      </c>
      <c r="AB177" s="21">
        <f>EXP(-LN(2)/2)*AB176+(1-EXP(-LN(2)/2))/(LN(2)/2)*V177*Y177*VLOOKUP('Données projet'!$B$9,Paramètres!$A$1:$I$89,3,0)*0.475*44/12</f>
        <v>4.0986614351966064E-21</v>
      </c>
      <c r="AC177" s="22">
        <f t="shared" si="163"/>
        <v>6.5726765563719391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-5.6843418860808015E-14</v>
      </c>
      <c r="AJ177" s="13">
        <f>AI177*VLOOKUP('Données projet'!$B$10,Paramètres!$A$1:$I$89,3,0)*VLOOKUP('Données projet'!$B$10,Paramètres!$A$1:$I$89,5,0)</f>
        <v>-6.2073013396002344E-14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223.92539057016376</v>
      </c>
      <c r="AO177" s="59">
        <f t="shared" si="144"/>
        <v>94.125825809616856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38.133631555034881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38.133631555034881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-5.6843418860808015E-14</v>
      </c>
      <c r="BE177" s="13">
        <f>BD177*VLOOKUP('Données projet'!$B$11,Paramètres!$A$1:$I$89,3,0)*VLOOKUP('Données projet'!$B$11,Paramètres!$A$1:$I$89,5,0)</f>
        <v>-6.4733285398688169E-14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236.39682613502913</v>
      </c>
      <c r="BJ177" s="59">
        <f t="shared" si="146"/>
        <v>99.639724892155641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39.767930050250662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39.767930050250662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-5.6843418860808015E-14</v>
      </c>
      <c r="CU177" s="17">
        <f>CT177*VLOOKUP('Données projet'!$B$13,Paramètres!$A$1:$I$89,3,0)*VLOOKUP('Données projet'!$B$13,Paramètres!$A$1:$I$89,5,0)</f>
        <v>-4.7884896048344674E-14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157.20393815370375</v>
      </c>
      <c r="CZ177" s="59">
        <f t="shared" si="150"/>
        <v>64.616965816756363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29.417372913884044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29.417372913884044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-1.1368683772161603E-13</v>
      </c>
      <c r="DP177" s="17">
        <f>DO177*VLOOKUP('Données projet'!$B$14,Paramètres!$A$1:$I$89,3,0)*VLOOKUP('Données projet'!$B$14,Paramètres!$A$1:$I$89,5,0)</f>
        <v>-9.2222762759774927E-14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221.78186926953776</v>
      </c>
      <c r="DU177" s="59">
        <f t="shared" si="152"/>
        <v>276.69392352410654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10.400734812645712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10.400734812645712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-5.6843418860808015E-14</v>
      </c>
      <c r="EK177" s="17">
        <f>EJ177*VLOOKUP('Données projet'!$B$15,Paramètres!$A$1:$I$89,3,0)*VLOOKUP('Données projet'!$B$15,Paramètres!$A$1:$I$89,5,0)</f>
        <v>-6.1186256061773749E-14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219.76574638403434</v>
      </c>
      <c r="EP177" s="59">
        <f t="shared" si="154"/>
        <v>92.286636088269972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37.588865389962926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37.588865389962926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>
        <f>FE177*VLOOKUP('Données projet'!$B$16,Paramètres!$A$1:$I$89,3,0)*VLOOKUP('Données projet'!$B$16,Paramètres!$A$1:$I$89,5,0)</f>
        <v>0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86.164294406232727</v>
      </c>
      <c r="FK177" s="59">
        <f t="shared" si="156"/>
        <v>138.91188401562334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6.5795860784749269</v>
      </c>
      <c r="FR177" s="21">
        <f>EXP(-LN(2)/25)*FR176+(1-EXP(-LN(2)/25))/(LN(2)/25)*Calculateur!FM177*Calculateur!FO177*VLOOKUP('Données projet'!$B$16,Paramètres!$A$1:$I$89,3,0)*0.475*44/12</f>
        <v>1.7561220306892993</v>
      </c>
      <c r="FS177" s="21">
        <f>EXP(-LN(2)/2)*FS176+(1-EXP(-LN(2)/2))/(LN(2)/2)*FM177*FP177*VLOOKUP('Données projet'!$B$16,Paramètres!$A$1:$I$89,3,0)*0.475*44/12</f>
        <v>2.4422182173817362E-16</v>
      </c>
      <c r="FT177" s="22">
        <f t="shared" si="184"/>
        <v>8.3357081091642264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150.21793637331223</v>
      </c>
      <c r="T178" s="59">
        <f t="shared" si="142"/>
        <v>364.59164590134486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6.0363199665086285</v>
      </c>
      <c r="AA178" s="21">
        <f>EXP(-LN(2)/25)*AA177+(1-EXP(-LN(2)/25))/(LN(2)/25)*Calculateur!V178*Calculateur!X178*VLOOKUP('Données projet'!$B$9,Paramètres!$A$1:$I$89,3,0)*0.475*44/12</f>
        <v>0.40425531179132351</v>
      </c>
      <c r="AB178" s="21">
        <f>EXP(-LN(2)/2)*AB177+(1-EXP(-LN(2)/2))/(LN(2)/2)*V178*Y178*VLOOKUP('Données projet'!$B$9,Paramètres!$A$1:$I$89,3,0)*0.475*44/12</f>
        <v>2.8981912946153076E-21</v>
      </c>
      <c r="AC178" s="22">
        <f t="shared" si="163"/>
        <v>6.4405752782999519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-5.6843418860808015E-14</v>
      </c>
      <c r="AJ178" s="13">
        <f>AI178*VLOOKUP('Données projet'!$B$10,Paramètres!$A$1:$I$89,3,0)*VLOOKUP('Données projet'!$B$10,Paramètres!$A$1:$I$89,5,0)</f>
        <v>-6.2073013396002344E-14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223.92539057016376</v>
      </c>
      <c r="AO178" s="59">
        <f t="shared" si="144"/>
        <v>94.125825809616856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37.38585429945924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37.38585429945924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-5.6843418860808015E-14</v>
      </c>
      <c r="BE178" s="13">
        <f>BD178*VLOOKUP('Données projet'!$B$11,Paramètres!$A$1:$I$89,3,0)*VLOOKUP('Données projet'!$B$11,Paramètres!$A$1:$I$89,5,0)</f>
        <v>-6.4733285398688169E-14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236.39682613502913</v>
      </c>
      <c r="BJ178" s="59">
        <f t="shared" si="146"/>
        <v>99.639724892155641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38.988105198007489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38.988105198007489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-5.6843418860808015E-14</v>
      </c>
      <c r="CU178" s="17">
        <f>CT178*VLOOKUP('Données projet'!$B$13,Paramètres!$A$1:$I$89,3,0)*VLOOKUP('Données projet'!$B$13,Paramètres!$A$1:$I$89,5,0)</f>
        <v>-4.7884896048344674E-14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157.20393815370375</v>
      </c>
      <c r="CZ178" s="59">
        <f t="shared" si="150"/>
        <v>64.616965816756363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28.840516173868547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28.840516173868547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-1.1368683772161603E-13</v>
      </c>
      <c r="DP178" s="17">
        <f>DO178*VLOOKUP('Données projet'!$B$14,Paramètres!$A$1:$I$89,3,0)*VLOOKUP('Données projet'!$B$14,Paramètres!$A$1:$I$89,5,0)</f>
        <v>-9.2222762759774927E-14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221.78186926953776</v>
      </c>
      <c r="DU178" s="59">
        <f t="shared" si="152"/>
        <v>276.69392352410654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10.196782746791566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10.196782746791566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-5.6843418860808015E-14</v>
      </c>
      <c r="EK178" s="17">
        <f>EJ178*VLOOKUP('Données projet'!$B$15,Paramètres!$A$1:$I$89,3,0)*VLOOKUP('Données projet'!$B$15,Paramètres!$A$1:$I$89,5,0)</f>
        <v>-6.1186256061773749E-14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219.76574638403434</v>
      </c>
      <c r="EP178" s="59">
        <f t="shared" si="154"/>
        <v>92.286636088269972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36.851770666609795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36.851770666609795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>
        <f>FE178*VLOOKUP('Données projet'!$B$16,Paramètres!$A$1:$I$89,3,0)*VLOOKUP('Données projet'!$B$16,Paramètres!$A$1:$I$89,5,0)</f>
        <v>0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86.164294406232727</v>
      </c>
      <c r="FK178" s="59">
        <f t="shared" si="156"/>
        <v>138.91188401562334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6.450564408627276</v>
      </c>
      <c r="FR178" s="21">
        <f>EXP(-LN(2)/25)*FR177+(1-EXP(-LN(2)/25))/(LN(2)/25)*Calculateur!FM178*Calculateur!FO178*VLOOKUP('Données projet'!$B$16,Paramètres!$A$1:$I$89,3,0)*0.475*44/12</f>
        <v>1.7081007814096565</v>
      </c>
      <c r="FS178" s="21">
        <f>EXP(-LN(2)/2)*FS177+(1-EXP(-LN(2)/2))/(LN(2)/2)*FM178*FP178*VLOOKUP('Données projet'!$B$16,Paramètres!$A$1:$I$89,3,0)*0.475*44/12</f>
        <v>1.7269090626479475E-16</v>
      </c>
      <c r="FT178" s="22">
        <f t="shared" si="184"/>
        <v>8.1586651900369329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150.21793637331223</v>
      </c>
      <c r="T179" s="59">
        <f t="shared" si="142"/>
        <v>364.59164590134486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5.9179514137570273</v>
      </c>
      <c r="AA179" s="21">
        <f>EXP(-LN(2)/25)*AA178+(1-EXP(-LN(2)/25))/(LN(2)/25)*Calculateur!V179*Calculateur!X179*VLOOKUP('Données projet'!$B$9,Paramètres!$A$1:$I$89,3,0)*0.475*44/12</f>
        <v>0.39320092903152687</v>
      </c>
      <c r="AB179" s="21">
        <f>EXP(-LN(2)/2)*AB178+(1-EXP(-LN(2)/2))/(LN(2)/2)*V179*Y179*VLOOKUP('Données projet'!$B$9,Paramètres!$A$1:$I$89,3,0)*0.475*44/12</f>
        <v>2.0493307175983032E-21</v>
      </c>
      <c r="AC179" s="22">
        <f t="shared" si="163"/>
        <v>6.3111523427885539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-5.6843418860808015E-14</v>
      </c>
      <c r="AJ179" s="13">
        <f>AI179*VLOOKUP('Données projet'!$B$10,Paramètres!$A$1:$I$89,3,0)*VLOOKUP('Données projet'!$B$10,Paramètres!$A$1:$I$89,5,0)</f>
        <v>-6.2073013396002344E-14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223.92539057016376</v>
      </c>
      <c r="AO179" s="59">
        <f t="shared" si="144"/>
        <v>94.125825809616856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36.652740499766345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36.652740499766345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-5.6843418860808015E-14</v>
      </c>
      <c r="BE179" s="13">
        <f>BD179*VLOOKUP('Données projet'!$B$11,Paramètres!$A$1:$I$89,3,0)*VLOOKUP('Données projet'!$B$11,Paramètres!$A$1:$I$89,5,0)</f>
        <v>-6.4733285398688169E-14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236.39682613502913</v>
      </c>
      <c r="BJ179" s="59">
        <f t="shared" si="146"/>
        <v>99.639724892155641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38.223572235470613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38.223572235470613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-5.6843418860808015E-14</v>
      </c>
      <c r="CU179" s="17">
        <f>CT179*VLOOKUP('Données projet'!$B$13,Paramètres!$A$1:$I$89,3,0)*VLOOKUP('Données projet'!$B$13,Paramètres!$A$1:$I$89,5,0)</f>
        <v>-4.7884896048344674E-14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157.20393815370375</v>
      </c>
      <c r="CZ179" s="59">
        <f t="shared" si="150"/>
        <v>64.616965816756363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28.274971242676887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28.274971242676887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-1.1368683772161603E-13</v>
      </c>
      <c r="DP179" s="17">
        <f>DO179*VLOOKUP('Données projet'!$B$14,Paramètres!$A$1:$I$89,3,0)*VLOOKUP('Données projet'!$B$14,Paramètres!$A$1:$I$89,5,0)</f>
        <v>-9.2222762759774927E-14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221.78186926953776</v>
      </c>
      <c r="DU179" s="59">
        <f t="shared" si="152"/>
        <v>276.69392352410654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9.9968300565503423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9.9968300565503423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-5.6843418860808015E-14</v>
      </c>
      <c r="EK179" s="17">
        <f>EJ179*VLOOKUP('Données projet'!$B$15,Paramètres!$A$1:$I$89,3,0)*VLOOKUP('Données projet'!$B$15,Paramètres!$A$1:$I$89,5,0)</f>
        <v>-6.1186256061773749E-14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219.76574638403434</v>
      </c>
      <c r="EP179" s="59">
        <f t="shared" si="154"/>
        <v>92.286636088269972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36.129129921198228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36.129129921198228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>
        <f>FE179*VLOOKUP('Données projet'!$B$16,Paramètres!$A$1:$I$89,3,0)*VLOOKUP('Données projet'!$B$16,Paramètres!$A$1:$I$89,5,0)</f>
        <v>0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86.164294406232727</v>
      </c>
      <c r="FK179" s="59">
        <f t="shared" si="156"/>
        <v>138.91188401562334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6.3240727750298893</v>
      </c>
      <c r="FR179" s="21">
        <f>EXP(-LN(2)/25)*FR178+(1-EXP(-LN(2)/25))/(LN(2)/25)*Calculateur!FM179*Calculateur!FO179*VLOOKUP('Données projet'!$B$16,Paramètres!$A$1:$I$89,3,0)*0.475*44/12</f>
        <v>1.6613926757168933</v>
      </c>
      <c r="FS179" s="21">
        <f>EXP(-LN(2)/2)*FS178+(1-EXP(-LN(2)/2))/(LN(2)/2)*FM179*FP179*VLOOKUP('Données projet'!$B$16,Paramètres!$A$1:$I$89,3,0)*0.475*44/12</f>
        <v>1.2211091086908681E-16</v>
      </c>
      <c r="FT179" s="22">
        <f t="shared" si="184"/>
        <v>7.9854654507467826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150.21793637331223</v>
      </c>
      <c r="T180" s="59">
        <f t="shared" si="142"/>
        <v>364.59164590134486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5.801903996127197</v>
      </c>
      <c r="AA180" s="21">
        <f>EXP(-LN(2)/25)*AA179+(1-EXP(-LN(2)/25))/(LN(2)/25)*Calculateur!V180*Calculateur!X180*VLOOKUP('Données projet'!$B$9,Paramètres!$A$1:$I$89,3,0)*0.475*44/12</f>
        <v>0.38244882894962157</v>
      </c>
      <c r="AB180" s="21">
        <f>EXP(-LN(2)/2)*AB179+(1-EXP(-LN(2)/2))/(LN(2)/2)*V180*Y180*VLOOKUP('Données projet'!$B$9,Paramètres!$A$1:$I$89,3,0)*0.475*44/12</f>
        <v>1.4490956473076538E-21</v>
      </c>
      <c r="AC180" s="22">
        <f t="shared" si="163"/>
        <v>6.1843528250768189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-5.6843418860808015E-14</v>
      </c>
      <c r="AJ180" s="13">
        <f>AI180*VLOOKUP('Données projet'!$B$10,Paramètres!$A$1:$I$89,3,0)*VLOOKUP('Données projet'!$B$10,Paramètres!$A$1:$I$89,5,0)</f>
        <v>-6.2073013396002344E-14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223.92539057016376</v>
      </c>
      <c r="AO180" s="59">
        <f t="shared" si="144"/>
        <v>94.125825809616856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35.934002614530165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35.934002614530165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-5.6843418860808015E-14</v>
      </c>
      <c r="BE180" s="13">
        <f>BD180*VLOOKUP('Données projet'!$B$11,Paramètres!$A$1:$I$89,3,0)*VLOOKUP('Données projet'!$B$11,Paramètres!$A$1:$I$89,5,0)</f>
        <v>-6.4733285398688169E-14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236.39682613502913</v>
      </c>
      <c r="BJ180" s="59">
        <f t="shared" si="146"/>
        <v>99.639724892155641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37.474031298010026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37.474031298010026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-5.6843418860808015E-14</v>
      </c>
      <c r="CU180" s="17">
        <f>CT180*VLOOKUP('Données projet'!$B$13,Paramètres!$A$1:$I$89,3,0)*VLOOKUP('Données projet'!$B$13,Paramètres!$A$1:$I$89,5,0)</f>
        <v>-4.7884896048344674E-14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157.20393815370375</v>
      </c>
      <c r="CZ180" s="59">
        <f t="shared" si="150"/>
        <v>64.616965816756363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27.720516302637549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27.720516302637549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-1.1368683772161603E-13</v>
      </c>
      <c r="DP180" s="17">
        <f>DO180*VLOOKUP('Données projet'!$B$14,Paramètres!$A$1:$I$89,3,0)*VLOOKUP('Données projet'!$B$14,Paramètres!$A$1:$I$89,5,0)</f>
        <v>-9.2222762759774927E-14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221.78186926953776</v>
      </c>
      <c r="DU180" s="59">
        <f t="shared" si="152"/>
        <v>276.69392352410654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9.8007983166056505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9.8007983166056505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-5.6843418860808015E-14</v>
      </c>
      <c r="EK180" s="17">
        <f>EJ180*VLOOKUP('Données projet'!$B$15,Paramètres!$A$1:$I$89,3,0)*VLOOKUP('Données projet'!$B$15,Paramètres!$A$1:$I$89,5,0)</f>
        <v>-6.1186256061773749E-14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219.76574638403434</v>
      </c>
      <c r="EP180" s="59">
        <f t="shared" si="154"/>
        <v>92.286636088269972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35.420659720036852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35.420659720036852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>
        <f>FE180*VLOOKUP('Données projet'!$B$16,Paramètres!$A$1:$I$89,3,0)*VLOOKUP('Données projet'!$B$16,Paramètres!$A$1:$I$89,5,0)</f>
        <v>0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86.164294406232727</v>
      </c>
      <c r="FK180" s="59">
        <f t="shared" si="156"/>
        <v>138.91188401562334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6.2000615652150692</v>
      </c>
      <c r="FR180" s="21">
        <f>EXP(-LN(2)/25)*FR179+(1-EXP(-LN(2)/25))/(LN(2)/25)*Calculateur!FM180*Calculateur!FO180*VLOOKUP('Données projet'!$B$16,Paramètres!$A$1:$I$89,3,0)*0.475*44/12</f>
        <v>1.6159618056305711</v>
      </c>
      <c r="FS180" s="21">
        <f>EXP(-LN(2)/2)*FS179+(1-EXP(-LN(2)/2))/(LN(2)/2)*FM180*FP180*VLOOKUP('Données projet'!$B$16,Paramètres!$A$1:$I$89,3,0)*0.475*44/12</f>
        <v>8.6345453132397376E-17</v>
      </c>
      <c r="FT180" s="22">
        <f t="shared" si="184"/>
        <v>7.8160233708456399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150.21793637331223</v>
      </c>
      <c r="T181" s="59">
        <f t="shared" si="142"/>
        <v>364.59164590134486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5.6881321975751513</v>
      </c>
      <c r="AA181" s="21">
        <f>EXP(-LN(2)/25)*AA180+(1-EXP(-LN(2)/25))/(LN(2)/25)*Calculateur!V181*Calculateur!X181*VLOOKUP('Données projet'!$B$9,Paramètres!$A$1:$I$89,3,0)*0.475*44/12</f>
        <v>0.37199074560988432</v>
      </c>
      <c r="AB181" s="21">
        <f>EXP(-LN(2)/2)*AB180+(1-EXP(-LN(2)/2))/(LN(2)/2)*V181*Y181*VLOOKUP('Données projet'!$B$9,Paramètres!$A$1:$I$89,3,0)*0.475*44/12</f>
        <v>1.0246653587991516E-21</v>
      </c>
      <c r="AC181" s="22">
        <f t="shared" si="163"/>
        <v>6.0601229431850356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-5.6843418860808015E-14</v>
      </c>
      <c r="AJ181" s="13">
        <f>AI181*VLOOKUP('Données projet'!$B$10,Paramètres!$A$1:$I$89,3,0)*VLOOKUP('Données projet'!$B$10,Paramètres!$A$1:$I$89,5,0)</f>
        <v>-6.2073013396002344E-14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223.92539057016376</v>
      </c>
      <c r="AO181" s="59">
        <f t="shared" si="144"/>
        <v>94.125825809616856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35.229358740836645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35.229358740836645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-5.6843418860808015E-14</v>
      </c>
      <c r="BE181" s="13">
        <f>BD181*VLOOKUP('Données projet'!$B$11,Paramètres!$A$1:$I$89,3,0)*VLOOKUP('Données projet'!$B$11,Paramètres!$A$1:$I$89,5,0)</f>
        <v>-6.4733285398688169E-14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236.39682613502913</v>
      </c>
      <c r="BJ181" s="59">
        <f t="shared" si="146"/>
        <v>99.639724892155641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36.739188401158209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36.739188401158209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-5.6843418860808015E-14</v>
      </c>
      <c r="CU181" s="17">
        <f>CT181*VLOOKUP('Données projet'!$B$13,Paramètres!$A$1:$I$89,3,0)*VLOOKUP('Données projet'!$B$13,Paramètres!$A$1:$I$89,5,0)</f>
        <v>-4.7884896048344674E-14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157.20393815370375</v>
      </c>
      <c r="CZ181" s="59">
        <f t="shared" si="150"/>
        <v>64.616965816756363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27.176933885788259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27.176933885788259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-1.1368683772161603E-13</v>
      </c>
      <c r="DP181" s="17">
        <f>DO181*VLOOKUP('Données projet'!$B$14,Paramètres!$A$1:$I$89,3,0)*VLOOKUP('Données projet'!$B$14,Paramètres!$A$1:$I$89,5,0)</f>
        <v>-9.2222762759774927E-14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221.78186926953776</v>
      </c>
      <c r="DU181" s="59">
        <f t="shared" si="152"/>
        <v>276.69392352410654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9.608610639513719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9.608610639513719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-5.6843418860808015E-14</v>
      </c>
      <c r="EK181" s="17">
        <f>EJ181*VLOOKUP('Données projet'!$B$15,Paramètres!$A$1:$I$89,3,0)*VLOOKUP('Données projet'!$B$15,Paramètres!$A$1:$I$89,5,0)</f>
        <v>-6.1186256061773749E-14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219.76574638403434</v>
      </c>
      <c r="EP181" s="59">
        <f t="shared" si="154"/>
        <v>92.286636088269972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34.726082187396095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34.726082187396095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>
        <f>FE181*VLOOKUP('Données projet'!$B$16,Paramètres!$A$1:$I$89,3,0)*VLOOKUP('Données projet'!$B$16,Paramètres!$A$1:$I$89,5,0)</f>
        <v>0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86.164294406232727</v>
      </c>
      <c r="FK181" s="59">
        <f t="shared" si="156"/>
        <v>138.91188401562334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6.0784821395853479</v>
      </c>
      <c r="FR181" s="21">
        <f>EXP(-LN(2)/25)*FR180+(1-EXP(-LN(2)/25))/(LN(2)/25)*Calculateur!FM181*Calculateur!FO181*VLOOKUP('Données projet'!$B$16,Paramètres!$A$1:$I$89,3,0)*0.475*44/12</f>
        <v>1.571773245075865</v>
      </c>
      <c r="FS181" s="21">
        <f>EXP(-LN(2)/2)*FS180+(1-EXP(-LN(2)/2))/(LN(2)/2)*FM181*FP181*VLOOKUP('Données projet'!$B$16,Paramètres!$A$1:$I$89,3,0)*0.475*44/12</f>
        <v>6.1055455434543406E-17</v>
      </c>
      <c r="FT181" s="22">
        <f t="shared" si="184"/>
        <v>7.6502553846612127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150.21793637331223</v>
      </c>
      <c r="T182" s="59">
        <f t="shared" si="142"/>
        <v>364.59164590134486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5.5765913945987666</v>
      </c>
      <c r="AA182" s="21">
        <f>EXP(-LN(2)/25)*AA181+(1-EXP(-LN(2)/25))/(LN(2)/25)*Calculateur!V182*Calculateur!X182*VLOOKUP('Données projet'!$B$9,Paramètres!$A$1:$I$89,3,0)*0.475*44/12</f>
        <v>0.36181863910903894</v>
      </c>
      <c r="AB182" s="21">
        <f>EXP(-LN(2)/2)*AB181+(1-EXP(-LN(2)/2))/(LN(2)/2)*V182*Y182*VLOOKUP('Données projet'!$B$9,Paramètres!$A$1:$I$89,3,0)*0.475*44/12</f>
        <v>7.2454782365382691E-22</v>
      </c>
      <c r="AC182" s="22">
        <f t="shared" si="163"/>
        <v>5.9384100337078056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-5.6843418860808015E-14</v>
      </c>
      <c r="AJ182" s="13">
        <f>AI182*VLOOKUP('Données projet'!$B$10,Paramètres!$A$1:$I$89,3,0)*VLOOKUP('Données projet'!$B$10,Paramètres!$A$1:$I$89,5,0)</f>
        <v>-6.2073013396002344E-14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223.92539057016376</v>
      </c>
      <c r="AO182" s="59">
        <f t="shared" si="144"/>
        <v>94.125825809616856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34.538532503715928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34.538532503715928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-5.6843418860808015E-14</v>
      </c>
      <c r="BE182" s="13">
        <f>BD182*VLOOKUP('Données projet'!$B$11,Paramètres!$A$1:$I$89,3,0)*VLOOKUP('Données projet'!$B$11,Paramètres!$A$1:$I$89,5,0)</f>
        <v>-6.4733285398688169E-14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236.39682613502913</v>
      </c>
      <c r="BJ182" s="59">
        <f t="shared" si="146"/>
        <v>99.639724892155641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36.018755325303744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36.018755325303744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-5.6843418860808015E-14</v>
      </c>
      <c r="CU182" s="17">
        <f>CT182*VLOOKUP('Données projet'!$B$13,Paramètres!$A$1:$I$89,3,0)*VLOOKUP('Données projet'!$B$13,Paramètres!$A$1:$I$89,5,0)</f>
        <v>-4.7884896048344674E-14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157.20393815370375</v>
      </c>
      <c r="CZ182" s="59">
        <f t="shared" si="150"/>
        <v>64.616965816756363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26.644010788580847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26.644010788580847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-1.1368683772161603E-13</v>
      </c>
      <c r="DP182" s="17">
        <f>DO182*VLOOKUP('Données projet'!$B$14,Paramètres!$A$1:$I$89,3,0)*VLOOKUP('Données projet'!$B$14,Paramètres!$A$1:$I$89,5,0)</f>
        <v>-9.2222762759774927E-14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221.78186926953776</v>
      </c>
      <c r="DU182" s="59">
        <f t="shared" si="152"/>
        <v>276.69392352410654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9.4201916455466517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9.4201916455466517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-5.6843418860808015E-14</v>
      </c>
      <c r="EK182" s="17">
        <f>EJ182*VLOOKUP('Données projet'!$B$15,Paramètres!$A$1:$I$89,3,0)*VLOOKUP('Données projet'!$B$15,Paramètres!$A$1:$I$89,5,0)</f>
        <v>-6.1186256061773749E-14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219.76574638403434</v>
      </c>
      <c r="EP182" s="59">
        <f t="shared" si="154"/>
        <v>92.286636088269972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34.045124896519958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34.045124896519958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>
        <f>FE182*VLOOKUP('Données projet'!$B$16,Paramètres!$A$1:$I$89,3,0)*VLOOKUP('Données projet'!$B$16,Paramètres!$A$1:$I$89,5,0)</f>
        <v>0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86.164294406232727</v>
      </c>
      <c r="FK182" s="59">
        <f t="shared" si="156"/>
        <v>138.91188401562334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5.9592868123360985</v>
      </c>
      <c r="FR182" s="21">
        <f>EXP(-LN(2)/25)*FR181+(1-EXP(-LN(2)/25))/(LN(2)/25)*Calculateur!FM182*Calculateur!FO182*VLOOKUP('Données projet'!$B$16,Paramètres!$A$1:$I$89,3,0)*0.475*44/12</f>
        <v>1.5287930230333029</v>
      </c>
      <c r="FS182" s="21">
        <f>EXP(-LN(2)/2)*FS181+(1-EXP(-LN(2)/2))/(LN(2)/2)*FM182*FP182*VLOOKUP('Données projet'!$B$16,Paramètres!$A$1:$I$89,3,0)*0.475*44/12</f>
        <v>4.3172726566198688E-17</v>
      </c>
      <c r="FT182" s="22">
        <f t="shared" si="184"/>
        <v>7.4880798353694011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150.21793637331223</v>
      </c>
      <c r="T183" s="59">
        <f t="shared" si="142"/>
        <v>364.59164590134486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5.4672378387355769</v>
      </c>
      <c r="AA183" s="21">
        <f>EXP(-LN(2)/25)*AA182+(1-EXP(-LN(2)/25))/(LN(2)/25)*Calculateur!V183*Calculateur!X183*VLOOKUP('Données projet'!$B$9,Paramètres!$A$1:$I$89,3,0)*0.475*44/12</f>
        <v>0.35192468939538701</v>
      </c>
      <c r="AB183" s="21">
        <f>EXP(-LN(2)/2)*AB182+(1-EXP(-LN(2)/2))/(LN(2)/2)*V183*Y183*VLOOKUP('Données projet'!$B$9,Paramètres!$A$1:$I$89,3,0)*0.475*44/12</f>
        <v>5.123326793995758E-22</v>
      </c>
      <c r="AC183" s="22">
        <f t="shared" si="163"/>
        <v>5.8191625281309642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-5.6843418860808015E-14</v>
      </c>
      <c r="AJ183" s="13">
        <f>AI183*VLOOKUP('Données projet'!$B$10,Paramètres!$A$1:$I$89,3,0)*VLOOKUP('Données projet'!$B$10,Paramètres!$A$1:$I$89,5,0)</f>
        <v>-6.2073013396002344E-14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223.92539057016376</v>
      </c>
      <c r="AO183" s="59">
        <f t="shared" si="144"/>
        <v>94.125825809616856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33.861252947742749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33.861252947742749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-5.6843418860808015E-14</v>
      </c>
      <c r="BE183" s="13">
        <f>BD183*VLOOKUP('Données projet'!$B$11,Paramètres!$A$1:$I$89,3,0)*VLOOKUP('Données projet'!$B$11,Paramètres!$A$1:$I$89,5,0)</f>
        <v>-6.4733285398688169E-14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236.39682613502913</v>
      </c>
      <c r="BJ183" s="59">
        <f t="shared" si="146"/>
        <v>99.639724892155641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35.312449502645997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35.312449502645997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-5.6843418860808015E-14</v>
      </c>
      <c r="CU183" s="17">
        <f>CT183*VLOOKUP('Données projet'!$B$13,Paramètres!$A$1:$I$89,3,0)*VLOOKUP('Données projet'!$B$13,Paramètres!$A$1:$I$89,5,0)</f>
        <v>-4.7884896048344674E-14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157.20393815370375</v>
      </c>
      <c r="CZ183" s="59">
        <f t="shared" si="150"/>
        <v>64.616965816756363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26.12153798825868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26.12153798825868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-1.1368683772161603E-13</v>
      </c>
      <c r="DP183" s="17">
        <f>DO183*VLOOKUP('Données projet'!$B$14,Paramètres!$A$1:$I$89,3,0)*VLOOKUP('Données projet'!$B$14,Paramètres!$A$1:$I$89,5,0)</f>
        <v>-9.2222762759774927E-14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221.78186926953776</v>
      </c>
      <c r="DU183" s="59">
        <f t="shared" si="152"/>
        <v>276.69392352410654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9.2354674331270399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9.2354674331270399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-5.6843418860808015E-14</v>
      </c>
      <c r="EK183" s="17">
        <f>EJ183*VLOOKUP('Données projet'!$B$15,Paramètres!$A$1:$I$89,3,0)*VLOOKUP('Données projet'!$B$15,Paramètres!$A$1:$I$89,5,0)</f>
        <v>-6.1186256061773749E-14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219.76574638403434</v>
      </c>
      <c r="EP183" s="59">
        <f t="shared" si="154"/>
        <v>92.286636088269972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33.377520762774971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33.377520762774971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>
        <f>FE183*VLOOKUP('Données projet'!$B$16,Paramètres!$A$1:$I$89,3,0)*VLOOKUP('Données projet'!$B$16,Paramètres!$A$1:$I$89,5,0)</f>
        <v>0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86.164294406232727</v>
      </c>
      <c r="FK183" s="59">
        <f t="shared" si="156"/>
        <v>138.91188401562334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5.842428832752236</v>
      </c>
      <c r="FR183" s="21">
        <f>EXP(-LN(2)/25)*FR182+(1-EXP(-LN(2)/25))/(LN(2)/25)*Calculateur!FM183*Calculateur!FO183*VLOOKUP('Données projet'!$B$16,Paramètres!$A$1:$I$89,3,0)*0.475*44/12</f>
        <v>1.4869880974227263</v>
      </c>
      <c r="FS183" s="21">
        <f>EXP(-LN(2)/2)*FS182+(1-EXP(-LN(2)/2))/(LN(2)/2)*FM183*FP183*VLOOKUP('Données projet'!$B$16,Paramètres!$A$1:$I$89,3,0)*0.475*44/12</f>
        <v>3.0527727717271703E-17</v>
      </c>
      <c r="FT183" s="22">
        <f t="shared" si="184"/>
        <v>7.3294169301749621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150.21793637331223</v>
      </c>
      <c r="T184" s="59">
        <f t="shared" si="142"/>
        <v>364.59164590134486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5.3600286394037813</v>
      </c>
      <c r="AA184" s="21">
        <f>EXP(-LN(2)/25)*AA183+(1-EXP(-LN(2)/25))/(LN(2)/25)*Calculateur!V184*Calculateur!X184*VLOOKUP('Données projet'!$B$9,Paramètres!$A$1:$I$89,3,0)*0.475*44/12</f>
        <v>0.34230129025695505</v>
      </c>
      <c r="AB184" s="21">
        <f>EXP(-LN(2)/2)*AB183+(1-EXP(-LN(2)/2))/(LN(2)/2)*V184*Y184*VLOOKUP('Données projet'!$B$9,Paramètres!$A$1:$I$89,3,0)*0.475*44/12</f>
        <v>3.6227391182691345E-22</v>
      </c>
      <c r="AC184" s="22">
        <f t="shared" si="163"/>
        <v>5.7023299296607366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-5.6843418860808015E-14</v>
      </c>
      <c r="AJ184" s="13">
        <f>AI184*VLOOKUP('Données projet'!$B$10,Paramètres!$A$1:$I$89,3,0)*VLOOKUP('Données projet'!$B$10,Paramètres!$A$1:$I$89,5,0)</f>
        <v>-6.2073013396002344E-14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223.92539057016376</v>
      </c>
      <c r="AO184" s="59">
        <f t="shared" si="144"/>
        <v>94.125825809616856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33.197254430762463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33.197254430762463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-5.6843418860808015E-14</v>
      </c>
      <c r="BE184" s="13">
        <f>BD184*VLOOKUP('Données projet'!$B$11,Paramètres!$A$1:$I$89,3,0)*VLOOKUP('Données projet'!$B$11,Paramètres!$A$1:$I$89,5,0)</f>
        <v>-6.4733285398688169E-14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236.39682613502913</v>
      </c>
      <c r="BJ184" s="59">
        <f t="shared" si="146"/>
        <v>99.639724892155641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34.61999390636656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34.61999390636656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-5.6843418860808015E-14</v>
      </c>
      <c r="CU184" s="17">
        <f>CT184*VLOOKUP('Données projet'!$B$13,Paramètres!$A$1:$I$89,3,0)*VLOOKUP('Données projet'!$B$13,Paramètres!$A$1:$I$89,5,0)</f>
        <v>-4.7884896048344674E-14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157.20393815370375</v>
      </c>
      <c r="CZ184" s="59">
        <f t="shared" si="150"/>
        <v>64.616965816756363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25.60931056087389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25.60931056087389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-1.1368683772161603E-13</v>
      </c>
      <c r="DP184" s="17">
        <f>DO184*VLOOKUP('Données projet'!$B$14,Paramètres!$A$1:$I$89,3,0)*VLOOKUP('Données projet'!$B$14,Paramètres!$A$1:$I$89,5,0)</f>
        <v>-9.2222762759774927E-14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221.78186926953776</v>
      </c>
      <c r="DU184" s="59">
        <f t="shared" si="152"/>
        <v>276.69392352410654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9.0543655498423323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9.0543655498423323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-5.6843418860808015E-14</v>
      </c>
      <c r="EK184" s="17">
        <f>EJ184*VLOOKUP('Données projet'!$B$15,Paramètres!$A$1:$I$89,3,0)*VLOOKUP('Données projet'!$B$15,Paramètres!$A$1:$I$89,5,0)</f>
        <v>-6.1186256061773749E-14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219.76574638403434</v>
      </c>
      <c r="EP184" s="59">
        <f t="shared" si="154"/>
        <v>92.286636088269972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32.723007938894405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32.723007938894405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>
        <f>FE184*VLOOKUP('Données projet'!$B$16,Paramètres!$A$1:$I$89,3,0)*VLOOKUP('Données projet'!$B$16,Paramètres!$A$1:$I$89,5,0)</f>
        <v>0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86.164294406232727</v>
      </c>
      <c r="FK184" s="59">
        <f t="shared" si="156"/>
        <v>138.91188401562334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5.7278623668716833</v>
      </c>
      <c r="FR184" s="21">
        <f>EXP(-LN(2)/25)*FR183+(1-EXP(-LN(2)/25))/(LN(2)/25)*Calculateur!FM184*Calculateur!FO184*VLOOKUP('Données projet'!$B$16,Paramètres!$A$1:$I$89,3,0)*0.475*44/12</f>
        <v>1.4463263297013964</v>
      </c>
      <c r="FS184" s="21">
        <f>EXP(-LN(2)/2)*FS183+(1-EXP(-LN(2)/2))/(LN(2)/2)*FM184*FP184*VLOOKUP('Données projet'!$B$16,Paramètres!$A$1:$I$89,3,0)*0.475*44/12</f>
        <v>2.1586363283099344E-17</v>
      </c>
      <c r="FT184" s="22">
        <f t="shared" si="184"/>
        <v>7.1741886965730792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150.21793637331223</v>
      </c>
      <c r="T185" s="59">
        <f t="shared" si="142"/>
        <v>364.59164590134486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5.2549217470797274</v>
      </c>
      <c r="AA185" s="21">
        <f>EXP(-LN(2)/25)*AA184+(1-EXP(-LN(2)/25))/(LN(2)/25)*Calculateur!V185*Calculateur!X185*VLOOKUP('Données projet'!$B$9,Paramètres!$A$1:$I$89,3,0)*0.475*44/12</f>
        <v>0.33294104347403608</v>
      </c>
      <c r="AB185" s="21">
        <f>EXP(-LN(2)/2)*AB184+(1-EXP(-LN(2)/2))/(LN(2)/2)*V185*Y185*VLOOKUP('Données projet'!$B$9,Paramètres!$A$1:$I$89,3,0)*0.475*44/12</f>
        <v>2.561663396997879E-22</v>
      </c>
      <c r="AC185" s="22">
        <f t="shared" si="163"/>
        <v>5.5878627905537632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-5.6843418860808015E-14</v>
      </c>
      <c r="AJ185" s="13">
        <f>AI185*VLOOKUP('Données projet'!$B$10,Paramètres!$A$1:$I$89,3,0)*VLOOKUP('Données projet'!$B$10,Paramètres!$A$1:$I$89,5,0)</f>
        <v>-6.2073013396002344E-14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223.92539057016376</v>
      </c>
      <c r="AO185" s="59">
        <f t="shared" si="144"/>
        <v>94.125825809616856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32.54627651970106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32.54627651970106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-5.6843418860808015E-14</v>
      </c>
      <c r="BE185" s="13">
        <f>BD185*VLOOKUP('Données projet'!$B$11,Paramètres!$A$1:$I$89,3,0)*VLOOKUP('Données projet'!$B$11,Paramètres!$A$1:$I$89,5,0)</f>
        <v>-6.4733285398688169E-14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236.39682613502913</v>
      </c>
      <c r="BJ185" s="59">
        <f t="shared" si="146"/>
        <v>99.639724892155641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33.941116941973952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33.941116941973952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-5.6843418860808015E-14</v>
      </c>
      <c r="CU185" s="17">
        <f>CT185*VLOOKUP('Données projet'!$B$13,Paramètres!$A$1:$I$89,3,0)*VLOOKUP('Données projet'!$B$13,Paramètres!$A$1:$I$89,5,0)</f>
        <v>-4.7884896048344674E-14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157.20393815370375</v>
      </c>
      <c r="CZ185" s="59">
        <f t="shared" si="150"/>
        <v>64.616965816756363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25.107127600912236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25.107127600912236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-1.1368683772161603E-13</v>
      </c>
      <c r="DP185" s="17">
        <f>DO185*VLOOKUP('Données projet'!$B$14,Paramètres!$A$1:$I$89,3,0)*VLOOKUP('Données projet'!$B$14,Paramètres!$A$1:$I$89,5,0)</f>
        <v>-9.2222762759774927E-14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221.78186926953776</v>
      </c>
      <c r="DU185" s="59">
        <f t="shared" si="152"/>
        <v>276.69392352410654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8.8768149640275968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8.8768149640275968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-5.6843418860808015E-14</v>
      </c>
      <c r="EK185" s="17">
        <f>EJ185*VLOOKUP('Données projet'!$B$15,Paramètres!$A$1:$I$89,3,0)*VLOOKUP('Données projet'!$B$15,Paramètres!$A$1:$I$89,5,0)</f>
        <v>-6.1186256061773749E-14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219.76574638403434</v>
      </c>
      <c r="EP185" s="59">
        <f t="shared" si="154"/>
        <v>92.286636088269972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32.081329712276734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32.081329712276734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>
        <f>FE185*VLOOKUP('Données projet'!$B$16,Paramètres!$A$1:$I$89,3,0)*VLOOKUP('Données projet'!$B$16,Paramètres!$A$1:$I$89,5,0)</f>
        <v>0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86.164294406232727</v>
      </c>
      <c r="FK185" s="59">
        <f t="shared" si="156"/>
        <v>138.91188401562334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5.6155424795084041</v>
      </c>
      <c r="FR185" s="21">
        <f>EXP(-LN(2)/25)*FR184+(1-EXP(-LN(2)/25))/(LN(2)/25)*Calculateur!FM185*Calculateur!FO185*VLOOKUP('Données projet'!$B$16,Paramètres!$A$1:$I$89,3,0)*0.475*44/12</f>
        <v>1.4067764601567156</v>
      </c>
      <c r="FS185" s="21">
        <f>EXP(-LN(2)/2)*FS184+(1-EXP(-LN(2)/2))/(LN(2)/2)*FM185*FP185*VLOOKUP('Données projet'!$B$16,Paramètres!$A$1:$I$89,3,0)*0.475*44/12</f>
        <v>1.5263863858635851E-17</v>
      </c>
      <c r="FT185" s="22">
        <f t="shared" si="184"/>
        <v>7.0223189396651193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150.21793637331223</v>
      </c>
      <c r="T186" s="59">
        <f t="shared" si="142"/>
        <v>364.59164590134486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5.1518759368052738</v>
      </c>
      <c r="AA186" s="21">
        <f>EXP(-LN(2)/25)*AA185+(1-EXP(-LN(2)/25))/(LN(2)/25)*Calculateur!V186*Calculateur!X186*VLOOKUP('Données projet'!$B$9,Paramètres!$A$1:$I$89,3,0)*0.475*44/12</f>
        <v>0.32383675313163002</v>
      </c>
      <c r="AB186" s="21">
        <f>EXP(-LN(2)/2)*AB185+(1-EXP(-LN(2)/2))/(LN(2)/2)*V186*Y186*VLOOKUP('Données projet'!$B$9,Paramètres!$A$1:$I$89,3,0)*0.475*44/12</f>
        <v>1.8113695591345673E-22</v>
      </c>
      <c r="AC186" s="22">
        <f t="shared" si="163"/>
        <v>5.4757126899369037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-5.6843418860808015E-14</v>
      </c>
      <c r="AJ186" s="13">
        <f>AI186*VLOOKUP('Données projet'!$B$10,Paramètres!$A$1:$I$89,3,0)*VLOOKUP('Données projet'!$B$10,Paramètres!$A$1:$I$89,5,0)</f>
        <v>-6.2073013396002344E-14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223.92539057016376</v>
      </c>
      <c r="AO186" s="59">
        <f t="shared" si="144"/>
        <v>94.125825809616856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31.908063888418248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31.908063888418248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-5.6843418860808015E-14</v>
      </c>
      <c r="BE186" s="13">
        <f>BD186*VLOOKUP('Données projet'!$B$11,Paramètres!$A$1:$I$89,3,0)*VLOOKUP('Données projet'!$B$11,Paramètres!$A$1:$I$89,5,0)</f>
        <v>-6.4733285398688169E-14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236.39682613502913</v>
      </c>
      <c r="BJ186" s="59">
        <f t="shared" si="146"/>
        <v>99.639724892155641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33.275552340779022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33.275552340779022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-5.6843418860808015E-14</v>
      </c>
      <c r="CU186" s="17">
        <f>CT186*VLOOKUP('Données projet'!$B$13,Paramètres!$A$1:$I$89,3,0)*VLOOKUP('Données projet'!$B$13,Paramètres!$A$1:$I$89,5,0)</f>
        <v>-4.7884896048344674E-14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157.20393815370375</v>
      </c>
      <c r="CZ186" s="59">
        <f t="shared" si="150"/>
        <v>64.616965816756363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24.614792142494068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24.614792142494068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-1.1368683772161603E-13</v>
      </c>
      <c r="DP186" s="17">
        <f>DO186*VLOOKUP('Données projet'!$B$14,Paramètres!$A$1:$I$89,3,0)*VLOOKUP('Données projet'!$B$14,Paramètres!$A$1:$I$89,5,0)</f>
        <v>-9.2222762759774927E-14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221.78186926953776</v>
      </c>
      <c r="DU186" s="59">
        <f t="shared" si="152"/>
        <v>276.69392352410654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8.7027460369055234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8.7027460369055234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-5.6843418860808015E-14</v>
      </c>
      <c r="EK186" s="17">
        <f>EJ186*VLOOKUP('Données projet'!$B$15,Paramètres!$A$1:$I$89,3,0)*VLOOKUP('Données projet'!$B$15,Paramètres!$A$1:$I$89,5,0)</f>
        <v>-6.1186256061773749E-14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219.76574638403434</v>
      </c>
      <c r="EP186" s="59">
        <f t="shared" si="154"/>
        <v>92.286636088269972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31.452234404297965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31.452234404297965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>
        <f>FE186*VLOOKUP('Données projet'!$B$16,Paramètres!$A$1:$I$89,3,0)*VLOOKUP('Données projet'!$B$16,Paramètres!$A$1:$I$89,5,0)</f>
        <v>0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86.164294406232727</v>
      </c>
      <c r="FK186" s="59">
        <f t="shared" si="156"/>
        <v>138.91188401562334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5.5054251166279524</v>
      </c>
      <c r="FR186" s="21">
        <f>EXP(-LN(2)/25)*FR185+(1-EXP(-LN(2)/25))/(LN(2)/25)*Calculateur!FM186*Calculateur!FO186*VLOOKUP('Données projet'!$B$16,Paramètres!$A$1:$I$89,3,0)*0.475*44/12</f>
        <v>1.3683080838745714</v>
      </c>
      <c r="FS186" s="21">
        <f>EXP(-LN(2)/2)*FS185+(1-EXP(-LN(2)/2))/(LN(2)/2)*FM186*FP186*VLOOKUP('Données projet'!$B$16,Paramètres!$A$1:$I$89,3,0)*0.475*44/12</f>
        <v>1.0793181641549672E-17</v>
      </c>
      <c r="FT186" s="22">
        <f t="shared" si="184"/>
        <v>6.8737332005025236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150.21793637331223</v>
      </c>
      <c r="T187" s="59">
        <f t="shared" si="142"/>
        <v>364.59164590134486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5.0508507920185641</v>
      </c>
      <c r="AA187" s="21">
        <f>EXP(-LN(2)/25)*AA186+(1-EXP(-LN(2)/25))/(LN(2)/25)*Calculateur!V187*Calculateur!X187*VLOOKUP('Données projet'!$B$9,Paramètres!$A$1:$I$89,3,0)*0.475*44/12</f>
        <v>0.31498142008741087</v>
      </c>
      <c r="AB187" s="21">
        <f>EXP(-LN(2)/2)*AB186+(1-EXP(-LN(2)/2))/(LN(2)/2)*V187*Y187*VLOOKUP('Données projet'!$B$9,Paramètres!$A$1:$I$89,3,0)*0.475*44/12</f>
        <v>1.2808316984989395E-22</v>
      </c>
      <c r="AC187" s="22">
        <f t="shared" si="163"/>
        <v>5.3658322121059747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-5.6843418860808015E-14</v>
      </c>
      <c r="AJ187" s="13">
        <f>AI187*VLOOKUP('Données projet'!$B$10,Paramètres!$A$1:$I$89,3,0)*VLOOKUP('Données projet'!$B$10,Paramètres!$A$1:$I$89,5,0)</f>
        <v>-6.2073013396002344E-14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223.92539057016376</v>
      </c>
      <c r="AO187" s="59">
        <f t="shared" si="144"/>
        <v>94.125825809616856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31.282366217563624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31.282366217563624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-5.6843418860808015E-14</v>
      </c>
      <c r="BE187" s="13">
        <f>BD187*VLOOKUP('Données projet'!$B$11,Paramètres!$A$1:$I$89,3,0)*VLOOKUP('Données projet'!$B$11,Paramètres!$A$1:$I$89,5,0)</f>
        <v>-6.4733285398688169E-14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236.39682613502913</v>
      </c>
      <c r="BJ187" s="59">
        <f t="shared" si="146"/>
        <v>99.639724892155641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32.623039055459202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32.623039055459202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-5.6843418860808015E-14</v>
      </c>
      <c r="CU187" s="17">
        <f>CT187*VLOOKUP('Données projet'!$B$13,Paramètres!$A$1:$I$89,3,0)*VLOOKUP('Données projet'!$B$13,Paramètres!$A$1:$I$89,5,0)</f>
        <v>-4.7884896048344674E-14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157.20393815370375</v>
      </c>
      <c r="CZ187" s="59">
        <f t="shared" si="150"/>
        <v>64.616965816756363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24.132111082120502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24.132111082120502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-1.1368683772161603E-13</v>
      </c>
      <c r="DP187" s="17">
        <f>DO187*VLOOKUP('Données projet'!$B$14,Paramètres!$A$1:$I$89,3,0)*VLOOKUP('Données projet'!$B$14,Paramètres!$A$1:$I$89,5,0)</f>
        <v>-9.2222762759774927E-14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221.78186926953776</v>
      </c>
      <c r="DU187" s="59">
        <f t="shared" si="152"/>
        <v>276.69392352410654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8.5320904952727528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8.5320904952727528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-5.6843418860808015E-14</v>
      </c>
      <c r="EK187" s="17">
        <f>EJ187*VLOOKUP('Données projet'!$B$15,Paramètres!$A$1:$I$89,3,0)*VLOOKUP('Données projet'!$B$15,Paramètres!$A$1:$I$89,5,0)</f>
        <v>-6.1186256061773749E-14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219.76574638403434</v>
      </c>
      <c r="EP187" s="59">
        <f t="shared" si="154"/>
        <v>92.286636088269972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30.835475271598408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30.835475271598408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>
        <f>FE187*VLOOKUP('Données projet'!$B$16,Paramètres!$A$1:$I$89,3,0)*VLOOKUP('Données projet'!$B$16,Paramètres!$A$1:$I$89,5,0)</f>
        <v>0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86.164294406232727</v>
      </c>
      <c r="FK187" s="59">
        <f t="shared" si="156"/>
        <v>138.91188401562334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5.3974670880686269</v>
      </c>
      <c r="FR187" s="21">
        <f>EXP(-LN(2)/25)*FR186+(1-EXP(-LN(2)/25))/(LN(2)/25)*Calculateur!FM187*Calculateur!FO187*VLOOKUP('Données projet'!$B$16,Paramètres!$A$1:$I$89,3,0)*0.475*44/12</f>
        <v>1.3308916273648264</v>
      </c>
      <c r="FS187" s="21">
        <f>EXP(-LN(2)/2)*FS186+(1-EXP(-LN(2)/2))/(LN(2)/2)*FM187*FP187*VLOOKUP('Données projet'!$B$16,Paramètres!$A$1:$I$89,3,0)*0.475*44/12</f>
        <v>7.6319319293179257E-18</v>
      </c>
      <c r="FT187" s="22">
        <f t="shared" si="184"/>
        <v>6.728358715433453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150.21793637331223</v>
      </c>
      <c r="T188" s="59">
        <f t="shared" si="142"/>
        <v>364.59164590134486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4.9518066887018675</v>
      </c>
      <c r="AA188" s="21">
        <f>EXP(-LN(2)/25)*AA187+(1-EXP(-LN(2)/25))/(LN(2)/25)*Calculateur!V188*Calculateur!X188*VLOOKUP('Données projet'!$B$9,Paramètres!$A$1:$I$89,3,0)*0.475*44/12</f>
        <v>0.30636823659096762</v>
      </c>
      <c r="AB188" s="21">
        <f>EXP(-LN(2)/2)*AB187+(1-EXP(-LN(2)/2))/(LN(2)/2)*V188*Y188*VLOOKUP('Données projet'!$B$9,Paramètres!$A$1:$I$89,3,0)*0.475*44/12</f>
        <v>9.0568477956728363E-23</v>
      </c>
      <c r="AC188" s="22">
        <f t="shared" si="163"/>
        <v>5.2581749252928347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-5.6843418860808015E-14</v>
      </c>
      <c r="AJ188" s="13">
        <f>AI188*VLOOKUP('Données projet'!$B$10,Paramètres!$A$1:$I$89,3,0)*VLOOKUP('Données projet'!$B$10,Paramètres!$A$1:$I$89,5,0)</f>
        <v>-6.2073013396002344E-14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223.92539057016376</v>
      </c>
      <c r="AO188" s="59">
        <f t="shared" si="144"/>
        <v>94.125825809616856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30.668938096396566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30.668938096396566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-5.6843418860808015E-14</v>
      </c>
      <c r="BE188" s="13">
        <f>BD188*VLOOKUP('Données projet'!$B$11,Paramètres!$A$1:$I$89,3,0)*VLOOKUP('Données projet'!$B$11,Paramètres!$A$1:$I$89,5,0)</f>
        <v>-6.4733285398688169E-14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236.39682613502913</v>
      </c>
      <c r="BJ188" s="59">
        <f t="shared" si="146"/>
        <v>99.639724892155641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31.983321157670698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31.983321157670698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-5.6843418860808015E-14</v>
      </c>
      <c r="CU188" s="17">
        <f>CT188*VLOOKUP('Données projet'!$B$13,Paramètres!$A$1:$I$89,3,0)*VLOOKUP('Données projet'!$B$13,Paramètres!$A$1:$I$89,5,0)</f>
        <v>-4.7884896048344674E-14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157.20393815370375</v>
      </c>
      <c r="CZ188" s="59">
        <f t="shared" si="150"/>
        <v>64.616965816756363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23.658895102934487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23.658895102934487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-1.1368683772161603E-13</v>
      </c>
      <c r="DP188" s="17">
        <f>DO188*VLOOKUP('Données projet'!$B$14,Paramètres!$A$1:$I$89,3,0)*VLOOKUP('Données projet'!$B$14,Paramètres!$A$1:$I$89,5,0)</f>
        <v>-9.2222762759774927E-14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221.78186926953776</v>
      </c>
      <c r="DU188" s="59">
        <f t="shared" si="152"/>
        <v>276.69392352410654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8.3647814047217981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8.3647814047217981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-5.6843418860808015E-14</v>
      </c>
      <c r="EK188" s="17">
        <f>EJ188*VLOOKUP('Données projet'!$B$15,Paramètres!$A$1:$I$89,3,0)*VLOOKUP('Données projet'!$B$15,Paramètres!$A$1:$I$89,5,0)</f>
        <v>-6.1186256061773749E-14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219.76574638403434</v>
      </c>
      <c r="EP188" s="59">
        <f t="shared" si="154"/>
        <v>92.286636088269972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30.230810409305164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30.230810409305164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>
        <f>FE188*VLOOKUP('Données projet'!$B$16,Paramètres!$A$1:$I$89,3,0)*VLOOKUP('Données projet'!$B$16,Paramètres!$A$1:$I$89,5,0)</f>
        <v>0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86.164294406232727</v>
      </c>
      <c r="FK188" s="59">
        <f t="shared" si="156"/>
        <v>138.91188401562334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5.2916260506014536</v>
      </c>
      <c r="FR188" s="21">
        <f>EXP(-LN(2)/25)*FR187+(1-EXP(-LN(2)/25))/(LN(2)/25)*Calculateur!FM188*Calculateur!FO188*VLOOKUP('Données projet'!$B$16,Paramètres!$A$1:$I$89,3,0)*0.475*44/12</f>
        <v>1.2944983258259863</v>
      </c>
      <c r="FS188" s="21">
        <f>EXP(-LN(2)/2)*FS187+(1-EXP(-LN(2)/2))/(LN(2)/2)*FM188*FP188*VLOOKUP('Données projet'!$B$16,Paramètres!$A$1:$I$89,3,0)*0.475*44/12</f>
        <v>5.396590820774836E-18</v>
      </c>
      <c r="FT188" s="22">
        <f t="shared" si="184"/>
        <v>6.5861243764274402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150.21793637331223</v>
      </c>
      <c r="T189" s="59">
        <f t="shared" si="142"/>
        <v>364.59164590134486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4.854704779840274</v>
      </c>
      <c r="AA189" s="21">
        <f>EXP(-LN(2)/25)*AA188+(1-EXP(-LN(2)/25))/(LN(2)/25)*Calculateur!V189*Calculateur!X189*VLOOKUP('Données projet'!$B$9,Paramètres!$A$1:$I$89,3,0)*0.475*44/12</f>
        <v>0.29799058105018228</v>
      </c>
      <c r="AB189" s="21">
        <f>EXP(-LN(2)/2)*AB188+(1-EXP(-LN(2)/2))/(LN(2)/2)*V189*Y189*VLOOKUP('Données projet'!$B$9,Paramètres!$A$1:$I$89,3,0)*0.475*44/12</f>
        <v>6.4041584924946975E-23</v>
      </c>
      <c r="AC189" s="22">
        <f t="shared" si="163"/>
        <v>5.1526953608904567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-5.6843418860808015E-14</v>
      </c>
      <c r="AJ189" s="13">
        <f>AI189*VLOOKUP('Données projet'!$B$10,Paramètres!$A$1:$I$89,3,0)*VLOOKUP('Données projet'!$B$10,Paramètres!$A$1:$I$89,5,0)</f>
        <v>-6.2073013396002344E-14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223.92539057016376</v>
      </c>
      <c r="AO189" s="59">
        <f t="shared" si="144"/>
        <v>94.125825809616856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30.067538926531384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30.067538926531384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-5.6843418860808015E-14</v>
      </c>
      <c r="BE189" s="13">
        <f>BD189*VLOOKUP('Données projet'!$B$11,Paramètres!$A$1:$I$89,3,0)*VLOOKUP('Données projet'!$B$11,Paramètres!$A$1:$I$89,5,0)</f>
        <v>-6.4733285398688169E-14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236.39682613502913</v>
      </c>
      <c r="BJ189" s="59">
        <f t="shared" si="146"/>
        <v>99.639724892155641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31.356147737668437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31.356147737668437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-5.6843418860808015E-14</v>
      </c>
      <c r="CU189" s="17">
        <f>CT189*VLOOKUP('Données projet'!$B$13,Paramètres!$A$1:$I$89,3,0)*VLOOKUP('Données projet'!$B$13,Paramètres!$A$1:$I$89,5,0)</f>
        <v>-4.7884896048344674E-14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157.20393815370375</v>
      </c>
      <c r="CZ189" s="59">
        <f t="shared" si="150"/>
        <v>64.616965816756363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23.194958600467061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23.194958600467061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-1.1368683772161603E-13</v>
      </c>
      <c r="DP189" s="17">
        <f>DO189*VLOOKUP('Données projet'!$B$14,Paramètres!$A$1:$I$89,3,0)*VLOOKUP('Données projet'!$B$14,Paramètres!$A$1:$I$89,5,0)</f>
        <v>-9.2222762759774927E-14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221.78186926953776</v>
      </c>
      <c r="DU189" s="59">
        <f t="shared" si="152"/>
        <v>276.69392352410654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8.2007531433880789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8.2007531433880789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-5.6843418860808015E-14</v>
      </c>
      <c r="EK189" s="17">
        <f>EJ189*VLOOKUP('Données projet'!$B$15,Paramètres!$A$1:$I$89,3,0)*VLOOKUP('Données projet'!$B$15,Paramètres!$A$1:$I$89,5,0)</f>
        <v>-6.1186256061773749E-14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219.76574638403434</v>
      </c>
      <c r="EP189" s="59">
        <f t="shared" si="154"/>
        <v>92.286636088269972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29.638002656152342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29.638002656152342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>
        <f>FE189*VLOOKUP('Données projet'!$B$16,Paramètres!$A$1:$I$89,3,0)*VLOOKUP('Données projet'!$B$16,Paramètres!$A$1:$I$89,5,0)</f>
        <v>0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86.164294406232727</v>
      </c>
      <c r="FK189" s="59">
        <f t="shared" si="156"/>
        <v>138.91188401562334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5.1878604913223541</v>
      </c>
      <c r="FR189" s="21">
        <f>EXP(-LN(2)/25)*FR188+(1-EXP(-LN(2)/25))/(LN(2)/25)*Calculateur!FM189*Calculateur!FO189*VLOOKUP('Données projet'!$B$16,Paramètres!$A$1:$I$89,3,0)*0.475*44/12</f>
        <v>1.2591002010315664</v>
      </c>
      <c r="FS189" s="21">
        <f>EXP(-LN(2)/2)*FS188+(1-EXP(-LN(2)/2))/(LN(2)/2)*FM189*FP189*VLOOKUP('Données projet'!$B$16,Paramètres!$A$1:$I$89,3,0)*0.475*44/12</f>
        <v>3.8159659646589629E-18</v>
      </c>
      <c r="FT189" s="22">
        <f t="shared" si="184"/>
        <v>6.4469606923539207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150.21793637331223</v>
      </c>
      <c r="T190" s="59">
        <f t="shared" si="142"/>
        <v>364.59164590134486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4.7595069801851402</v>
      </c>
      <c r="AA190" s="21">
        <f>EXP(-LN(2)/25)*AA189+(1-EXP(-LN(2)/25))/(LN(2)/25)*Calculateur!V190*Calculateur!X190*VLOOKUP('Données projet'!$B$9,Paramètres!$A$1:$I$89,3,0)*0.475*44/12</f>
        <v>0.28984201294072143</v>
      </c>
      <c r="AB190" s="21">
        <f>EXP(-LN(2)/2)*AB189+(1-EXP(-LN(2)/2))/(LN(2)/2)*V190*Y190*VLOOKUP('Données projet'!$B$9,Paramètres!$A$1:$I$89,3,0)*0.475*44/12</f>
        <v>4.5284238978364182E-23</v>
      </c>
      <c r="AC190" s="22">
        <f t="shared" si="163"/>
        <v>5.0493489931258617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-5.6843418860808015E-14</v>
      </c>
      <c r="AJ190" s="13">
        <f>AI190*VLOOKUP('Données projet'!$B$10,Paramètres!$A$1:$I$89,3,0)*VLOOKUP('Données projet'!$B$10,Paramètres!$A$1:$I$89,5,0)</f>
        <v>-6.2073013396002344E-14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223.92539057016376</v>
      </c>
      <c r="AO190" s="59">
        <f t="shared" si="144"/>
        <v>94.125825809616856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29.477932827569983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29.477932827569983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-5.6843418860808015E-14</v>
      </c>
      <c r="BE190" s="13">
        <f>BD190*VLOOKUP('Données projet'!$B$11,Paramètres!$A$1:$I$89,3,0)*VLOOKUP('Données projet'!$B$11,Paramètres!$A$1:$I$89,5,0)</f>
        <v>-6.4733285398688169E-14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236.39682613502913</v>
      </c>
      <c r="BJ190" s="59">
        <f t="shared" si="146"/>
        <v>99.639724892155641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30.741272805894408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30.741272805894408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-5.6843418860808015E-14</v>
      </c>
      <c r="CU190" s="17">
        <f>CT190*VLOOKUP('Données projet'!$B$13,Paramètres!$A$1:$I$89,3,0)*VLOOKUP('Données projet'!$B$13,Paramètres!$A$1:$I$89,5,0)</f>
        <v>-4.7884896048344674E-14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157.20393815370375</v>
      </c>
      <c r="CZ190" s="59">
        <f t="shared" si="150"/>
        <v>64.616965816756363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22.740119609839695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22.740119609839695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-1.1368683772161603E-13</v>
      </c>
      <c r="DP190" s="17">
        <f>DO190*VLOOKUP('Données projet'!$B$14,Paramètres!$A$1:$I$89,3,0)*VLOOKUP('Données projet'!$B$14,Paramètres!$A$1:$I$89,5,0)</f>
        <v>-9.2222762759774927E-14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221.78186926953776</v>
      </c>
      <c r="DU190" s="59">
        <f t="shared" si="152"/>
        <v>276.69392352410654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8.039941376211754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8.039941376211754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-5.6843418860808015E-14</v>
      </c>
      <c r="EK190" s="17">
        <f>EJ190*VLOOKUP('Données projet'!$B$15,Paramètres!$A$1:$I$89,3,0)*VLOOKUP('Données projet'!$B$15,Paramètres!$A$1:$I$89,5,0)</f>
        <v>-6.1186256061773749E-14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219.76574638403434</v>
      </c>
      <c r="EP190" s="59">
        <f t="shared" si="154"/>
        <v>92.286636088269972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29.05681950146182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29.05681950146182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>
        <f>FE190*VLOOKUP('Données projet'!$B$16,Paramètres!$A$1:$I$89,3,0)*VLOOKUP('Données projet'!$B$16,Paramètres!$A$1:$I$89,5,0)</f>
        <v>0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86.164294406232727</v>
      </c>
      <c r="FK190" s="59">
        <f t="shared" si="156"/>
        <v>138.91188401562334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5.086129711369975</v>
      </c>
      <c r="FR190" s="21">
        <f>EXP(-LN(2)/25)*FR189+(1-EXP(-LN(2)/25))/(LN(2)/25)*Calculateur!FM190*Calculateur!FO190*VLOOKUP('Données projet'!$B$16,Paramètres!$A$1:$I$89,3,0)*0.475*44/12</f>
        <v>1.2246700398211563</v>
      </c>
      <c r="FS190" s="21">
        <f>EXP(-LN(2)/2)*FS189+(1-EXP(-LN(2)/2))/(LN(2)/2)*FM190*FP190*VLOOKUP('Données projet'!$B$16,Paramètres!$A$1:$I$89,3,0)*0.475*44/12</f>
        <v>2.698295410387418E-18</v>
      </c>
      <c r="FT190" s="22">
        <f t="shared" si="184"/>
        <v>6.3107997511911318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150.21793637331223</v>
      </c>
      <c r="T191" s="59">
        <f t="shared" si="142"/>
        <v>364.59164590134486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4.666175951316319</v>
      </c>
      <c r="AA191" s="21">
        <f>EXP(-LN(2)/25)*AA190+(1-EXP(-LN(2)/25))/(LN(2)/25)*Calculateur!V191*Calculateur!X191*VLOOKUP('Données projet'!$B$9,Paramètres!$A$1:$I$89,3,0)*0.475*44/12</f>
        <v>0.2819162678547284</v>
      </c>
      <c r="AB191" s="21">
        <f>EXP(-LN(2)/2)*AB190+(1-EXP(-LN(2)/2))/(LN(2)/2)*V191*Y191*VLOOKUP('Données projet'!$B$9,Paramètres!$A$1:$I$89,3,0)*0.475*44/12</f>
        <v>3.2020792462473488E-23</v>
      </c>
      <c r="AC191" s="22">
        <f t="shared" si="163"/>
        <v>4.9480922191710475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-5.6843418860808015E-14</v>
      </c>
      <c r="AJ191" s="13">
        <f>AI191*VLOOKUP('Données projet'!$B$10,Paramètres!$A$1:$I$89,3,0)*VLOOKUP('Données projet'!$B$10,Paramètres!$A$1:$I$89,5,0)</f>
        <v>-6.2073013396002344E-14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223.92539057016376</v>
      </c>
      <c r="AO191" s="59">
        <f t="shared" si="144"/>
        <v>94.125825809616856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28.899888544585007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28.899888544585007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-5.6843418860808015E-14</v>
      </c>
      <c r="BE191" s="13">
        <f>BD191*VLOOKUP('Données projet'!$B$11,Paramètres!$A$1:$I$89,3,0)*VLOOKUP('Données projet'!$B$11,Paramètres!$A$1:$I$89,5,0)</f>
        <v>-6.4733285398688169E-14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236.39682613502913</v>
      </c>
      <c r="BJ191" s="59">
        <f t="shared" si="146"/>
        <v>99.639724892155641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30.138455196495791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30.138455196495791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-5.6843418860808015E-14</v>
      </c>
      <c r="CU191" s="17">
        <f>CT191*VLOOKUP('Données projet'!$B$13,Paramètres!$A$1:$I$89,3,0)*VLOOKUP('Données projet'!$B$13,Paramètres!$A$1:$I$89,5,0)</f>
        <v>-4.7884896048344674E-14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157.20393815370375</v>
      </c>
      <c r="CZ191" s="59">
        <f t="shared" si="150"/>
        <v>64.616965816756363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22.294199734394141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22.294199734394141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-1.1368683772161603E-13</v>
      </c>
      <c r="DP191" s="17">
        <f>DO191*VLOOKUP('Données projet'!$B$14,Paramètres!$A$1:$I$89,3,0)*VLOOKUP('Données projet'!$B$14,Paramètres!$A$1:$I$89,5,0)</f>
        <v>-9.2222762759774927E-14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221.78186926953776</v>
      </c>
      <c r="DU191" s="59">
        <f t="shared" si="152"/>
        <v>276.69392352410654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7.8822830297042632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7.8822830297042632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-5.6843418860808015E-14</v>
      </c>
      <c r="EK191" s="17">
        <f>EJ191*VLOOKUP('Données projet'!$B$15,Paramètres!$A$1:$I$89,3,0)*VLOOKUP('Données projet'!$B$15,Paramètres!$A$1:$I$89,5,0)</f>
        <v>-6.1186256061773749E-14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219.76574638403434</v>
      </c>
      <c r="EP191" s="59">
        <f t="shared" si="154"/>
        <v>92.286636088269972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28.487032993948059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28.487032993948059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>
        <f>FE191*VLOOKUP('Données projet'!$B$16,Paramètres!$A$1:$I$89,3,0)*VLOOKUP('Données projet'!$B$16,Paramètres!$A$1:$I$89,5,0)</f>
        <v>0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86.164294406232727</v>
      </c>
      <c r="FK191" s="59">
        <f t="shared" si="156"/>
        <v>138.91188401562334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4.9863938099628138</v>
      </c>
      <c r="FR191" s="21">
        <f>EXP(-LN(2)/25)*FR190+(1-EXP(-LN(2)/25))/(LN(2)/25)*Calculateur!FM191*Calculateur!FO191*VLOOKUP('Données projet'!$B$16,Paramètres!$A$1:$I$89,3,0)*0.475*44/12</f>
        <v>1.1911813731796483</v>
      </c>
      <c r="FS191" s="21">
        <f>EXP(-LN(2)/2)*FS190+(1-EXP(-LN(2)/2))/(LN(2)/2)*FM191*FP191*VLOOKUP('Données projet'!$B$16,Paramètres!$A$1:$I$89,3,0)*0.475*44/12</f>
        <v>1.9079829823294814E-18</v>
      </c>
      <c r="FT191" s="22">
        <f t="shared" si="184"/>
        <v>6.1775751831424621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150.21793637331223</v>
      </c>
      <c r="T192" s="59">
        <f t="shared" si="142"/>
        <v>364.59164590134486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4.574675086997309</v>
      </c>
      <c r="AA192" s="21">
        <f>EXP(-LN(2)/25)*AA191+(1-EXP(-LN(2)/25))/(LN(2)/25)*Calculateur!V192*Calculateur!X192*VLOOKUP('Données projet'!$B$9,Paramètres!$A$1:$I$89,3,0)*0.475*44/12</f>
        <v>0.27420725268490864</v>
      </c>
      <c r="AB192" s="21">
        <f>EXP(-LN(2)/2)*AB191+(1-EXP(-LN(2)/2))/(LN(2)/2)*V192*Y192*VLOOKUP('Données projet'!$B$9,Paramètres!$A$1:$I$89,3,0)*0.475*44/12</f>
        <v>2.2642119489182091E-23</v>
      </c>
      <c r="AC192" s="22">
        <f t="shared" si="163"/>
        <v>4.848882339682218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-5.6843418860808015E-14</v>
      </c>
      <c r="AJ192" s="13">
        <f>AI192*VLOOKUP('Données projet'!$B$10,Paramètres!$A$1:$I$89,3,0)*VLOOKUP('Données projet'!$B$10,Paramètres!$A$1:$I$89,5,0)</f>
        <v>-6.2073013396002344E-14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223.92539057016376</v>
      </c>
      <c r="AO192" s="59">
        <f t="shared" si="144"/>
        <v>94.125825809616856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28.333179357417166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28.333179357417166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-5.6843418860808015E-14</v>
      </c>
      <c r="BE192" s="13">
        <f>BD192*VLOOKUP('Données projet'!$B$11,Paramètres!$A$1:$I$89,3,0)*VLOOKUP('Données projet'!$B$11,Paramètres!$A$1:$I$89,5,0)</f>
        <v>-6.4733285398688169E-14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236.39682613502913</v>
      </c>
      <c r="BJ192" s="59">
        <f t="shared" si="146"/>
        <v>99.639724892155641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29.547458472735045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29.547458472735045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-5.6843418860808015E-14</v>
      </c>
      <c r="CU192" s="17">
        <f>CT192*VLOOKUP('Données projet'!$B$13,Paramètres!$A$1:$I$89,3,0)*VLOOKUP('Données projet'!$B$13,Paramètres!$A$1:$I$89,5,0)</f>
        <v>-4.7884896048344674E-14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157.20393815370375</v>
      </c>
      <c r="CZ192" s="59">
        <f t="shared" si="150"/>
        <v>64.616965816756363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21.857024075721807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21.857024075721807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-1.1368683772161603E-13</v>
      </c>
      <c r="DP192" s="17">
        <f>DO192*VLOOKUP('Données projet'!$B$14,Paramètres!$A$1:$I$89,3,0)*VLOOKUP('Données projet'!$B$14,Paramètres!$A$1:$I$89,5,0)</f>
        <v>-9.2222762759774927E-14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221.78186926953776</v>
      </c>
      <c r="DU192" s="59">
        <f t="shared" si="152"/>
        <v>276.69392352410654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7.7277162672096882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7.7277162672096882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-5.6843418860808015E-14</v>
      </c>
      <c r="EK192" s="17">
        <f>EJ192*VLOOKUP('Données projet'!$B$15,Paramètres!$A$1:$I$89,3,0)*VLOOKUP('Données projet'!$B$15,Paramètres!$A$1:$I$89,5,0)</f>
        <v>-6.1186256061773749E-14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219.76574638403434</v>
      </c>
      <c r="EP192" s="59">
        <f t="shared" si="154"/>
        <v>92.286636088269972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27.928419652311188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27.928419652311188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>
        <f>FE192*VLOOKUP('Données projet'!$B$16,Paramètres!$A$1:$I$89,3,0)*VLOOKUP('Données projet'!$B$16,Paramètres!$A$1:$I$89,5,0)</f>
        <v>0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86.164294406232727</v>
      </c>
      <c r="FK192" s="59">
        <f t="shared" si="156"/>
        <v>138.91188401562334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4.888613668749354</v>
      </c>
      <c r="FR192" s="21">
        <f>EXP(-LN(2)/25)*FR191+(1-EXP(-LN(2)/25))/(LN(2)/25)*Calculateur!FM192*Calculateur!FO192*VLOOKUP('Données projet'!$B$16,Paramètres!$A$1:$I$89,3,0)*0.475*44/12</f>
        <v>1.158608455888545</v>
      </c>
      <c r="FS192" s="21">
        <f>EXP(-LN(2)/2)*FS191+(1-EXP(-LN(2)/2))/(LN(2)/2)*FM192*FP192*VLOOKUP('Données projet'!$B$16,Paramètres!$A$1:$I$89,3,0)*0.475*44/12</f>
        <v>1.349147705193709E-18</v>
      </c>
      <c r="FT192" s="22">
        <f t="shared" si="184"/>
        <v>6.0472221246378988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150.21793637331223</v>
      </c>
      <c r="T193" s="59">
        <f t="shared" si="142"/>
        <v>364.59164590134486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4.4849684988175778</v>
      </c>
      <c r="AA193" s="21">
        <f>EXP(-LN(2)/25)*AA192+(1-EXP(-LN(2)/25))/(LN(2)/25)*Calculateur!V193*Calculateur!X193*VLOOKUP('Données projet'!$B$9,Paramètres!$A$1:$I$89,3,0)*0.475*44/12</f>
        <v>0.26670904094030712</v>
      </c>
      <c r="AB193" s="21">
        <f>EXP(-LN(2)/2)*AB192+(1-EXP(-LN(2)/2))/(LN(2)/2)*V193*Y193*VLOOKUP('Données projet'!$B$9,Paramètres!$A$1:$I$89,3,0)*0.475*44/12</f>
        <v>1.6010396231236744E-23</v>
      </c>
      <c r="AC193" s="22">
        <f t="shared" si="163"/>
        <v>4.7516775397578845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-5.6843418860808015E-14</v>
      </c>
      <c r="AJ193" s="13">
        <f>AI193*VLOOKUP('Données projet'!$B$10,Paramètres!$A$1:$I$89,3,0)*VLOOKUP('Données projet'!$B$10,Paramètres!$A$1:$I$89,5,0)</f>
        <v>-6.2073013396002344E-14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223.92539057016376</v>
      </c>
      <c r="AO193" s="59">
        <f t="shared" si="144"/>
        <v>94.125825809616856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27.777582991751213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27.777582991751213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-5.6843418860808015E-14</v>
      </c>
      <c r="BE193" s="13">
        <f>BD193*VLOOKUP('Données projet'!$B$11,Paramètres!$A$1:$I$89,3,0)*VLOOKUP('Données projet'!$B$11,Paramètres!$A$1:$I$89,5,0)</f>
        <v>-6.4733285398688169E-14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236.39682613502913</v>
      </c>
      <c r="BJ193" s="59">
        <f t="shared" si="146"/>
        <v>99.639724892155641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28.968050834254836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28.968050834254836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-5.6843418860808015E-14</v>
      </c>
      <c r="CU193" s="17">
        <f>CT193*VLOOKUP('Données projet'!$B$13,Paramètres!$A$1:$I$89,3,0)*VLOOKUP('Données projet'!$B$13,Paramètres!$A$1:$I$89,5,0)</f>
        <v>-4.7884896048344674E-14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157.20393815370375</v>
      </c>
      <c r="CZ193" s="59">
        <f t="shared" si="150"/>
        <v>64.616965816756363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21.428421165065217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21.428421165065217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-1.1368683772161603E-13</v>
      </c>
      <c r="DP193" s="17">
        <f>DO193*VLOOKUP('Données projet'!$B$14,Paramètres!$A$1:$I$89,3,0)*VLOOKUP('Données projet'!$B$14,Paramètres!$A$1:$I$89,5,0)</f>
        <v>-9.2222762759774927E-14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221.78186926953776</v>
      </c>
      <c r="DU193" s="59">
        <f t="shared" si="152"/>
        <v>276.69392352410654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7.5761804646512152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7.5761804646512152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-5.6843418860808015E-14</v>
      </c>
      <c r="EK193" s="17">
        <f>EJ193*VLOOKUP('Données projet'!$B$15,Paramètres!$A$1:$I$89,3,0)*VLOOKUP('Données projet'!$B$15,Paramètres!$A$1:$I$89,5,0)</f>
        <v>-6.1186256061773749E-14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219.76574638403434</v>
      </c>
      <c r="EP193" s="59">
        <f t="shared" si="154"/>
        <v>92.286636088269972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27.380760377583321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27.380760377583321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>
        <f>FE193*VLOOKUP('Données projet'!$B$16,Paramètres!$A$1:$I$89,3,0)*VLOOKUP('Données projet'!$B$16,Paramètres!$A$1:$I$89,5,0)</f>
        <v>0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86.164294406232727</v>
      </c>
      <c r="FK193" s="59">
        <f t="shared" si="156"/>
        <v>138.91188401562334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4.7927509364650929</v>
      </c>
      <c r="FR193" s="21">
        <f>EXP(-LN(2)/25)*FR192+(1-EXP(-LN(2)/25))/(LN(2)/25)*Calculateur!FM193*Calculateur!FO193*VLOOKUP('Données projet'!$B$16,Paramètres!$A$1:$I$89,3,0)*0.475*44/12</f>
        <v>1.126926246733702</v>
      </c>
      <c r="FS193" s="21">
        <f>EXP(-LN(2)/2)*FS192+(1-EXP(-LN(2)/2))/(LN(2)/2)*FM193*FP193*VLOOKUP('Données projet'!$B$16,Paramètres!$A$1:$I$89,3,0)*0.475*44/12</f>
        <v>9.5399149116474072E-19</v>
      </c>
      <c r="FT193" s="22">
        <f t="shared" si="184"/>
        <v>5.9196771831987949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150.21793637331223</v>
      </c>
      <c r="T194" s="59">
        <f t="shared" si="142"/>
        <v>364.59164590134486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4.3970210021164355</v>
      </c>
      <c r="AA194" s="21">
        <f>EXP(-LN(2)/25)*AA193+(1-EXP(-LN(2)/25))/(LN(2)/25)*Calculateur!V194*Calculateur!X194*VLOOKUP('Données projet'!$B$9,Paramètres!$A$1:$I$89,3,0)*0.475*44/12</f>
        <v>0.25941586819017554</v>
      </c>
      <c r="AB194" s="21">
        <f>EXP(-LN(2)/2)*AB193+(1-EXP(-LN(2)/2))/(LN(2)/2)*V194*Y194*VLOOKUP('Données projet'!$B$9,Paramètres!$A$1:$I$89,3,0)*0.475*44/12</f>
        <v>1.1321059744591045E-23</v>
      </c>
      <c r="AC194" s="22">
        <f t="shared" si="163"/>
        <v>4.656436870306611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-5.6843418860808015E-14</v>
      </c>
      <c r="AJ194" s="13">
        <f>AI194*VLOOKUP('Données projet'!$B$10,Paramètres!$A$1:$I$89,3,0)*VLOOKUP('Données projet'!$B$10,Paramètres!$A$1:$I$89,5,0)</f>
        <v>-6.2073013396002344E-14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223.92539057016376</v>
      </c>
      <c r="AO194" s="59">
        <f t="shared" si="144"/>
        <v>94.125825809616856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27.23288153193565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27.23288153193565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-5.6843418860808015E-14</v>
      </c>
      <c r="BE194" s="13">
        <f>BD194*VLOOKUP('Données projet'!$B$11,Paramètres!$A$1:$I$89,3,0)*VLOOKUP('Données projet'!$B$11,Paramètres!$A$1:$I$89,5,0)</f>
        <v>-6.4733285398688169E-14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236.39682613502913</v>
      </c>
      <c r="BJ194" s="59">
        <f t="shared" si="146"/>
        <v>99.639724892155641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28.400005026161462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28.400005026161462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-5.6843418860808015E-14</v>
      </c>
      <c r="CU194" s="17">
        <f>CT194*VLOOKUP('Données projet'!$B$13,Paramètres!$A$1:$I$89,3,0)*VLOOKUP('Données projet'!$B$13,Paramètres!$A$1:$I$89,5,0)</f>
        <v>-4.7884896048344674E-14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157.20393815370375</v>
      </c>
      <c r="CZ194" s="59">
        <f t="shared" si="150"/>
        <v>64.616965816756363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21.008222896064638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21.008222896064638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-1.1368683772161603E-13</v>
      </c>
      <c r="DP194" s="17">
        <f>DO194*VLOOKUP('Données projet'!$B$14,Paramètres!$A$1:$I$89,3,0)*VLOOKUP('Données projet'!$B$14,Paramètres!$A$1:$I$89,5,0)</f>
        <v>-9.2222762759774927E-14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221.78186926953776</v>
      </c>
      <c r="DU194" s="59">
        <f t="shared" si="152"/>
        <v>276.69392352410654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7.4276161867532009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7.4276161867532009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-5.6843418860808015E-14</v>
      </c>
      <c r="EK194" s="17">
        <f>EJ194*VLOOKUP('Données projet'!$B$15,Paramètres!$A$1:$I$89,3,0)*VLOOKUP('Données projet'!$B$15,Paramètres!$A$1:$I$89,5,0)</f>
        <v>-6.1186256061773749E-14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219.76574638403434</v>
      </c>
      <c r="EP194" s="59">
        <f t="shared" si="154"/>
        <v>92.286636088269972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26.843840367193692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26.843840367193692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>
        <f>FE194*VLOOKUP('Données projet'!$B$16,Paramètres!$A$1:$I$89,3,0)*VLOOKUP('Données projet'!$B$16,Paramètres!$A$1:$I$89,5,0)</f>
        <v>0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86.164294406232727</v>
      </c>
      <c r="FK194" s="59">
        <f t="shared" si="156"/>
        <v>138.91188401562334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4.6987680138904331</v>
      </c>
      <c r="FR194" s="21">
        <f>EXP(-LN(2)/25)*FR193+(1-EXP(-LN(2)/25))/(LN(2)/25)*Calculateur!FM194*Calculateur!FO194*VLOOKUP('Données projet'!$B$16,Paramètres!$A$1:$I$89,3,0)*0.475*44/12</f>
        <v>1.0961103892542932</v>
      </c>
      <c r="FS194" s="21">
        <f>EXP(-LN(2)/2)*FS193+(1-EXP(-LN(2)/2))/(LN(2)/2)*FM194*FP194*VLOOKUP('Données projet'!$B$16,Paramètres!$A$1:$I$89,3,0)*0.475*44/12</f>
        <v>6.745738525968545E-19</v>
      </c>
      <c r="FT194" s="22">
        <f t="shared" si="184"/>
        <v>5.7948784031447262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150.21793637331223</v>
      </c>
      <c r="T195" s="59">
        <f t="shared" si="142"/>
        <v>364.59164590134486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4.3107981021829263</v>
      </c>
      <c r="AA195" s="21">
        <f>EXP(-LN(2)/25)*AA194+(1-EXP(-LN(2)/25))/(LN(2)/25)*Calculateur!V195*Calculateur!X195*VLOOKUP('Données projet'!$B$9,Paramètres!$A$1:$I$89,3,0)*0.475*44/12</f>
        <v>0.25232212763242756</v>
      </c>
      <c r="AB195" s="21">
        <f>EXP(-LN(2)/2)*AB194+(1-EXP(-LN(2)/2))/(LN(2)/2)*V195*Y195*VLOOKUP('Données projet'!$B$9,Paramètres!$A$1:$I$89,3,0)*0.475*44/12</f>
        <v>8.0051981156183719E-24</v>
      </c>
      <c r="AC195" s="22">
        <f t="shared" si="163"/>
        <v>4.5631202298153539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-5.6843418860808015E-14</v>
      </c>
      <c r="AJ195" s="13">
        <f>AI195*VLOOKUP('Données projet'!$B$10,Paramètres!$A$1:$I$89,3,0)*VLOOKUP('Données projet'!$B$10,Paramètres!$A$1:$I$89,5,0)</f>
        <v>-6.2073013396002344E-14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223.92539057016376</v>
      </c>
      <c r="AO195" s="59">
        <f t="shared" si="144"/>
        <v>94.125825809616856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26.698861335511985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26.698861335511985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-5.6843418860808015E-14</v>
      </c>
      <c r="BE195" s="13">
        <f>BD195*VLOOKUP('Données projet'!$B$11,Paramètres!$A$1:$I$89,3,0)*VLOOKUP('Données projet'!$B$11,Paramètres!$A$1:$I$89,5,0)</f>
        <v>-6.4733285398688169E-14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236.39682613502913</v>
      </c>
      <c r="BJ195" s="59">
        <f t="shared" si="146"/>
        <v>99.639724892155641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27.843098249891067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27.843098249891067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-5.6843418860808015E-14</v>
      </c>
      <c r="CU195" s="17">
        <f>CT195*VLOOKUP('Données projet'!$B$13,Paramètres!$A$1:$I$89,3,0)*VLOOKUP('Données projet'!$B$13,Paramètres!$A$1:$I$89,5,0)</f>
        <v>-4.7884896048344674E-14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157.20393815370375</v>
      </c>
      <c r="CZ195" s="59">
        <f t="shared" si="150"/>
        <v>64.616965816756363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20.596264458823523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20.596264458823523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-1.1368683772161603E-13</v>
      </c>
      <c r="DP195" s="17">
        <f>DO195*VLOOKUP('Données projet'!$B$14,Paramètres!$A$1:$I$89,3,0)*VLOOKUP('Données projet'!$B$14,Paramètres!$A$1:$I$89,5,0)</f>
        <v>-9.2222762759774927E-14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221.78186926953776</v>
      </c>
      <c r="DU195" s="59">
        <f t="shared" si="152"/>
        <v>276.69392352410654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7.2819651637295051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7.2819651637295051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-5.6843418860808015E-14</v>
      </c>
      <c r="EK195" s="17">
        <f>EJ195*VLOOKUP('Données projet'!$B$15,Paramètres!$A$1:$I$89,3,0)*VLOOKUP('Données projet'!$B$15,Paramètres!$A$1:$I$89,5,0)</f>
        <v>-6.1186256061773749E-14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219.76574638403434</v>
      </c>
      <c r="EP195" s="59">
        <f t="shared" si="154"/>
        <v>92.286636088269972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26.317449030718937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26.317449030718937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>
        <f>FE195*VLOOKUP('Données projet'!$B$16,Paramètres!$A$1:$I$89,3,0)*VLOOKUP('Données projet'!$B$16,Paramètres!$A$1:$I$89,5,0)</f>
        <v>0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86.164294406232727</v>
      </c>
      <c r="FK195" s="59">
        <f t="shared" si="156"/>
        <v>138.91188401562334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4.6066280391035397</v>
      </c>
      <c r="FR195" s="21">
        <f>EXP(-LN(2)/25)*FR194+(1-EXP(-LN(2)/25))/(LN(2)/25)*Calculateur!FM195*Calculateur!FO195*VLOOKUP('Données projet'!$B$16,Paramètres!$A$1:$I$89,3,0)*0.475*44/12</f>
        <v>1.0661371930181944</v>
      </c>
      <c r="FS195" s="21">
        <f>EXP(-LN(2)/2)*FS194+(1-EXP(-LN(2)/2))/(LN(2)/2)*FM195*FP195*VLOOKUP('Données projet'!$B$16,Paramètres!$A$1:$I$89,3,0)*0.475*44/12</f>
        <v>4.7699574558237036E-19</v>
      </c>
      <c r="FT195" s="22">
        <f t="shared" si="184"/>
        <v>5.6727652321217343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150.21793637331223</v>
      </c>
      <c r="T196" s="59">
        <f t="shared" si="142"/>
        <v>364.59164590134486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4.2262659807263372</v>
      </c>
      <c r="AA196" s="21">
        <f>EXP(-LN(2)/25)*AA195+(1-EXP(-LN(2)/25))/(LN(2)/25)*Calculateur!V196*Calculateur!X196*VLOOKUP('Données projet'!$B$9,Paramètres!$A$1:$I$89,3,0)*0.475*44/12</f>
        <v>0.24542236578327484</v>
      </c>
      <c r="AB196" s="21">
        <f>EXP(-LN(2)/2)*AB195+(1-EXP(-LN(2)/2))/(LN(2)/2)*V196*Y196*VLOOKUP('Données projet'!$B$9,Paramètres!$A$1:$I$89,3,0)*0.475*44/12</f>
        <v>5.6605298722955227E-24</v>
      </c>
      <c r="AC196" s="22">
        <f t="shared" si="163"/>
        <v>4.4716883465096124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-5.6843418860808015E-14</v>
      </c>
      <c r="AJ196" s="13">
        <f>AI196*VLOOKUP('Données projet'!$B$10,Paramètres!$A$1:$I$89,3,0)*VLOOKUP('Données projet'!$B$10,Paramètres!$A$1:$I$89,5,0)</f>
        <v>-6.2073013396002344E-14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223.92539057016376</v>
      </c>
      <c r="AO196" s="59">
        <f t="shared" si="144"/>
        <v>94.125825809616856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26.175312949420029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26.175312949420029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-5.6843418860808015E-14</v>
      </c>
      <c r="BE196" s="13">
        <f>BD196*VLOOKUP('Données projet'!$B$11,Paramètres!$A$1:$I$89,3,0)*VLOOKUP('Données projet'!$B$11,Paramètres!$A$1:$I$89,5,0)</f>
        <v>-6.4733285398688169E-14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236.39682613502913</v>
      </c>
      <c r="BJ196" s="59">
        <f t="shared" si="146"/>
        <v>99.639724892155641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27.29711207582374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27.29711207582374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-5.6843418860808015E-14</v>
      </c>
      <c r="CU196" s="17">
        <f>CT196*VLOOKUP('Données projet'!$B$13,Paramètres!$A$1:$I$89,3,0)*VLOOKUP('Données projet'!$B$13,Paramètres!$A$1:$I$89,5,0)</f>
        <v>-4.7884896048344674E-14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157.20393815370375</v>
      </c>
      <c r="CZ196" s="59">
        <f t="shared" si="150"/>
        <v>64.616965816756363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20.192384275266871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20.192384275266871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-1.1368683772161603E-13</v>
      </c>
      <c r="DP196" s="17">
        <f>DO196*VLOOKUP('Données projet'!$B$14,Paramètres!$A$1:$I$89,3,0)*VLOOKUP('Données projet'!$B$14,Paramètres!$A$1:$I$89,5,0)</f>
        <v>-9.2222762759774927E-14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221.78186926953776</v>
      </c>
      <c r="DU196" s="59">
        <f t="shared" si="152"/>
        <v>276.69392352410654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7.139170268428952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7.139170268428952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-5.6843418860808015E-14</v>
      </c>
      <c r="EK196" s="17">
        <f>EJ196*VLOOKUP('Données projet'!$B$15,Paramètres!$A$1:$I$89,3,0)*VLOOKUP('Données projet'!$B$15,Paramètres!$A$1:$I$89,5,0)</f>
        <v>-6.1186256061773749E-14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219.76574638403434</v>
      </c>
      <c r="EP196" s="59">
        <f t="shared" si="154"/>
        <v>92.286636088269972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25.801379907285437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25.801379907285437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>
        <f>FE196*VLOOKUP('Données projet'!$B$16,Paramètres!$A$1:$I$89,3,0)*VLOOKUP('Données projet'!$B$16,Paramètres!$A$1:$I$89,5,0)</f>
        <v>0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86.164294406232727</v>
      </c>
      <c r="FK196" s="59">
        <f t="shared" si="156"/>
        <v>138.91188401562334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4.5162948730223818</v>
      </c>
      <c r="FR196" s="21">
        <f>EXP(-LN(2)/25)*FR195+(1-EXP(-LN(2)/25))/(LN(2)/25)*Calculateur!FM196*Calculateur!FO196*VLOOKUP('Données projet'!$B$16,Paramètres!$A$1:$I$89,3,0)*0.475*44/12</f>
        <v>1.0369836154093937</v>
      </c>
      <c r="FS196" s="21">
        <f>EXP(-LN(2)/2)*FS195+(1-EXP(-LN(2)/2))/(LN(2)/2)*FM196*FP196*VLOOKUP('Données projet'!$B$16,Paramètres!$A$1:$I$89,3,0)*0.475*44/12</f>
        <v>3.3728692629842725E-19</v>
      </c>
      <c r="FT196" s="22">
        <f t="shared" si="184"/>
        <v>5.5532784884317756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150.21793637331223</v>
      </c>
      <c r="T197" s="59">
        <f t="shared" ref="T197:T203" si="204">$T$3</f>
        <v>364.59164590134486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4.1433914826120084</v>
      </c>
      <c r="AA197" s="21">
        <f>EXP(-LN(2)/25)*AA196+(1-EXP(-LN(2)/25))/(LN(2)/25)*Calculateur!V197*Calculateur!X197*VLOOKUP('Données projet'!$B$9,Paramètres!$A$1:$I$89,3,0)*0.475*44/12</f>
        <v>0.23871127828472988</v>
      </c>
      <c r="AB197" s="21">
        <f>EXP(-LN(2)/2)*AB196+(1-EXP(-LN(2)/2))/(LN(2)/2)*V197*Y197*VLOOKUP('Données projet'!$B$9,Paramètres!$A$1:$I$89,3,0)*0.475*44/12</f>
        <v>4.002599057809186E-24</v>
      </c>
      <c r="AC197" s="22">
        <f t="shared" si="163"/>
        <v>4.3821027608967382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-5.6843418860808015E-14</v>
      </c>
      <c r="AJ197" s="13">
        <f>AI197*VLOOKUP('Données projet'!$B$10,Paramètres!$A$1:$I$89,3,0)*VLOOKUP('Données projet'!$B$10,Paramètres!$A$1:$I$89,5,0)</f>
        <v>-6.2073013396002344E-14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223.92539057016376</v>
      </c>
      <c r="AO197" s="59">
        <f t="shared" ref="AO197:AO203" si="205">$AO$3</f>
        <v>94.125825809616856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25.662031027846353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25.662031027846353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-5.6843418860808015E-14</v>
      </c>
      <c r="BE197" s="13">
        <f>BD197*VLOOKUP('Données projet'!$B$11,Paramètres!$A$1:$I$89,3,0)*VLOOKUP('Données projet'!$B$11,Paramètres!$A$1:$I$89,5,0)</f>
        <v>-6.4733285398688169E-14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236.39682613502913</v>
      </c>
      <c r="BJ197" s="59">
        <f t="shared" ref="BJ197:BJ203" si="206">$BJ$3</f>
        <v>99.639724892155641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26.761832357611191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26.761832357611191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-5.6843418860808015E-14</v>
      </c>
      <c r="CU197" s="17">
        <f>CT197*VLOOKUP('Données projet'!$B$13,Paramètres!$A$1:$I$89,3,0)*VLOOKUP('Données projet'!$B$13,Paramètres!$A$1:$I$89,5,0)</f>
        <v>-4.7884896048344674E-14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157.20393815370375</v>
      </c>
      <c r="CZ197" s="59">
        <f t="shared" ref="CZ197:CZ203" si="208">$CZ$3</f>
        <v>64.616965816756363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19.796423935767177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19.796423935767177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-1.1368683772161603E-13</v>
      </c>
      <c r="DP197" s="17">
        <f>DO197*VLOOKUP('Données projet'!$B$14,Paramètres!$A$1:$I$89,3,0)*VLOOKUP('Données projet'!$B$14,Paramètres!$A$1:$I$89,5,0)</f>
        <v>-9.2222762759774927E-14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221.78186926953776</v>
      </c>
      <c r="DU197" s="59">
        <f t="shared" ref="DU197:DU203" si="209">$DU$3</f>
        <v>276.69392352410654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6.9991754939289565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6.9991754939289565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-5.6843418860808015E-14</v>
      </c>
      <c r="EK197" s="17">
        <f>EJ197*VLOOKUP('Données projet'!$B$15,Paramètres!$A$1:$I$89,3,0)*VLOOKUP('Données projet'!$B$15,Paramètres!$A$1:$I$89,5,0)</f>
        <v>-6.1186256061773749E-14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219.76574638403434</v>
      </c>
      <c r="EP197" s="59">
        <f t="shared" ref="EP197:EP203" si="210">$EP$3</f>
        <v>92.286636088269972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25.295430584591386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25.295430584591386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>
        <f>FE197*VLOOKUP('Données projet'!$B$16,Paramètres!$A$1:$I$89,3,0)*VLOOKUP('Données projet'!$B$16,Paramètres!$A$1:$I$89,5,0)</f>
        <v>0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86.164294406232727</v>
      </c>
      <c r="FK197" s="59">
        <f t="shared" ref="FK197:FK203" si="211">$FK$3</f>
        <v>138.91188401562334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4.427733085230285</v>
      </c>
      <c r="FR197" s="21">
        <f>EXP(-LN(2)/25)*FR196+(1-EXP(-LN(2)/25))/(LN(2)/25)*Calculateur!FM197*Calculateur!FO197*VLOOKUP('Données projet'!$B$16,Paramètres!$A$1:$I$89,3,0)*0.475*44/12</f>
        <v>1.0086272439134256</v>
      </c>
      <c r="FS197" s="21">
        <f>EXP(-LN(2)/2)*FS196+(1-EXP(-LN(2)/2))/(LN(2)/2)*FM197*FP197*VLOOKUP('Données projet'!$B$16,Paramètres!$A$1:$I$89,3,0)*0.475*44/12</f>
        <v>2.3849787279118518E-19</v>
      </c>
      <c r="FT197" s="22">
        <f t="shared" si="184"/>
        <v>5.4363603291437101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150.21793637331223</v>
      </c>
      <c r="T198" s="59">
        <f t="shared" si="204"/>
        <v>364.59164590134486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4.0621421028572495</v>
      </c>
      <c r="AA198" s="21">
        <f>EXP(-LN(2)/25)*AA197+(1-EXP(-LN(2)/25))/(LN(2)/25)*Calculateur!V198*Calculateur!X198*VLOOKUP('Données projet'!$B$9,Paramètres!$A$1:$I$89,3,0)*0.475*44/12</f>
        <v>0.23218370582675341</v>
      </c>
      <c r="AB198" s="21">
        <f>EXP(-LN(2)/2)*AB197+(1-EXP(-LN(2)/2))/(LN(2)/2)*V198*Y198*VLOOKUP('Données projet'!$B$9,Paramètres!$A$1:$I$89,3,0)*0.475*44/12</f>
        <v>2.8302649361477614E-24</v>
      </c>
      <c r="AC198" s="22">
        <f t="shared" si="163"/>
        <v>4.294325808684003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-5.6843418860808015E-14</v>
      </c>
      <c r="AJ198" s="13">
        <f>AI198*VLOOKUP('Données projet'!$B$10,Paramètres!$A$1:$I$89,3,0)*VLOOKUP('Données projet'!$B$10,Paramètres!$A$1:$I$89,5,0)</f>
        <v>-6.2073013396002344E-14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223.92539057016376</v>
      </c>
      <c r="AO198" s="59">
        <f t="shared" si="205"/>
        <v>94.125825809616856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25.158814251683676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25.158814251683676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-5.6843418860808015E-14</v>
      </c>
      <c r="BE198" s="13">
        <f>BD198*VLOOKUP('Données projet'!$B$11,Paramètres!$A$1:$I$89,3,0)*VLOOKUP('Données projet'!$B$11,Paramètres!$A$1:$I$89,5,0)</f>
        <v>-6.4733285398688169E-14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236.39682613502913</v>
      </c>
      <c r="BJ198" s="59">
        <f t="shared" si="206"/>
        <v>99.639724892155641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26.237049148184401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26.237049148184401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-5.6843418860808015E-14</v>
      </c>
      <c r="CU198" s="17">
        <f>CT198*VLOOKUP('Données projet'!$B$13,Paramètres!$A$1:$I$89,3,0)*VLOOKUP('Données projet'!$B$13,Paramètres!$A$1:$I$89,5,0)</f>
        <v>-4.7884896048344674E-14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157.20393815370375</v>
      </c>
      <c r="CZ198" s="59">
        <f t="shared" si="208"/>
        <v>64.616965816756363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19.408228137013111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19.408228137013111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-1.1368683772161603E-13</v>
      </c>
      <c r="DP198" s="17">
        <f>DO198*VLOOKUP('Données projet'!$B$14,Paramètres!$A$1:$I$89,3,0)*VLOOKUP('Données projet'!$B$14,Paramètres!$A$1:$I$89,5,0)</f>
        <v>-9.2222762759774927E-14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221.78186926953776</v>
      </c>
      <c r="DU198" s="59">
        <f t="shared" si="209"/>
        <v>276.69392352410654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6.8619259315685248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6.8619259315685248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-5.6843418860808015E-14</v>
      </c>
      <c r="EK198" s="17">
        <f>EJ198*VLOOKUP('Données projet'!$B$15,Paramètres!$A$1:$I$89,3,0)*VLOOKUP('Données projet'!$B$15,Paramètres!$A$1:$I$89,5,0)</f>
        <v>-6.1186256061773749E-14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219.76574638403434</v>
      </c>
      <c r="EP198" s="59">
        <f t="shared" si="210"/>
        <v>92.286636088269972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24.799402619516748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24.799402619516748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>
        <f>FE198*VLOOKUP('Données projet'!$B$16,Paramètres!$A$1:$I$89,3,0)*VLOOKUP('Données projet'!$B$16,Paramètres!$A$1:$I$89,5,0)</f>
        <v>0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86.164294406232727</v>
      </c>
      <c r="FK198" s="59">
        <f t="shared" si="211"/>
        <v>138.91188401562334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4.3409079400794344</v>
      </c>
      <c r="FR198" s="21">
        <f>EXP(-LN(2)/25)*FR197+(1-EXP(-LN(2)/25))/(LN(2)/25)*Calculateur!FM198*Calculateur!FO198*VLOOKUP('Données projet'!$B$16,Paramètres!$A$1:$I$89,3,0)*0.475*44/12</f>
        <v>0.98104627888721152</v>
      </c>
      <c r="FS198" s="21">
        <f>EXP(-LN(2)/2)*FS197+(1-EXP(-LN(2)/2))/(LN(2)/2)*FM198*FP198*VLOOKUP('Données projet'!$B$16,Paramètres!$A$1:$I$89,3,0)*0.475*44/12</f>
        <v>1.6864346314921363E-19</v>
      </c>
      <c r="FT198" s="22">
        <f t="shared" si="184"/>
        <v>5.3219542189666456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150.21793637331223</v>
      </c>
      <c r="T199" s="59">
        <f t="shared" si="204"/>
        <v>364.59164590134486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3.9824859738822527</v>
      </c>
      <c r="AA199" s="21">
        <f>EXP(-LN(2)/25)*AA198+(1-EXP(-LN(2)/25))/(LN(2)/25)*Calculateur!V199*Calculateur!X199*VLOOKUP('Données projet'!$B$9,Paramètres!$A$1:$I$89,3,0)*0.475*44/12</f>
        <v>0.22583463018091041</v>
      </c>
      <c r="AB199" s="21">
        <f>EXP(-LN(2)/2)*AB198+(1-EXP(-LN(2)/2))/(LN(2)/2)*V199*Y199*VLOOKUP('Données projet'!$B$9,Paramètres!$A$1:$I$89,3,0)*0.475*44/12</f>
        <v>2.001299528904593E-24</v>
      </c>
      <c r="AC199" s="22">
        <f t="shared" si="163"/>
        <v>4.2083206040631627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-5.6843418860808015E-14</v>
      </c>
      <c r="AJ199" s="13">
        <f>AI199*VLOOKUP('Données projet'!$B$10,Paramètres!$A$1:$I$89,3,0)*VLOOKUP('Données projet'!$B$10,Paramètres!$A$1:$I$89,5,0)</f>
        <v>-6.2073013396002344E-14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223.92539057016376</v>
      </c>
      <c r="AO199" s="59">
        <f t="shared" si="205"/>
        <v>94.125825809616856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24.665465249569625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24.665465249569625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-5.6843418860808015E-14</v>
      </c>
      <c r="BE199" s="13">
        <f>BD199*VLOOKUP('Données projet'!$B$11,Paramètres!$A$1:$I$89,3,0)*VLOOKUP('Données projet'!$B$11,Paramètres!$A$1:$I$89,5,0)</f>
        <v>-6.4733285398688169E-14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236.39682613502913</v>
      </c>
      <c r="BJ199" s="59">
        <f t="shared" si="206"/>
        <v>99.639724892155641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25.722556617408319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25.722556617408319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-5.6843418860808015E-14</v>
      </c>
      <c r="CU199" s="17">
        <f>CT199*VLOOKUP('Données projet'!$B$13,Paramètres!$A$1:$I$89,3,0)*VLOOKUP('Données projet'!$B$13,Paramètres!$A$1:$I$89,5,0)</f>
        <v>-4.7884896048344674E-14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157.20393815370375</v>
      </c>
      <c r="CZ199" s="59">
        <f t="shared" si="208"/>
        <v>64.616965816756363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19.027644621096556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19.027644621096556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-1.1368683772161603E-13</v>
      </c>
      <c r="DP199" s="17">
        <f>DO199*VLOOKUP('Données projet'!$B$14,Paramètres!$A$1:$I$89,3,0)*VLOOKUP('Données projet'!$B$14,Paramètres!$A$1:$I$89,5,0)</f>
        <v>-9.2222762759774927E-14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221.78186926953776</v>
      </c>
      <c r="DU199" s="59">
        <f t="shared" si="209"/>
        <v>276.69392352410654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6.7273677494120143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6.7273677494120143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-5.6843418860808015E-14</v>
      </c>
      <c r="EK199" s="17">
        <f>EJ199*VLOOKUP('Données projet'!$B$15,Paramètres!$A$1:$I$89,3,0)*VLOOKUP('Données projet'!$B$15,Paramètres!$A$1:$I$89,5,0)</f>
        <v>-6.1186256061773749E-14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219.76574638403434</v>
      </c>
      <c r="EP199" s="59">
        <f t="shared" si="210"/>
        <v>92.286636088269972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24.313101460290039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24.313101460290039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>
        <f>FE199*VLOOKUP('Données projet'!$B$16,Paramètres!$A$1:$I$89,3,0)*VLOOKUP('Données projet'!$B$16,Paramètres!$A$1:$I$89,5,0)</f>
        <v>0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86.164294406232727</v>
      </c>
      <c r="FK199" s="59">
        <f t="shared" si="211"/>
        <v>138.91188401562334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4.2557853830668826</v>
      </c>
      <c r="FR199" s="21">
        <f>EXP(-LN(2)/25)*FR198+(1-EXP(-LN(2)/25))/(LN(2)/25)*Calculateur!FM199*Calculateur!FO199*VLOOKUP('Données projet'!$B$16,Paramètres!$A$1:$I$89,3,0)*0.475*44/12</f>
        <v>0.95421951680005912</v>
      </c>
      <c r="FS199" s="21">
        <f>EXP(-LN(2)/2)*FS198+(1-EXP(-LN(2)/2))/(LN(2)/2)*FM199*FP199*VLOOKUP('Données projet'!$B$16,Paramètres!$A$1:$I$89,3,0)*0.475*44/12</f>
        <v>1.1924893639559259E-19</v>
      </c>
      <c r="FT199" s="22">
        <f t="shared" si="184"/>
        <v>5.2100048998669415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150.21793637331223</v>
      </c>
      <c r="T200" s="59">
        <f t="shared" si="204"/>
        <v>364.59164590134486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3.9043918530110142</v>
      </c>
      <c r="AA200" s="21">
        <f>EXP(-LN(2)/25)*AA199+(1-EXP(-LN(2)/25))/(LN(2)/25)*Calculateur!V200*Calculateur!X200*VLOOKUP('Données projet'!$B$9,Paramètres!$A$1:$I$89,3,0)*0.475*44/12</f>
        <v>0.21965917034248636</v>
      </c>
      <c r="AB200" s="21">
        <f>EXP(-LN(2)/2)*AB199+(1-EXP(-LN(2)/2))/(LN(2)/2)*V200*Y200*VLOOKUP('Données projet'!$B$9,Paramètres!$A$1:$I$89,3,0)*0.475*44/12</f>
        <v>1.4151324680738807E-24</v>
      </c>
      <c r="AC200" s="22">
        <f t="shared" si="163"/>
        <v>4.1240510233535002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-5.6843418860808015E-14</v>
      </c>
      <c r="AJ200" s="13">
        <f>AI200*VLOOKUP('Données projet'!$B$10,Paramètres!$A$1:$I$89,3,0)*VLOOKUP('Données projet'!$B$10,Paramètres!$A$1:$I$89,5,0)</f>
        <v>-6.2073013396002344E-14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223.92539057016376</v>
      </c>
      <c r="AO200" s="59">
        <f t="shared" si="205"/>
        <v>94.125825809616856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24.18179052047385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24.18179052047385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-5.6843418860808015E-14</v>
      </c>
      <c r="BE200" s="13">
        <f>BD200*VLOOKUP('Données projet'!$B$11,Paramètres!$A$1:$I$89,3,0)*VLOOKUP('Données projet'!$B$11,Paramètres!$A$1:$I$89,5,0)</f>
        <v>-6.4733285398688169E-14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236.39682613502913</v>
      </c>
      <c r="BJ200" s="59">
        <f t="shared" si="206"/>
        <v>99.639724892155641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25.218152971351298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25.218152971351298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-5.6843418860808015E-14</v>
      </c>
      <c r="CU200" s="17">
        <f>CT200*VLOOKUP('Données projet'!$B$13,Paramètres!$A$1:$I$89,3,0)*VLOOKUP('Données projet'!$B$13,Paramètres!$A$1:$I$89,5,0)</f>
        <v>-4.7884896048344674E-14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157.20393815370375</v>
      </c>
      <c r="CZ200" s="59">
        <f t="shared" si="208"/>
        <v>64.616965816756363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18.654524115794104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18.654524115794104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-1.1368683772161603E-13</v>
      </c>
      <c r="DP200" s="17">
        <f>DO200*VLOOKUP('Données projet'!$B$14,Paramètres!$A$1:$I$89,3,0)*VLOOKUP('Données projet'!$B$14,Paramètres!$A$1:$I$89,5,0)</f>
        <v>-9.2222762759774927E-14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221.78186926953776</v>
      </c>
      <c r="DU200" s="59">
        <f t="shared" si="209"/>
        <v>276.69392352410654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6.5954481711352058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6.5954481711352058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-5.6843418860808015E-14</v>
      </c>
      <c r="EK200" s="17">
        <f>EJ200*VLOOKUP('Données projet'!$B$15,Paramètres!$A$1:$I$89,3,0)*VLOOKUP('Données projet'!$B$15,Paramètres!$A$1:$I$89,5,0)</f>
        <v>-6.1186256061773749E-14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219.76574638403434</v>
      </c>
      <c r="EP200" s="59">
        <f t="shared" si="210"/>
        <v>92.286636088269972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23.836336370181346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23.836336370181346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>
        <f>FE200*VLOOKUP('Données projet'!$B$16,Paramètres!$A$1:$I$89,3,0)*VLOOKUP('Données projet'!$B$16,Paramètres!$A$1:$I$89,5,0)</f>
        <v>0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86.164294406232727</v>
      </c>
      <c r="FK200" s="59">
        <f t="shared" si="211"/>
        <v>138.91188401562334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4.1723320274777134</v>
      </c>
      <c r="FR200" s="21">
        <f>EXP(-LN(2)/25)*FR199+(1-EXP(-LN(2)/25))/(LN(2)/25)*Calculateur!FM200*Calculateur!FO200*VLOOKUP('Données projet'!$B$16,Paramètres!$A$1:$I$89,3,0)*0.475*44/12</f>
        <v>0.92812633393293797</v>
      </c>
      <c r="FS200" s="21">
        <f>EXP(-LN(2)/2)*FS199+(1-EXP(-LN(2)/2))/(LN(2)/2)*FM200*FP200*VLOOKUP('Données projet'!$B$16,Paramètres!$A$1:$I$89,3,0)*0.475*44/12</f>
        <v>8.4321731574606813E-20</v>
      </c>
      <c r="FT200" s="22">
        <f t="shared" si="184"/>
        <v>5.1004583614106513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150.21793637331223</v>
      </c>
      <c r="T201" s="59">
        <f t="shared" si="204"/>
        <v>364.59164590134486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3.8278291102173507</v>
      </c>
      <c r="AA201" s="21">
        <f>EXP(-LN(2)/25)*AA200+(1-EXP(-LN(2)/25))/(LN(2)/25)*Calculateur!V201*Calculateur!X201*VLOOKUP('Données projet'!$B$9,Paramètres!$A$1:$I$89,3,0)*0.475*44/12</f>
        <v>0.21365257877809735</v>
      </c>
      <c r="AB201" s="21">
        <f>EXP(-LN(2)/2)*AB200+(1-EXP(-LN(2)/2))/(LN(2)/2)*V201*Y201*VLOOKUP('Données projet'!$B$9,Paramètres!$A$1:$I$89,3,0)*0.475*44/12</f>
        <v>1.0006497644522965E-24</v>
      </c>
      <c r="AC201" s="22">
        <f t="shared" si="163"/>
        <v>4.0414816889954484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-5.6843418860808015E-14</v>
      </c>
      <c r="AJ201" s="13">
        <f>AI201*VLOOKUP('Données projet'!$B$10,Paramètres!$A$1:$I$89,3,0)*VLOOKUP('Données projet'!$B$10,Paramètres!$A$1:$I$89,5,0)</f>
        <v>-6.2073013396002344E-14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223.92539057016376</v>
      </c>
      <c r="AO201" s="59">
        <f t="shared" si="205"/>
        <v>94.125825809616856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23.707600357803191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23.707600357803191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-5.6843418860808015E-14</v>
      </c>
      <c r="BE201" s="13">
        <f>BD201*VLOOKUP('Données projet'!$B$11,Paramètres!$A$1:$I$89,3,0)*VLOOKUP('Données projet'!$B$11,Paramètres!$A$1:$I$89,5,0)</f>
        <v>-6.4733285398688169E-14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236.39682613502913</v>
      </c>
      <c r="BJ201" s="59">
        <f t="shared" si="206"/>
        <v>99.639724892155641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24.723640373137609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24.723640373137609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-5.6843418860808015E-14</v>
      </c>
      <c r="CU201" s="17">
        <f>CT201*VLOOKUP('Données projet'!$B$13,Paramètres!$A$1:$I$89,3,0)*VLOOKUP('Données projet'!$B$13,Paramètres!$A$1:$I$89,5,0)</f>
        <v>-4.7884896048344674E-14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157.20393815370375</v>
      </c>
      <c r="CZ201" s="59">
        <f t="shared" si="208"/>
        <v>64.616965816756363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18.288720276019593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18.288720276019593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-1.1368683772161603E-13</v>
      </c>
      <c r="DP201" s="17">
        <f>DO201*VLOOKUP('Données projet'!$B$14,Paramètres!$A$1:$I$89,3,0)*VLOOKUP('Données projet'!$B$14,Paramètres!$A$1:$I$89,5,0)</f>
        <v>-9.2222762759774927E-14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221.78186926953776</v>
      </c>
      <c r="DU201" s="59">
        <f t="shared" si="209"/>
        <v>276.69392352410654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6.4661154553254079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6.4661154553254079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-5.6843418860808015E-14</v>
      </c>
      <c r="EK201" s="17">
        <f>EJ201*VLOOKUP('Données projet'!$B$15,Paramètres!$A$1:$I$89,3,0)*VLOOKUP('Données projet'!$B$15,Paramètres!$A$1:$I$89,5,0)</f>
        <v>-6.1186256061773749E-14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219.76574638403434</v>
      </c>
      <c r="EP201" s="59">
        <f t="shared" si="210"/>
        <v>92.286636088269972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23.368920352691696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23.368920352691696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>
        <f>FE201*VLOOKUP('Données projet'!$B$16,Paramètres!$A$1:$I$89,3,0)*VLOOKUP('Données projet'!$B$16,Paramètres!$A$1:$I$89,5,0)</f>
        <v>0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86.164294406232727</v>
      </c>
      <c r="FK201" s="59">
        <f t="shared" si="211"/>
        <v>138.91188401562334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4.0905151412901271</v>
      </c>
      <c r="FR201" s="21">
        <f>EXP(-LN(2)/25)*FR200+(1-EXP(-LN(2)/25))/(LN(2)/25)*Calculateur!FM201*Calculateur!FO201*VLOOKUP('Données projet'!$B$16,Paramètres!$A$1:$I$89,3,0)*0.475*44/12</f>
        <v>0.90274667052349911</v>
      </c>
      <c r="FS201" s="21">
        <f>EXP(-LN(2)/2)*FS200+(1-EXP(-LN(2)/2))/(LN(2)/2)*FM201*FP201*VLOOKUP('Données projet'!$B$16,Paramètres!$A$1:$I$89,3,0)*0.475*44/12</f>
        <v>5.9624468197796295E-20</v>
      </c>
      <c r="FT201" s="22">
        <f t="shared" si="184"/>
        <v>4.9932618118136265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150.21793637331223</v>
      </c>
      <c r="T202" s="59">
        <f t="shared" si="204"/>
        <v>364.59164590134486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3.752767716111209</v>
      </c>
      <c r="AA202" s="21">
        <f>EXP(-LN(2)/25)*AA201+(1-EXP(-LN(2)/25))/(LN(2)/25)*Calculateur!V202*Calculateur!X202*VLOOKUP('Données projet'!$B$9,Paramètres!$A$1:$I$89,3,0)*0.475*44/12</f>
        <v>0.20781023777590946</v>
      </c>
      <c r="AB202" s="21">
        <f>EXP(-LN(2)/2)*AB201+(1-EXP(-LN(2)/2))/(LN(2)/2)*V202*Y202*VLOOKUP('Données projet'!$B$9,Paramètres!$A$1:$I$89,3,0)*0.475*44/12</f>
        <v>7.0756623403694034E-25</v>
      </c>
      <c r="AC202" s="22">
        <f t="shared" si="163"/>
        <v>3.9605779538871184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-5.6843418860808015E-14</v>
      </c>
      <c r="AJ202" s="13">
        <f>AI202*VLOOKUP('Données projet'!$B$10,Paramètres!$A$1:$I$89,3,0)*VLOOKUP('Données projet'!$B$10,Paramètres!$A$1:$I$89,5,0)</f>
        <v>-6.2073013396002344E-14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223.92539057016376</v>
      </c>
      <c r="AO202" s="59">
        <f t="shared" si="205"/>
        <v>94.125825809616856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23.242708774995062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23.242708774995062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-5.6843418860808015E-14</v>
      </c>
      <c r="BE202" s="13">
        <f>BD202*VLOOKUP('Données projet'!$B$11,Paramètres!$A$1:$I$89,3,0)*VLOOKUP('Données projet'!$B$11,Paramètres!$A$1:$I$89,5,0)</f>
        <v>-6.4733285398688169E-14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236.39682613502913</v>
      </c>
      <c r="BJ202" s="59">
        <f t="shared" si="206"/>
        <v>99.639724892155641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24.23882486535199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24.23882486535199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-5.6843418860808015E-14</v>
      </c>
      <c r="CU202" s="17">
        <f>CT202*VLOOKUP('Données projet'!$B$13,Paramètres!$A$1:$I$89,3,0)*VLOOKUP('Données projet'!$B$13,Paramètres!$A$1:$I$89,5,0)</f>
        <v>-4.7884896048344674E-14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157.20393815370375</v>
      </c>
      <c r="CZ202" s="59">
        <f t="shared" si="208"/>
        <v>64.616965816756363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17.930089626424749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17.930089626424749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-1.1368683772161603E-13</v>
      </c>
      <c r="DP202" s="17">
        <f>DO202*VLOOKUP('Données projet'!$B$14,Paramètres!$A$1:$I$89,3,0)*VLOOKUP('Données projet'!$B$14,Paramètres!$A$1:$I$89,5,0)</f>
        <v>-9.2222762759774927E-14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221.78186926953776</v>
      </c>
      <c r="DU202" s="59">
        <f t="shared" si="209"/>
        <v>276.69392352410654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6.3393188751874723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6.3393188751874723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-5.6843418860808015E-14</v>
      </c>
      <c r="EK202" s="17">
        <f>EJ202*VLOOKUP('Données projet'!$B$15,Paramètres!$A$1:$I$89,3,0)*VLOOKUP('Données projet'!$B$15,Paramètres!$A$1:$I$89,5,0)</f>
        <v>-6.1186256061773749E-14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219.76574638403434</v>
      </c>
      <c r="EP202" s="59">
        <f t="shared" si="210"/>
        <v>92.286636088269972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22.910670078209396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22.910670078209396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>
        <f>FE202*VLOOKUP('Données projet'!$B$16,Paramètres!$A$1:$I$89,3,0)*VLOOKUP('Données projet'!$B$16,Paramètres!$A$1:$I$89,5,0)</f>
        <v>0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86.164294406232727</v>
      </c>
      <c r="FK202" s="59">
        <f t="shared" si="211"/>
        <v>138.91188401562334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4.0103026343373065</v>
      </c>
      <c r="FR202" s="21">
        <f>EXP(-LN(2)/25)*FR201+(1-EXP(-LN(2)/25))/(LN(2)/25)*Calculateur!FM202*Calculateur!FO202*VLOOKUP('Données projet'!$B$16,Paramètres!$A$1:$I$89,3,0)*0.475*44/12</f>
        <v>0.87806101534464986</v>
      </c>
      <c r="FS202" s="21">
        <f>EXP(-LN(2)/2)*FS201+(1-EXP(-LN(2)/2))/(LN(2)/2)*FM202*FP202*VLOOKUP('Données projet'!$B$16,Paramètres!$A$1:$I$89,3,0)*0.475*44/12</f>
        <v>4.2160865787303406E-20</v>
      </c>
      <c r="FT202" s="22">
        <f t="shared" si="184"/>
        <v>4.8883636496819562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150.21793637331223</v>
      </c>
      <c r="T203" s="59">
        <f t="shared" si="204"/>
        <v>364.59164590134486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3.6791782301605589</v>
      </c>
      <c r="AA203" s="21">
        <f>EXP(-LN(2)/25)*AA202+(1-EXP(-LN(2)/25))/(LN(2)/25)*Calculateur!V203*Calculateur!X203*VLOOKUP('Données projet'!$B$9,Paramètres!$A$1:$I$89,3,0)*0.475*44/12</f>
        <v>0.20212765589566176</v>
      </c>
      <c r="AB203" s="21">
        <f>EXP(-LN(2)/2)*AB202+(1-EXP(-LN(2)/2))/(LN(2)/2)*V203*Y203*VLOOKUP('Données projet'!$B$9,Paramètres!$A$1:$I$89,3,0)*0.475*44/12</f>
        <v>5.0032488222614824E-25</v>
      </c>
      <c r="AC203" s="22">
        <f t="shared" si="163"/>
        <v>3.8813058860562206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-5.6843418860808015E-14</v>
      </c>
      <c r="AJ203" s="13">
        <f>AI203*VLOOKUP('Données projet'!$B$10,Paramètres!$A$1:$I$89,3,0)*VLOOKUP('Données projet'!$B$10,Paramètres!$A$1:$I$89,5,0)</f>
        <v>-6.2073013396002344E-14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223.92539057016376</v>
      </c>
      <c r="AO203" s="59">
        <f t="shared" si="205"/>
        <v>94.125825809616856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22.786933432569935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22.786933432569935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-5.6843418860808015E-14</v>
      </c>
      <c r="BE203" s="13">
        <f>BD203*VLOOKUP('Données projet'!$B$11,Paramètres!$A$1:$I$89,3,0)*VLOOKUP('Données projet'!$B$11,Paramètres!$A$1:$I$89,5,0)</f>
        <v>-6.4733285398688169E-14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236.39682613502913</v>
      </c>
      <c r="BJ203" s="59">
        <f t="shared" si="206"/>
        <v>99.639724892155641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23.763516293965786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23.763516293965786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-5.6843418860808015E-14</v>
      </c>
      <c r="CU203" s="17">
        <f>CT203*VLOOKUP('Données projet'!$B$13,Paramètres!$A$1:$I$89,3,0)*VLOOKUP('Données projet'!$B$13,Paramètres!$A$1:$I$89,5,0)</f>
        <v>-4.7884896048344674E-14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157.20393815370375</v>
      </c>
      <c r="CZ203" s="59">
        <f t="shared" si="208"/>
        <v>64.616965816756363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17.578491505125363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17.578491505125363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-1.1368683772161603E-13</v>
      </c>
      <c r="DP203" s="17">
        <f>DO203*VLOOKUP('Données projet'!$B$14,Paramètres!$A$1:$I$89,3,0)*VLOOKUP('Données projet'!$B$14,Paramètres!$A$1:$I$89,5,0)</f>
        <v>-9.2222762759774927E-14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221.78186926953776</v>
      </c>
      <c r="DU203" s="59">
        <f t="shared" si="209"/>
        <v>276.69392352410654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6.2150086986477646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6.2150086986477646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-5.6843418860808015E-14</v>
      </c>
      <c r="EK203" s="17">
        <f>EJ203*VLOOKUP('Données projet'!$B$15,Paramètres!$A$1:$I$89,3,0)*VLOOKUP('Données projet'!$B$15,Paramètres!$A$1:$I$89,5,0)</f>
        <v>-6.1186256061773749E-14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219.76574638403434</v>
      </c>
      <c r="EP203" s="59">
        <f t="shared" si="210"/>
        <v>92.286636088269972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22.461405812104626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22.461405812104626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>
        <f>FE203*VLOOKUP('Données projet'!$B$16,Paramètres!$A$1:$I$89,3,0)*VLOOKUP('Données projet'!$B$16,Paramètres!$A$1:$I$89,5,0)</f>
        <v>0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86.164294406232727</v>
      </c>
      <c r="FK203" s="59">
        <f t="shared" si="211"/>
        <v>138.91188401562334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3.9316630457210322</v>
      </c>
      <c r="FR203" s="21">
        <f>EXP(-LN(2)/25)*FR202+(1-EXP(-LN(2)/25))/(LN(2)/25)*Calculateur!FM203*Calculateur!FO203*VLOOKUP('Données projet'!$B$16,Paramètres!$A$1:$I$89,3,0)*0.475*44/12</f>
        <v>0.85405039070482847</v>
      </c>
      <c r="FS203" s="21">
        <f>EXP(-LN(2)/2)*FS202+(1-EXP(-LN(2)/2))/(LN(2)/2)*FM203*FP203*VLOOKUP('Données projet'!$B$16,Paramètres!$A$1:$I$89,3,0)*0.475*44/12</f>
        <v>2.9812234098898147E-20</v>
      </c>
      <c r="FT203" s="22">
        <f t="shared" si="184"/>
        <v>4.7857134364258602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1.4943820583928935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1.1457367676485573</v>
      </c>
      <c r="BA205" s="82">
        <f>EXP(LN('Données projet'!B88)/'Données projet'!A88)</f>
        <v>1.1457367676485573</v>
      </c>
      <c r="BV205" s="82" t="e">
        <f>EXP(LN('Données projet'!B114)/'Données projet'!A114)</f>
        <v>#NUM!</v>
      </c>
      <c r="CQ205" s="82">
        <f>EXP(LN('Données projet'!B140)/'Données projet'!A140)</f>
        <v>1.1457367676485573</v>
      </c>
      <c r="DL205" s="82">
        <f>EXP(LN('Données projet'!B166)/'Données projet'!A166)</f>
        <v>1.2709816152101407</v>
      </c>
      <c r="EG205" s="82">
        <f>EXP(LN('Données projet'!B192)/'Données projet'!A192)</f>
        <v>1.1457367676485573</v>
      </c>
      <c r="FB205" s="82">
        <f>EXP(LN('Données projet'!B218)/'Données projet'!A218)</f>
        <v>1.1867200975826817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Pin maritime</v>
      </c>
      <c r="B6" s="146">
        <f>'Données projet'!D9</f>
        <v>9.7723089999999999</v>
      </c>
      <c r="C6" s="147">
        <f ca="1">IF(OR('Données projet'!B9="",'Données projet'!C9="",'Données projet'!C9=0%),0,Calculateur!S3)</f>
        <v>150.21793637331223</v>
      </c>
      <c r="D6" s="147">
        <f>IF(OR('Données projet'!B9="",'Données projet'!C9="",'Données projet'!C9=0%),0,Calculateur!T3)</f>
        <v>364.59164590134486</v>
      </c>
      <c r="E6" s="147">
        <f ca="1">MIN(C6,D6)</f>
        <v>150.21793637331223</v>
      </c>
      <c r="F6" s="147">
        <f ca="1">E6*B6</f>
        <v>1467.9760915823465</v>
      </c>
      <c r="G6" s="147">
        <f ca="1">F6*(100%-'Données projet'!$C$24)*(100%-'Données projet'!$C$25)*(100%-'Données projet'!$C$26)*(100%-'Données projet'!$C$27)</f>
        <v>898.40136804839608</v>
      </c>
      <c r="H6" s="148">
        <f>IF(OR('Données projet'!B9="",'Données projet'!C9="",'Données projet'!C9=0%),0,AVERAGE(Calculateur!$AC$3:$AC$33)*B6)</f>
        <v>190.30509453027031</v>
      </c>
      <c r="I6" s="149">
        <f>H6*(100%-'Données projet'!$C$24)*(100%-'Données projet'!$C$25)*(100%-'Données projet'!$C$26)*(100%-'Données projet'!$C$27)</f>
        <v>116.46671785252545</v>
      </c>
      <c r="J6" s="150">
        <f>IF(OR('Données projet'!B9="",'Données projet'!C9="",'Données projet'!C9=0%),0,SUM(Calculateur!$V$3:$V$33)*VLOOKUP('Données projet'!$B$9,Paramètres!$A$1:$I$89,9,0)*B6)</f>
        <v>2548.4227410199996</v>
      </c>
      <c r="K6" s="151">
        <f>J6*(100%-'Données projet'!$C$24)*(100%-'Données projet'!$C$25)*(100%-'Données projet'!$C$26)*(100%-'Données projet'!$C$27)</f>
        <v>1559.6347175042399</v>
      </c>
      <c r="L6" s="152">
        <f ca="1">G6+I6+K6</f>
        <v>2574.5028034051616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Chêne-liège</v>
      </c>
      <c r="B7" s="154">
        <f>'Données projet'!D10</f>
        <v>9.7728250000000003E-2</v>
      </c>
      <c r="C7" s="147">
        <f ca="1">IF(OR('Données projet'!B10="",'Données projet'!C10="",'Données projet'!C10=0%),0,Calculateur!AN3)</f>
        <v>223.92539057016376</v>
      </c>
      <c r="D7" s="147">
        <f>IF(OR('Données projet'!B10="",'Données projet'!C10="",'Données projet'!C10=0%),0,Calculateur!AO3)</f>
        <v>94.125825809616856</v>
      </c>
      <c r="E7" s="147">
        <f t="shared" ref="E7:E15" ca="1" si="0">MIN(C7,D7)</f>
        <v>94.125825809616856</v>
      </c>
      <c r="F7" s="147">
        <f t="shared" ref="F7:F15" ca="1" si="1">E7*B7</f>
        <v>9.198752236178688</v>
      </c>
      <c r="G7" s="147">
        <f ca="1">F7*(100%-'Données projet'!$C$24)*(100%-'Données projet'!$C$25)*(100%-'Données projet'!$C$26)*(100%-'Données projet'!$C$27)</f>
        <v>5.629636368541358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5.629636368541358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Chêne vert</v>
      </c>
      <c r="B8" s="154">
        <f>'Données projet'!D11</f>
        <v>9.7728250000000003E-2</v>
      </c>
      <c r="C8" s="147">
        <f ca="1">IF(OR('Données projet'!B11="",'Données projet'!C11="",'Données projet'!C11=0%),0,Calculateur!BI3)</f>
        <v>236.39682613502913</v>
      </c>
      <c r="D8" s="147">
        <f>IF(OR('Données projet'!B11="",'Données projet'!C11="",'Données projet'!C11=0%),0,Calculateur!BJ3)</f>
        <v>99.639724892155641</v>
      </c>
      <c r="E8" s="147">
        <f t="shared" ca="1" si="0"/>
        <v>99.639724892155641</v>
      </c>
      <c r="F8" s="147">
        <f t="shared" ca="1" si="1"/>
        <v>9.7376159441918091</v>
      </c>
      <c r="G8" s="147">
        <f ca="1">F8*(100%-'Données projet'!$C$24)*(100%-'Données projet'!$C$25)*(100%-'Données projet'!$C$26)*(100%-'Données projet'!$C$27)</f>
        <v>5.9594209578453876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5.9594209578453876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Chêne pédonculé</v>
      </c>
      <c r="B10" s="154">
        <f>'Données projet'!D13</f>
        <v>0.24453025</v>
      </c>
      <c r="C10" s="147">
        <f ca="1">IF(OR('Données projet'!B13="",'Données projet'!C13="",'Données projet'!C13=0%),0,Calculateur!CY3)</f>
        <v>157.20393815370375</v>
      </c>
      <c r="D10" s="147">
        <f>IF(OR('Données projet'!B13="",'Données projet'!C13="",'Données projet'!C13=0%),0,Calculateur!CZ3)</f>
        <v>64.616965816756363</v>
      </c>
      <c r="E10" s="147">
        <f t="shared" ca="1" si="0"/>
        <v>64.616965816756363</v>
      </c>
      <c r="F10" s="147">
        <f t="shared" ca="1" si="1"/>
        <v>15.800802805412888</v>
      </c>
      <c r="G10" s="147">
        <f ca="1">F10*(100%-'Données projet'!$C$24)*(100%-'Données projet'!$C$25)*(100%-'Données projet'!$C$26)*(100%-'Données projet'!$C$27)</f>
        <v>9.6700913169126874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9.6700913169126874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>Bouleau verruqueux</v>
      </c>
      <c r="B11" s="154">
        <f>'Données projet'!D14</f>
        <v>0.24453025</v>
      </c>
      <c r="C11" s="147">
        <f ca="1">IF(OR('Données projet'!B14="",'Données projet'!C14="",'Données projet'!C14=0%),0,Calculateur!DT3)</f>
        <v>221.78186926953776</v>
      </c>
      <c r="D11" s="147">
        <f>IF(OR('Données projet'!B14="",'Données projet'!C14="",'Données projet'!C14=0%),0,Calculateur!DU3)</f>
        <v>276.69392352410654</v>
      </c>
      <c r="E11" s="147">
        <f t="shared" ca="1" si="0"/>
        <v>221.78186926953776</v>
      </c>
      <c r="F11" s="147">
        <f t="shared" ca="1" si="1"/>
        <v>54.232375937947388</v>
      </c>
      <c r="G11" s="147">
        <f ca="1">F11*(100%-'Données projet'!$C$24)*(100%-'Données projet'!$C$25)*(100%-'Données projet'!$C$26)*(100%-'Données projet'!$C$27)</f>
        <v>33.190214074023807</v>
      </c>
      <c r="H11" s="155">
        <f>IF(OR('Données projet'!B14="",'Données projet'!C14="",'Données projet'!C14=0%),0,AVERAGE(Calculateur!$ED$3:$ED$33)*B11)</f>
        <v>0.15358709240769994</v>
      </c>
      <c r="I11" s="149">
        <f>H11*(100%-'Données projet'!$C$24)*(100%-'Données projet'!$C$25)*(100%-'Données projet'!$C$26)*(100%-'Données projet'!$C$27)</f>
        <v>9.3995300553512365E-2</v>
      </c>
      <c r="J11" s="150">
        <f>IF(OR('Données projet'!B14="",'Données projet'!C14="",'Données projet'!C14=0%),0,SUM(Calculateur!$DW$3:$DW$33)*VLOOKUP('Données projet'!$B$14,Paramètres!$A$1:$I$89,9,0)*B11)</f>
        <v>8.3751610625000001</v>
      </c>
      <c r="K11" s="151">
        <f>J11*(100%-'Données projet'!$C$24)*(100%-'Données projet'!$C$25)*(100%-'Données projet'!$C$26)*(100%-'Données projet'!$C$27)</f>
        <v>5.1255985702500002</v>
      </c>
      <c r="L11" s="152">
        <f t="shared" ca="1" si="2"/>
        <v>38.409807944827321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>Cormier</v>
      </c>
      <c r="B12" s="154">
        <f>'Données projet'!D15</f>
        <v>9.7717500000000013E-2</v>
      </c>
      <c r="C12" s="147">
        <f ca="1">IF(OR('Données projet'!B15="",'Données projet'!C15="",'Données projet'!C15=0%),0,Calculateur!EO3)</f>
        <v>219.76574638403434</v>
      </c>
      <c r="D12" s="147">
        <f>IF(OR('Données projet'!B15="",'Données projet'!C15="",'Données projet'!C15=0%),0,Calculateur!EP3)</f>
        <v>92.286636088269972</v>
      </c>
      <c r="E12" s="147">
        <f t="shared" ca="1" si="0"/>
        <v>92.286636088269972</v>
      </c>
      <c r="F12" s="147">
        <f t="shared" ca="1" si="1"/>
        <v>9.0180193619555222</v>
      </c>
      <c r="G12" s="147">
        <f ca="1">F12*(100%-'Données projet'!$C$24)*(100%-'Données projet'!$C$25)*(100%-'Données projet'!$C$26)*(100%-'Données projet'!$C$27)</f>
        <v>5.5190278495167799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5.5190278495167799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>Cèdre de l'Atlas</v>
      </c>
      <c r="B13" s="154">
        <f>'Données projet'!D16</f>
        <v>9.7728250000000003E-2</v>
      </c>
      <c r="C13" s="147">
        <f ca="1">IF(OR('Données projet'!B16="",'Données projet'!C16="",'Données projet'!C16=0%),0,Calculateur!FJ3)</f>
        <v>86.164294406232727</v>
      </c>
      <c r="D13" s="147">
        <f>IF(OR('Données projet'!B16="",'Données projet'!C16="",'Données projet'!C16=0%),0,Calculateur!FK3)</f>
        <v>138.91188401562334</v>
      </c>
      <c r="E13" s="147">
        <f t="shared" ca="1" si="0"/>
        <v>86.164294406232727</v>
      </c>
      <c r="F13" s="147">
        <f t="shared" ca="1" si="1"/>
        <v>8.4206857048059138</v>
      </c>
      <c r="G13" s="147">
        <f ca="1">F13*(100%-'Données projet'!$C$24)*(100%-'Données projet'!$C$25)*(100%-'Données projet'!$C$26)*(100%-'Données projet'!$C$27)</f>
        <v>5.1534596513412199</v>
      </c>
      <c r="H13" s="155">
        <f>IF(OR('Données projet'!B16="",'Données projet'!C16="",'Données projet'!C16=0%),0,AVERAGE(Calculateur!$FT$3:$FT$33)*B13)</f>
        <v>8.9771752796523913E-2</v>
      </c>
      <c r="I13" s="149">
        <f>H13*(100%-'Données projet'!$C$24)*(100%-'Données projet'!$C$25)*(100%-'Données projet'!$C$26)*(100%-'Données projet'!$C$27)</f>
        <v>5.4940312711472643E-2</v>
      </c>
      <c r="J13" s="150">
        <f>IF(OR('Données projet'!C16="",'Données projet'!C16=0%),0,SUM(Calculateur!$FM$3:$FM$33)*VLOOKUP('Données projet'!$B$16,Paramètres!$A$1:$I$89,9,0)*B13)</f>
        <v>2.9416203249999997</v>
      </c>
      <c r="K13" s="151">
        <f>J13*(100%-'Données projet'!$C$24)*(100%-'Données projet'!$C$25)*(100%-'Données projet'!$C$26)*(100%-'Données projet'!$C$27)</f>
        <v>1.8002716389</v>
      </c>
      <c r="L13" s="152">
        <f t="shared" ca="1" si="2"/>
        <v>7.0086716029526928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1574.3843435728386</v>
      </c>
      <c r="G16" s="166">
        <f t="shared" ca="1" si="3"/>
        <v>963.52321826657737</v>
      </c>
      <c r="H16" s="167">
        <f t="shared" si="3"/>
        <v>190.54845337547454</v>
      </c>
      <c r="I16" s="167">
        <f t="shared" si="3"/>
        <v>116.61565346579043</v>
      </c>
      <c r="J16" s="168">
        <f t="shared" si="3"/>
        <v>2559.7395224074994</v>
      </c>
      <c r="K16" s="168">
        <f t="shared" si="3"/>
        <v>1566.5605877133901</v>
      </c>
      <c r="L16" s="169">
        <f t="shared" ca="1" si="3"/>
        <v>2646.6994594457578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Chêne vert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Chêne pédonculé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>Bouleau verruqueux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>Cormier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>Cèdre de l'Atlas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8" zoomScale="110" zoomScaleNormal="53" workbookViewId="0">
      <selection activeCell="Q27" sqref="Q27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1" t="s">
        <v>315</v>
      </c>
      <c r="I4" s="261"/>
      <c r="K4" s="285" t="s">
        <v>253</v>
      </c>
      <c r="L4" s="286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9.7723089999999999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Chêne-liège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9.7728250000000003E-2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Chêne vert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9.7728250000000003E-2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>Chêne pédonculé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0.24453025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288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>Bouleau verruqueux</v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0.24453025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8"/>
      <c r="H16" s="190"/>
      <c r="I16" s="191"/>
      <c r="J16" s="201"/>
      <c r="K16" s="207"/>
      <c r="L16" s="285" t="s">
        <v>254</v>
      </c>
      <c r="M16" s="286"/>
      <c r="N16" s="2"/>
      <c r="O16" s="23"/>
      <c r="P16" s="23"/>
      <c r="Q16" s="233"/>
      <c r="R16" s="23"/>
      <c r="S16" s="36" t="str">
        <f>B200</f>
        <v>Cormier</v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9.7717500000000013E-2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/>
      <c r="D17" s="196" t="s">
        <v>132</v>
      </c>
      <c r="E17" s="193"/>
      <c r="F17" s="229"/>
      <c r="G17" s="288"/>
      <c r="J17" s="201"/>
      <c r="K17" s="207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>Cèdre de l'Atlas</v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9.7728250000000003E-2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/>
      <c r="D18" s="196" t="s">
        <v>132</v>
      </c>
      <c r="E18" s="193"/>
      <c r="F18" s="229"/>
      <c r="G18" s="288"/>
      <c r="J18" s="201"/>
      <c r="K18" s="207"/>
      <c r="L18" s="258" t="s">
        <v>255</v>
      </c>
      <c r="M18" s="260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/>
      <c r="D19" s="196" t="s">
        <v>132</v>
      </c>
      <c r="E19" s="193"/>
      <c r="F19" s="229"/>
      <c r="G19" s="288"/>
      <c r="H19" s="211" t="s">
        <v>178</v>
      </c>
      <c r="I19" s="211" t="s">
        <v>287</v>
      </c>
      <c r="J19" s="93"/>
      <c r="K19" s="173"/>
      <c r="L19" s="285" t="s">
        <v>288</v>
      </c>
      <c r="M19" s="286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/>
      <c r="D20" s="196" t="s">
        <v>132</v>
      </c>
      <c r="E20" s="193"/>
      <c r="F20" s="229"/>
      <c r="G20" s="288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/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/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11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287" t="s">
        <v>260</v>
      </c>
      <c r="M23" s="287"/>
      <c r="N23" s="287"/>
      <c r="O23" s="23"/>
      <c r="P23" s="23"/>
      <c r="Q23" s="233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12</v>
      </c>
      <c r="B24" s="181">
        <f>'Données projet'!D37</f>
        <v>34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13</v>
      </c>
      <c r="B25" s="181">
        <f>'Données projet'!D38</f>
        <v>0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2">
        <f ca="1">T23-T24</f>
        <v>0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16</v>
      </c>
      <c r="B26" s="181">
        <f>'Données projet'!D39</f>
        <v>0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9" t="s">
        <v>258</v>
      </c>
      <c r="M26" s="290"/>
      <c r="N26" s="290"/>
      <c r="O26" s="290"/>
      <c r="P26" s="291"/>
      <c r="Q26" s="233"/>
      <c r="R26" s="23"/>
      <c r="S26" s="186" t="s">
        <v>265</v>
      </c>
      <c r="T26" s="299" t="str">
        <f ca="1">IF(T25&lt;0,"Votre projet est additionnel","Votre projet n'est pas additionnel")</f>
        <v>Votre projet n'est pas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17</v>
      </c>
      <c r="B27" s="181">
        <f>'Données projet'!D40</f>
        <v>43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92"/>
      <c r="M27" s="293"/>
      <c r="N27" s="293"/>
      <c r="O27" s="293"/>
      <c r="P27" s="294"/>
      <c r="Q27" s="233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18</v>
      </c>
      <c r="B28" s="181">
        <f>'Données projet'!D41</f>
        <v>0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21</v>
      </c>
      <c r="B29" s="181">
        <f>'Données projet'!D42</f>
        <v>0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22</v>
      </c>
      <c r="B30" s="181">
        <f>'Données projet'!D43</f>
        <v>56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23</v>
      </c>
      <c r="B31" s="181">
        <f>'Données projet'!D44</f>
        <v>0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26</v>
      </c>
      <c r="B32" s="181">
        <f>'Données projet'!D45</f>
        <v>0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29</v>
      </c>
      <c r="B33" s="181">
        <f>'Données projet'!D46</f>
        <v>0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30</v>
      </c>
      <c r="B34" s="181">
        <f>'Données projet'!D47</f>
        <v>309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Chêne-liège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/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/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/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/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/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/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25</v>
      </c>
      <c r="B54" s="181">
        <f>'Données projet'!D62</f>
        <v>0</v>
      </c>
      <c r="C54" s="191"/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30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35</v>
      </c>
      <c r="B56" s="181">
        <f>'Données projet'!D64</f>
        <v>13</v>
      </c>
      <c r="C56" s="191"/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40</v>
      </c>
      <c r="B57" s="181">
        <f>'Données projet'!D65</f>
        <v>14</v>
      </c>
      <c r="C57" s="191"/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45</v>
      </c>
      <c r="B58" s="181">
        <f>'Données projet'!D66</f>
        <v>14</v>
      </c>
      <c r="C58" s="191"/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50</v>
      </c>
      <c r="B59" s="181">
        <f>'Données projet'!D67</f>
        <v>14</v>
      </c>
      <c r="C59" s="191"/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55</v>
      </c>
      <c r="B60" s="181">
        <f>'Données projet'!D68</f>
        <v>14</v>
      </c>
      <c r="C60" s="191"/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60</v>
      </c>
      <c r="B61" s="181">
        <f>'Données projet'!D69</f>
        <v>14</v>
      </c>
      <c r="C61" s="191"/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65</v>
      </c>
      <c r="B62" s="181">
        <f>'Données projet'!D70</f>
        <v>14</v>
      </c>
      <c r="C62" s="191"/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70</v>
      </c>
      <c r="B63" s="181">
        <f>'Données projet'!D71</f>
        <v>14</v>
      </c>
      <c r="C63" s="191"/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75</v>
      </c>
      <c r="B64" s="181">
        <f>'Données projet'!D72</f>
        <v>14</v>
      </c>
      <c r="C64" s="191"/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 t="str">
        <f>IF(O63+1&lt;=MIN('Données projet'!$E$9:$E$18),O63+1,"STOP")</f>
        <v>STOP</v>
      </c>
      <c r="P64" s="185" t="e">
        <f t="shared" si="3"/>
        <v>#VALUE!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80</v>
      </c>
      <c r="B65" s="181">
        <f>'Données projet'!D73</f>
        <v>14</v>
      </c>
      <c r="C65" s="191"/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85</v>
      </c>
      <c r="B66" s="181">
        <f>'Données projet'!D74</f>
        <v>14</v>
      </c>
      <c r="C66" s="191"/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90</v>
      </c>
      <c r="B67" s="181">
        <f>'Données projet'!D75</f>
        <v>14</v>
      </c>
      <c r="C67" s="191"/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100</v>
      </c>
      <c r="B68" s="181">
        <f>'Données projet'!D76</f>
        <v>14</v>
      </c>
      <c r="C68" s="191"/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110</v>
      </c>
      <c r="B69" s="181">
        <f>'Données projet'!D77</f>
        <v>13</v>
      </c>
      <c r="C69" s="191"/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120</v>
      </c>
      <c r="B70" s="181">
        <f>'Données projet'!D78</f>
        <v>221</v>
      </c>
      <c r="C70" s="191"/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Chêne vert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/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/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/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/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/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/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25</v>
      </c>
      <c r="B85" s="181">
        <f>'Données projet'!D88</f>
        <v>0</v>
      </c>
      <c r="C85" s="191"/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30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35</v>
      </c>
      <c r="B87" s="181">
        <f>'Données projet'!D90</f>
        <v>13</v>
      </c>
      <c r="C87" s="191"/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40</v>
      </c>
      <c r="B88" s="181">
        <f>'Données projet'!D91</f>
        <v>14</v>
      </c>
      <c r="C88" s="191"/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45</v>
      </c>
      <c r="B89" s="181">
        <f>'Données projet'!D92</f>
        <v>14</v>
      </c>
      <c r="C89" s="191"/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50</v>
      </c>
      <c r="B90" s="181">
        <f>'Données projet'!D93</f>
        <v>14</v>
      </c>
      <c r="C90" s="191"/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55</v>
      </c>
      <c r="B91" s="181">
        <f>'Données projet'!D94</f>
        <v>14</v>
      </c>
      <c r="C91" s="191"/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60</v>
      </c>
      <c r="B92" s="181">
        <f>'Données projet'!D95</f>
        <v>14</v>
      </c>
      <c r="C92" s="191"/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65</v>
      </c>
      <c r="B93" s="181">
        <f>'Données projet'!D96</f>
        <v>14</v>
      </c>
      <c r="C93" s="191"/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70</v>
      </c>
      <c r="B94" s="181">
        <f>'Données projet'!D97</f>
        <v>14</v>
      </c>
      <c r="C94" s="191"/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75</v>
      </c>
      <c r="B95" s="181">
        <f>'Données projet'!D98</f>
        <v>14</v>
      </c>
      <c r="C95" s="191"/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80</v>
      </c>
      <c r="B96" s="181">
        <f>'Données projet'!D99</f>
        <v>14</v>
      </c>
      <c r="C96" s="191"/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85</v>
      </c>
      <c r="B97" s="181">
        <f>'Données projet'!D100</f>
        <v>14</v>
      </c>
      <c r="C97" s="191"/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90</v>
      </c>
      <c r="B98" s="181">
        <f>'Données projet'!D101</f>
        <v>14</v>
      </c>
      <c r="C98" s="191"/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100</v>
      </c>
      <c r="B99" s="181">
        <f>'Données projet'!D102</f>
        <v>14</v>
      </c>
      <c r="C99" s="191"/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110</v>
      </c>
      <c r="B100" s="181">
        <f>'Données projet'!D103</f>
        <v>13</v>
      </c>
      <c r="C100" s="191"/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120</v>
      </c>
      <c r="B101" s="181">
        <f>'Données projet'!D104</f>
        <v>221</v>
      </c>
      <c r="C101" s="191"/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/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/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/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/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/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/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Chêne pédonculé</v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/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/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/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/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/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/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25</v>
      </c>
      <c r="B147" s="175">
        <f>'Données projet'!D140</f>
        <v>0</v>
      </c>
      <c r="C147" s="191"/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30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35</v>
      </c>
      <c r="B149" s="175">
        <f>'Données projet'!D142</f>
        <v>13</v>
      </c>
      <c r="C149" s="191"/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40</v>
      </c>
      <c r="B150" s="175">
        <f>'Données projet'!D143</f>
        <v>14</v>
      </c>
      <c r="C150" s="191"/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45</v>
      </c>
      <c r="B151" s="175">
        <f>'Données projet'!D144</f>
        <v>14</v>
      </c>
      <c r="C151" s="191"/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50</v>
      </c>
      <c r="B152" s="175">
        <f>'Données projet'!D145</f>
        <v>14</v>
      </c>
      <c r="C152" s="191"/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55</v>
      </c>
      <c r="B153" s="175">
        <f>'Données projet'!D146</f>
        <v>14</v>
      </c>
      <c r="C153" s="191"/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60</v>
      </c>
      <c r="B154" s="175">
        <f>'Données projet'!D147</f>
        <v>14</v>
      </c>
      <c r="C154" s="191"/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65</v>
      </c>
      <c r="B155" s="175">
        <f>'Données projet'!D148</f>
        <v>14</v>
      </c>
      <c r="C155" s="191"/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70</v>
      </c>
      <c r="B156" s="175">
        <f>'Données projet'!D149</f>
        <v>14</v>
      </c>
      <c r="C156" s="191"/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75</v>
      </c>
      <c r="B157" s="175">
        <f>'Données projet'!D150</f>
        <v>14</v>
      </c>
      <c r="C157" s="191"/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80</v>
      </c>
      <c r="B158" s="175">
        <f>'Données projet'!D151</f>
        <v>14</v>
      </c>
      <c r="C158" s="191"/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85</v>
      </c>
      <c r="B159" s="175">
        <f>'Données projet'!D152</f>
        <v>14</v>
      </c>
      <c r="C159" s="191"/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90</v>
      </c>
      <c r="B160" s="175">
        <f>'Données projet'!D153</f>
        <v>14</v>
      </c>
      <c r="C160" s="191"/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100</v>
      </c>
      <c r="B161" s="175">
        <f>'Données projet'!D154</f>
        <v>14</v>
      </c>
      <c r="C161" s="191"/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110</v>
      </c>
      <c r="B162" s="175">
        <f>'Données projet'!D155</f>
        <v>13</v>
      </c>
      <c r="C162" s="191"/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120</v>
      </c>
      <c r="B163" s="175">
        <f>'Données projet'!D156</f>
        <v>221</v>
      </c>
      <c r="C163" s="191"/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>Bouleau verruqueux</v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/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/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/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/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/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/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10</v>
      </c>
      <c r="B178" s="181">
        <f>'Données projet'!D166</f>
        <v>0</v>
      </c>
      <c r="C178" s="193"/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15</v>
      </c>
      <c r="B179" s="181">
        <f>'Données projet'!D167</f>
        <v>32</v>
      </c>
      <c r="C179" s="193"/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20</v>
      </c>
      <c r="B180" s="181">
        <f>'Données projet'!D168</f>
        <v>35</v>
      </c>
      <c r="C180" s="193"/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25</v>
      </c>
      <c r="B181" s="181">
        <f>'Données projet'!D169</f>
        <v>35</v>
      </c>
      <c r="C181" s="193"/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30</v>
      </c>
      <c r="B182" s="181">
        <f>'Données projet'!D170</f>
        <v>35</v>
      </c>
      <c r="C182" s="193"/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35</v>
      </c>
      <c r="B183" s="181">
        <f>'Données projet'!D171</f>
        <v>35</v>
      </c>
      <c r="C183" s="193"/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40</v>
      </c>
      <c r="B184" s="181">
        <f>'Données projet'!D172</f>
        <v>35</v>
      </c>
      <c r="C184" s="193"/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45</v>
      </c>
      <c r="B185" s="181">
        <f>'Données projet'!D173</f>
        <v>24</v>
      </c>
      <c r="C185" s="193"/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50</v>
      </c>
      <c r="B186" s="181">
        <f>'Données projet'!D174</f>
        <v>19</v>
      </c>
      <c r="C186" s="193"/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55</v>
      </c>
      <c r="B187" s="181">
        <f>'Données projet'!D175</f>
        <v>16</v>
      </c>
      <c r="C187" s="193"/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60</v>
      </c>
      <c r="B188" s="181">
        <f>'Données projet'!D176</f>
        <v>294</v>
      </c>
      <c r="C188" s="193"/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>Cormier</v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/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/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/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/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/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/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25</v>
      </c>
      <c r="B209" s="181">
        <f>'Données projet'!D192</f>
        <v>0</v>
      </c>
      <c r="C209" s="193"/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30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35</v>
      </c>
      <c r="B211" s="181">
        <f>'Données projet'!D194</f>
        <v>13</v>
      </c>
      <c r="C211" s="193"/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40</v>
      </c>
      <c r="B212" s="181">
        <f>'Données projet'!D195</f>
        <v>14</v>
      </c>
      <c r="C212" s="193"/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45</v>
      </c>
      <c r="B213" s="181">
        <f>'Données projet'!D196</f>
        <v>14</v>
      </c>
      <c r="C213" s="193"/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50</v>
      </c>
      <c r="B214" s="181">
        <f>'Données projet'!D197</f>
        <v>14</v>
      </c>
      <c r="C214" s="193"/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55</v>
      </c>
      <c r="B215" s="181">
        <f>'Données projet'!D198</f>
        <v>14</v>
      </c>
      <c r="C215" s="193"/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60</v>
      </c>
      <c r="B216" s="181">
        <f>'Données projet'!D199</f>
        <v>14</v>
      </c>
      <c r="C216" s="193"/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65</v>
      </c>
      <c r="B217" s="181">
        <f>'Données projet'!D200</f>
        <v>14</v>
      </c>
      <c r="C217" s="193"/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70</v>
      </c>
      <c r="B218" s="181">
        <f>'Données projet'!D201</f>
        <v>14</v>
      </c>
      <c r="C218" s="193"/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75</v>
      </c>
      <c r="B219" s="181">
        <f>'Données projet'!D202</f>
        <v>14</v>
      </c>
      <c r="C219" s="193"/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80</v>
      </c>
      <c r="B220" s="181">
        <f>'Données projet'!D203</f>
        <v>14</v>
      </c>
      <c r="C220" s="193"/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85</v>
      </c>
      <c r="B221" s="181">
        <f>'Données projet'!D204</f>
        <v>14</v>
      </c>
      <c r="C221" s="193"/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90</v>
      </c>
      <c r="B222" s="181">
        <f>'Données projet'!D205</f>
        <v>14</v>
      </c>
      <c r="C222" s="193"/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100</v>
      </c>
      <c r="B223" s="181">
        <f>'Données projet'!D206</f>
        <v>14</v>
      </c>
      <c r="C223" s="193"/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110</v>
      </c>
      <c r="B224" s="181">
        <f>'Données projet'!D207</f>
        <v>13</v>
      </c>
      <c r="C224" s="193"/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120</v>
      </c>
      <c r="B225" s="181">
        <f>'Données projet'!D208</f>
        <v>221</v>
      </c>
      <c r="C225" s="193"/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>Cèdre de l'Atlas</v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/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/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/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/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/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/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30</v>
      </c>
      <c r="B240" s="181">
        <f>'Données projet'!D218</f>
        <v>70</v>
      </c>
      <c r="C240" s="193"/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40</v>
      </c>
      <c r="B241" s="181">
        <f>'Données projet'!D219</f>
        <v>50</v>
      </c>
      <c r="C241" s="193"/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50</v>
      </c>
      <c r="B242" s="181">
        <f>'Données projet'!D220</f>
        <v>50</v>
      </c>
      <c r="C242" s="193"/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60</v>
      </c>
      <c r="B243" s="181">
        <f>'Données projet'!D221</f>
        <v>300</v>
      </c>
      <c r="C243" s="193"/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/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/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/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/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/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/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/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/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/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/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/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/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/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2023-10-03T14:34:58Z</dcterms:modified>
</cp:coreProperties>
</file>