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GUILLIER SAUDUBRAY - 12750585 LE/"/>
    </mc:Choice>
  </mc:AlternateContent>
  <xr:revisionPtr revIDLastSave="5" documentId="8_{7138D32E-E0D1-4E66-BFA3-61640916E618}" xr6:coauthVersionLast="47" xr6:coauthVersionMax="47" xr10:uidLastSave="{CA38BEDC-7649-4766-8905-F76634D6B546}"/>
  <bookViews>
    <workbookView xWindow="-98" yWindow="-98" windowWidth="19396" windowHeight="11475" tabRatio="866" firstSheet="1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V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G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HG113" i="2"/>
  <c r="EB113" i="2"/>
  <c r="EC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HH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FR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H155" i="2"/>
  <c r="HG155" i="2"/>
  <c r="DI154" i="2"/>
  <c r="EY154" i="2"/>
  <c r="AC154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FS156" i="2"/>
  <c r="HH156" i="2"/>
  <c r="HI156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A157" i="2"/>
  <c r="CN156" i="2"/>
  <c r="EX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HH159" i="2"/>
  <c r="EA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I160" i="2"/>
  <c r="HH160" i="2"/>
  <c r="EY159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Y161" i="2"/>
  <c r="EW162" i="2"/>
  <c r="EB162" i="2"/>
  <c r="HH162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B163" i="2"/>
  <c r="EY162" i="2"/>
  <c r="ED162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ED163" i="2"/>
  <c r="EA164" i="2"/>
  <c r="FR164" i="2"/>
  <c r="EY163" i="2"/>
  <c r="DH164" i="2"/>
  <c r="DI163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B167" i="2"/>
  <c r="EA167" i="2"/>
  <c r="EY166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HI168" i="2"/>
  <c r="HH168" i="2"/>
  <c r="DG168" i="2"/>
  <c r="EC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FS169" i="2"/>
  <c r="EY168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HI172" i="2"/>
  <c r="EY171" i="2"/>
  <c r="EA172" i="2"/>
  <c r="EV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D172" i="2"/>
  <c r="EB173" i="2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FS178" i="2"/>
  <c r="ED177" i="2"/>
  <c r="EW178" i="2"/>
  <c r="EB178" i="2"/>
  <c r="EA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B179" i="2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Y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D184" i="2"/>
  <c r="EW185" i="2"/>
  <c r="EY184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FS186" i="2"/>
  <c r="EB186" i="2"/>
  <c r="ED185" i="2"/>
  <c r="EW186" i="2"/>
  <c r="EA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Y188" i="2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H190" i="2"/>
  <c r="HG190" i="2"/>
  <c r="EY189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D190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Y191" i="2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DI192" i="2"/>
  <c r="ED192" i="2"/>
  <c r="EB193" i="2"/>
  <c r="EA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HG194" i="2"/>
  <c r="ED193" i="2"/>
  <c r="FQ194" i="2"/>
  <c r="HI194" i="2"/>
  <c r="EB194" i="2"/>
  <c r="EA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AA195" i="2"/>
  <c r="ED194" i="2"/>
  <c r="EB195" i="2"/>
  <c r="HG195" i="2"/>
  <c r="HI195" i="2"/>
  <c r="EA195" i="2"/>
  <c r="EX195" i="2"/>
  <c r="EY194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HG197" i="2"/>
  <c r="HH197" i="2"/>
  <c r="AA197" i="2"/>
  <c r="EY196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Y198" i="2"/>
  <c r="EA199" i="2"/>
  <c r="EV199" i="2"/>
  <c r="EW199" i="2"/>
  <c r="HH199" i="2"/>
  <c r="EB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HG201" i="2" l="1"/>
  <c r="FS201" i="2"/>
  <c r="DI200" i="2"/>
  <c r="ED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HI202" i="2"/>
  <c r="FS202" i="2"/>
  <c r="EW202" i="2"/>
  <c r="EY201" i="2"/>
  <c r="FZ6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GT51" i="2" a="1"/>
  <c r="GT51" i="2" s="1"/>
  <c r="GT11" i="2" a="1"/>
  <c r="GT11" i="2" s="1"/>
  <c r="GT21" i="2" a="1"/>
  <c r="GT21" i="2" s="1"/>
  <c r="GT190" i="2" a="1"/>
  <c r="GT190" i="2" s="1"/>
  <c r="EI20" i="2" a="1"/>
  <c r="EI20" i="2" s="1"/>
  <c r="EI37" i="2" a="1"/>
  <c r="EI37" i="2" s="1"/>
  <c r="DN133" i="2" a="1"/>
  <c r="DN133" i="2" s="1"/>
  <c r="DN6" i="2" a="1"/>
  <c r="DN6" i="2" s="1"/>
  <c r="DO6" i="2" s="1"/>
  <c r="BX107" i="2" a="1"/>
  <c r="BX107" i="2" s="1"/>
  <c r="HJ202" i="2"/>
  <c r="AX200" i="2"/>
  <c r="BC18" i="2" l="1" a="1"/>
  <c r="BC18" i="2" s="1"/>
  <c r="FS203" i="2"/>
  <c r="EI106" i="2" a="1"/>
  <c r="EI106" i="2" s="1"/>
  <c r="EY202" i="2"/>
  <c r="EI38" i="2" a="1"/>
  <c r="EI38" i="2" s="1"/>
  <c r="FY50" i="2" a="1"/>
  <c r="FY50" i="2" s="1"/>
  <c r="FD159" i="2" a="1"/>
  <c r="FD159" i="2" s="1"/>
  <c r="FD167" i="2" a="1"/>
  <c r="FD167" i="2" s="1"/>
  <c r="FD189" i="2" a="1"/>
  <c r="FD189" i="2" s="1"/>
  <c r="FD48" i="2" a="1"/>
  <c r="FD48" i="2" s="1"/>
  <c r="FD82" i="2" a="1"/>
  <c r="FD82" i="2" s="1"/>
  <c r="FD188" i="2" a="1"/>
  <c r="FD188" i="2" s="1"/>
  <c r="FD160" i="2" a="1"/>
  <c r="FD160" i="2" s="1"/>
  <c r="BC38" i="2" a="1"/>
  <c r="BC38" i="2" s="1"/>
  <c r="BC83" i="2" a="1"/>
  <c r="BC83" i="2" s="1"/>
  <c r="BC164" i="2" a="1"/>
  <c r="BC164" i="2" s="1"/>
  <c r="BC185" i="2" a="1"/>
  <c r="BC185" i="2" s="1"/>
  <c r="BC130" i="2" a="1"/>
  <c r="BC130" i="2" s="1"/>
  <c r="BC114" i="2" a="1"/>
  <c r="BC114" i="2" s="1"/>
  <c r="BC47" i="2" a="1"/>
  <c r="BC47" i="2" s="1"/>
  <c r="BC32" i="2" a="1"/>
  <c r="BC32" i="2" s="1"/>
  <c r="BC65" i="2" a="1"/>
  <c r="BC65" i="2" s="1"/>
  <c r="BC192" i="2" a="1"/>
  <c r="BC192" i="2" s="1"/>
  <c r="BC126" i="2" a="1"/>
  <c r="BC126" i="2" s="1"/>
  <c r="BC151" i="2" a="1"/>
  <c r="BC151" i="2" s="1"/>
  <c r="BC7" i="2" a="1"/>
  <c r="BC7" i="2" s="1"/>
  <c r="BC55" i="2" a="1"/>
  <c r="BC55" i="2" s="1"/>
  <c r="BC82" i="2" a="1"/>
  <c r="BC82" i="2" s="1"/>
  <c r="BC143" i="2" a="1"/>
  <c r="BC143" i="2" s="1"/>
  <c r="BC68" i="2" a="1"/>
  <c r="BC68" i="2" s="1"/>
  <c r="BC31" i="2" a="1"/>
  <c r="BC31" i="2" s="1"/>
  <c r="BC117" i="2" a="1"/>
  <c r="BC117" i="2" s="1"/>
  <c r="BC58" i="2" a="1"/>
  <c r="BC58" i="2" s="1"/>
  <c r="BC84" i="2" a="1"/>
  <c r="BC84" i="2" s="1"/>
  <c r="BC181" i="2" a="1"/>
  <c r="BC181" i="2" s="1"/>
  <c r="BC34" i="2" a="1"/>
  <c r="BC34" i="2" s="1"/>
  <c r="FY142" i="2" a="1"/>
  <c r="FY142" i="2" s="1"/>
  <c r="FY30" i="2" a="1"/>
  <c r="FY30" i="2" s="1"/>
  <c r="AH199" i="2" a="1"/>
  <c r="AH199" i="2" s="1"/>
  <c r="CS38" i="2" a="1"/>
  <c r="CS38" i="2" s="1"/>
  <c r="CS52" i="2" a="1"/>
  <c r="CS52" i="2" s="1"/>
  <c r="CS72" i="2" a="1"/>
  <c r="CS72" i="2" s="1"/>
  <c r="CS129" i="2" a="1"/>
  <c r="CS129" i="2" s="1"/>
  <c r="CS105" i="2" a="1"/>
  <c r="CS105" i="2" s="1"/>
  <c r="CS66" i="2" a="1"/>
  <c r="CS66" i="2" s="1"/>
  <c r="CS120" i="2" a="1"/>
  <c r="CS120" i="2" s="1"/>
  <c r="CS56" i="2" a="1"/>
  <c r="CS56" i="2" s="1"/>
  <c r="CS161" i="2" a="1"/>
  <c r="CS161" i="2" s="1"/>
  <c r="CS185" i="2" a="1"/>
  <c r="CS185" i="2" s="1"/>
  <c r="CS114" i="2" a="1"/>
  <c r="CS114" i="2" s="1"/>
  <c r="CS77" i="2" a="1"/>
  <c r="CS77" i="2" s="1"/>
  <c r="CS134" i="2" a="1"/>
  <c r="CS134" i="2" s="1"/>
  <c r="CS137" i="2" a="1"/>
  <c r="CS137" i="2" s="1"/>
  <c r="CS24" i="2" a="1"/>
  <c r="CS24" i="2" s="1"/>
  <c r="CS116" i="2" a="1"/>
  <c r="CS116" i="2" s="1"/>
  <c r="AH19" i="2" a="1"/>
  <c r="AH19" i="2" s="1"/>
  <c r="FY104" i="2" a="1"/>
  <c r="FY104" i="2" s="1"/>
  <c r="FY196" i="2" a="1"/>
  <c r="FY196" i="2" s="1"/>
  <c r="FY186" i="2" a="1"/>
  <c r="FY186" i="2" s="1"/>
  <c r="FY69" i="2" a="1"/>
  <c r="FY69" i="2" s="1"/>
  <c r="DN162" i="2" a="1"/>
  <c r="DN162" i="2" s="1"/>
  <c r="DN63" i="2" a="1"/>
  <c r="DN63" i="2" s="1"/>
  <c r="DN177" i="2" a="1"/>
  <c r="DN177" i="2" s="1"/>
  <c r="DN184" i="2" a="1"/>
  <c r="DN184" i="2" s="1"/>
  <c r="DN45" i="2" a="1"/>
  <c r="DN45" i="2" s="1"/>
  <c r="FY190" i="2" a="1"/>
  <c r="FY190" i="2" s="1"/>
  <c r="FY78" i="2" a="1"/>
  <c r="FY78" i="2" s="1"/>
  <c r="FY35" i="2" a="1"/>
  <c r="FY35" i="2" s="1"/>
  <c r="DN65" i="2" a="1"/>
  <c r="DN65" i="2" s="1"/>
  <c r="DN49" i="2" a="1"/>
  <c r="DN49" i="2" s="1"/>
  <c r="DN168" i="2" a="1"/>
  <c r="DN168" i="2" s="1"/>
  <c r="DN123" i="2" a="1"/>
  <c r="DN123" i="2" s="1"/>
  <c r="DN115" i="2" a="1"/>
  <c r="DN115" i="2" s="1"/>
  <c r="DN152" i="2" a="1"/>
  <c r="DN152" i="2" s="1"/>
  <c r="DN124" i="2" a="1"/>
  <c r="DN124" i="2" s="1"/>
  <c r="DN164" i="2" a="1"/>
  <c r="DN164" i="2" s="1"/>
  <c r="DN153" i="2" a="1"/>
  <c r="DN153" i="2" s="1"/>
  <c r="DN29" i="2" a="1"/>
  <c r="DN29" i="2" s="1"/>
  <c r="DN132" i="2" a="1"/>
  <c r="DN132" i="2" s="1"/>
  <c r="DN187" i="2" a="1"/>
  <c r="DN187" i="2" s="1"/>
  <c r="DN30" i="2" a="1"/>
  <c r="DN30" i="2" s="1"/>
  <c r="DN55" i="2" a="1"/>
  <c r="DN55" i="2" s="1"/>
  <c r="DN135" i="2" a="1"/>
  <c r="DN135" i="2" s="1"/>
  <c r="DN150" i="2" a="1"/>
  <c r="DN150" i="2" s="1"/>
  <c r="DN170" i="2" a="1"/>
  <c r="DN170" i="2" s="1"/>
  <c r="DN41" i="2" a="1"/>
  <c r="DN41" i="2" s="1"/>
  <c r="DN155" i="2" a="1"/>
  <c r="DN155" i="2" s="1"/>
  <c r="DN70" i="2" a="1"/>
  <c r="DN70" i="2" s="1"/>
  <c r="DN46" i="2" a="1"/>
  <c r="DN46" i="2" s="1"/>
  <c r="DN110" i="2" a="1"/>
  <c r="DN110" i="2" s="1"/>
  <c r="DN38" i="2" a="1"/>
  <c r="DN38" i="2" s="1"/>
  <c r="DN192" i="2" a="1"/>
  <c r="DN192" i="2" s="1"/>
  <c r="DN129" i="2" a="1"/>
  <c r="DN129" i="2" s="1"/>
  <c r="DN43" i="2" a="1"/>
  <c r="DN43" i="2" s="1"/>
  <c r="DN31" i="2" a="1"/>
  <c r="DN31" i="2" s="1"/>
  <c r="DN66" i="2" a="1"/>
  <c r="DN66" i="2" s="1"/>
  <c r="DN50" i="2" a="1"/>
  <c r="DN50" i="2" s="1"/>
  <c r="DN186" i="2" a="1"/>
  <c r="DN186" i="2" s="1"/>
  <c r="DN176" i="2" a="1"/>
  <c r="DN176" i="2" s="1"/>
  <c r="DN167" i="2" a="1"/>
  <c r="DN167" i="2" s="1"/>
  <c r="DN114" i="2" a="1"/>
  <c r="DN114" i="2" s="1"/>
  <c r="DN188" i="2" a="1"/>
  <c r="DN188" i="2" s="1"/>
  <c r="DN113" i="2" a="1"/>
  <c r="DN113" i="2" s="1"/>
  <c r="DN137" i="2" a="1"/>
  <c r="DN137" i="2" s="1"/>
  <c r="DN190" i="2" a="1"/>
  <c r="DN190" i="2" s="1"/>
  <c r="DN16" i="2" a="1"/>
  <c r="DN16" i="2" s="1"/>
  <c r="DN80" i="2" a="1"/>
  <c r="DN80" i="2" s="1"/>
  <c r="DN103" i="2" a="1"/>
  <c r="DN103" i="2" s="1"/>
  <c r="DN86" i="2" a="1"/>
  <c r="DN86" i="2" s="1"/>
  <c r="DN25" i="2" a="1"/>
  <c r="DN25" i="2" s="1"/>
  <c r="DN56" i="2" a="1"/>
  <c r="DN56" i="2" s="1"/>
  <c r="GT107" i="2" a="1"/>
  <c r="GT107" i="2" s="1"/>
  <c r="GT189" i="2" a="1"/>
  <c r="GT189" i="2" s="1"/>
  <c r="GT121" i="2" a="1"/>
  <c r="GT121" i="2" s="1"/>
  <c r="GT174" i="2" a="1"/>
  <c r="GT174" i="2" s="1"/>
  <c r="GT198" i="2" a="1"/>
  <c r="GT198" i="2" s="1"/>
  <c r="GT122" i="2" a="1"/>
  <c r="GT122" i="2" s="1"/>
  <c r="GT191" i="2" a="1"/>
  <c r="GT191" i="2" s="1"/>
  <c r="GT12" i="2" a="1"/>
  <c r="GT12" i="2" s="1"/>
  <c r="GT102" i="2" a="1"/>
  <c r="GT102" i="2" s="1"/>
  <c r="GT68" i="2" a="1"/>
  <c r="GT68" i="2" s="1"/>
  <c r="GT38" i="2" a="1"/>
  <c r="GT38" i="2" s="1"/>
  <c r="GT147" i="2" a="1"/>
  <c r="GT147" i="2" s="1"/>
  <c r="GT181" i="2" a="1"/>
  <c r="GT181" i="2" s="1"/>
  <c r="GT126" i="2" a="1"/>
  <c r="GT126" i="2" s="1"/>
  <c r="GT152" i="2" a="1"/>
  <c r="GT152" i="2" s="1"/>
  <c r="GT184" i="2" a="1"/>
  <c r="GT184" i="2" s="1"/>
  <c r="GT15" i="2" a="1"/>
  <c r="GT15" i="2" s="1"/>
  <c r="GT74" i="2" a="1"/>
  <c r="GT74" i="2" s="1"/>
  <c r="GT33" i="2" a="1"/>
  <c r="GT33" i="2" s="1"/>
  <c r="GT115" i="2" a="1"/>
  <c r="GT115" i="2" s="1"/>
  <c r="GT138" i="2" a="1"/>
  <c r="GT138" i="2" s="1"/>
  <c r="GT178" i="2" a="1"/>
  <c r="GT178" i="2" s="1"/>
  <c r="GT133" i="2" a="1"/>
  <c r="GT133" i="2" s="1"/>
  <c r="AH163" i="2" a="1"/>
  <c r="AH163" i="2" s="1"/>
  <c r="AH62" i="2" a="1"/>
  <c r="AH62" i="2" s="1"/>
  <c r="EI35" i="2" a="1"/>
  <c r="EI35" i="2" s="1"/>
  <c r="EI34" i="2" a="1"/>
  <c r="EI34" i="2" s="1"/>
  <c r="EI166" i="2" a="1"/>
  <c r="EI166" i="2" s="1"/>
  <c r="EI139" i="2" a="1"/>
  <c r="EI139" i="2" s="1"/>
  <c r="EI165" i="2" a="1"/>
  <c r="EI165" i="2" s="1"/>
  <c r="EI67" i="2" a="1"/>
  <c r="EI67" i="2" s="1"/>
  <c r="EI71" i="2" a="1"/>
  <c r="EI71" i="2" s="1"/>
  <c r="EI170" i="2" a="1"/>
  <c r="EI170" i="2" s="1"/>
  <c r="EI57" i="2" a="1"/>
  <c r="EI57" i="2" s="1"/>
  <c r="EI195" i="2" a="1"/>
  <c r="EI195" i="2" s="1"/>
  <c r="AH92" i="2" a="1"/>
  <c r="AH92" i="2" s="1"/>
  <c r="EI16" i="2" a="1"/>
  <c r="EI16" i="2" s="1"/>
  <c r="EI36" i="2" a="1"/>
  <c r="EI36" i="2" s="1"/>
  <c r="EI113" i="2" a="1"/>
  <c r="EI113" i="2" s="1"/>
  <c r="EI87" i="2" a="1"/>
  <c r="EI87" i="2" s="1"/>
  <c r="EI128" i="2" a="1"/>
  <c r="EI128" i="2" s="1"/>
  <c r="EI109" i="2" a="1"/>
  <c r="EI109" i="2" s="1"/>
  <c r="EI142" i="2" a="1"/>
  <c r="EI142" i="2" s="1"/>
  <c r="AH151" i="2" a="1"/>
  <c r="AH151" i="2" s="1"/>
  <c r="AH166" i="2" a="1"/>
  <c r="AH166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Y203" i="2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GE11" i="2" l="1"/>
  <c r="GE195" i="2"/>
  <c r="GE130" i="2"/>
  <c r="GE134" i="2"/>
  <c r="GE17" i="2"/>
  <c r="GE181" i="2"/>
  <c r="GE172" i="2"/>
  <c r="GE51" i="2"/>
  <c r="GE147" i="2"/>
  <c r="GE192" i="2"/>
  <c r="GE58" i="2"/>
  <c r="GE124" i="2"/>
  <c r="GE27" i="2"/>
  <c r="GE98" i="2"/>
  <c r="GE96" i="2"/>
  <c r="GE77" i="2"/>
  <c r="GE176" i="2"/>
  <c r="GE106" i="2"/>
  <c r="GE132" i="2"/>
  <c r="GE110" i="2"/>
  <c r="GE161" i="2"/>
  <c r="GE183" i="2"/>
  <c r="GE179" i="2"/>
  <c r="GE104" i="2"/>
  <c r="GE63" i="2"/>
  <c r="GE64" i="2"/>
  <c r="GE29" i="2"/>
  <c r="GE37" i="2"/>
  <c r="GE168" i="2"/>
  <c r="GE73" i="2"/>
  <c r="GE136" i="2"/>
  <c r="GE187" i="2"/>
  <c r="GE198" i="2"/>
  <c r="GE126" i="2"/>
  <c r="GE148" i="2"/>
  <c r="GE60" i="2"/>
  <c r="GE144" i="2"/>
  <c r="GE197" i="2"/>
  <c r="GE91" i="2"/>
  <c r="GE118" i="2"/>
  <c r="GE174" i="2"/>
  <c r="GE30" i="2"/>
  <c r="GE65" i="2"/>
  <c r="GE137" i="2"/>
  <c r="GE169" i="2"/>
  <c r="GE167" i="2"/>
  <c r="GE175" i="2"/>
  <c r="GE123" i="2"/>
  <c r="GE36" i="2"/>
  <c r="GE59" i="2"/>
  <c r="GE180" i="2"/>
  <c r="GE47" i="2"/>
  <c r="GE28" i="2"/>
  <c r="GE152" i="2"/>
  <c r="GE13" i="2"/>
  <c r="GE71" i="2"/>
  <c r="GE141" i="2"/>
  <c r="GE39" i="2"/>
  <c r="GE135" i="2"/>
  <c r="GE199" i="2"/>
  <c r="GE67" i="2"/>
  <c r="GE53" i="2"/>
  <c r="GE108" i="2"/>
  <c r="GE70" i="2"/>
  <c r="GE4" i="2"/>
  <c r="GE75" i="2"/>
  <c r="GE185" i="2"/>
  <c r="GE38" i="2"/>
  <c r="GE26" i="2"/>
  <c r="GE100" i="2"/>
  <c r="GE90" i="2"/>
  <c r="GE24" i="2"/>
  <c r="GE12" i="2"/>
  <c r="GE80" i="2"/>
  <c r="GE138" i="2"/>
  <c r="GE85" i="2"/>
  <c r="GE155" i="2"/>
  <c r="GE5" i="2"/>
  <c r="GE23" i="2"/>
  <c r="GE74" i="2"/>
  <c r="GE203" i="2"/>
  <c r="GE56" i="2"/>
  <c r="GE87" i="2"/>
  <c r="GE145" i="2"/>
  <c r="GE111" i="2"/>
  <c r="GE119" i="2"/>
  <c r="GE92" i="2"/>
  <c r="GE41" i="2"/>
  <c r="GE122" i="2"/>
  <c r="GE34" i="2"/>
  <c r="GE201" i="2"/>
  <c r="GE40" i="2"/>
  <c r="GE102" i="2"/>
  <c r="GE164" i="2"/>
  <c r="GE61" i="2"/>
  <c r="GE19" i="2"/>
  <c r="GE99" i="2"/>
  <c r="GE200" i="2"/>
  <c r="GE151" i="2"/>
  <c r="GE97" i="2"/>
  <c r="GE81" i="2"/>
  <c r="GE120" i="2"/>
  <c r="GE42" i="2"/>
  <c r="GE127" i="2"/>
  <c r="GE88" i="2"/>
  <c r="GE121" i="2"/>
  <c r="GE170" i="2"/>
  <c r="GE15" i="2"/>
  <c r="GE84" i="2"/>
  <c r="GE95" i="2"/>
  <c r="GE107" i="2"/>
  <c r="GE142" i="2"/>
  <c r="GE157" i="2"/>
  <c r="GE22" i="2"/>
  <c r="GE105" i="2"/>
  <c r="GE166" i="2"/>
  <c r="GE150" i="2"/>
  <c r="GE52" i="2"/>
  <c r="GE21" i="2"/>
  <c r="GE129" i="2"/>
  <c r="GE43" i="2"/>
  <c r="GE163" i="2"/>
  <c r="GE125" i="2"/>
  <c r="GE177" i="2"/>
  <c r="GE139" i="2"/>
  <c r="GE44" i="2"/>
  <c r="GE162" i="2"/>
  <c r="GE33" i="2"/>
  <c r="GE79" i="2"/>
  <c r="GE114" i="2"/>
  <c r="GE171" i="2"/>
  <c r="GE32" i="2"/>
  <c r="GE62" i="2"/>
  <c r="GE8" i="2"/>
  <c r="GE101" i="2"/>
  <c r="GE131" i="2"/>
  <c r="GE72" i="2"/>
  <c r="GE6" i="2"/>
  <c r="GE186" i="2"/>
  <c r="GE143" i="2"/>
  <c r="GE86" i="2"/>
  <c r="GE112" i="2"/>
  <c r="GE7" i="2"/>
  <c r="GE25" i="2"/>
  <c r="GE156" i="2"/>
  <c r="GE194" i="2"/>
  <c r="GE76" i="2"/>
  <c r="GE94" i="2"/>
  <c r="GE153" i="2"/>
  <c r="GE202" i="2"/>
  <c r="GE18" i="2"/>
  <c r="GE146" i="2"/>
  <c r="GE165" i="2"/>
  <c r="GE182" i="2"/>
  <c r="GE117" i="2"/>
  <c r="GE83" i="2"/>
  <c r="GE196" i="2"/>
  <c r="GE48" i="2"/>
  <c r="GE16" i="2"/>
  <c r="GE45" i="2"/>
  <c r="GE113" i="2"/>
  <c r="GE46" i="2"/>
  <c r="GE3" i="2"/>
  <c r="C14" i="4" s="1"/>
  <c r="E14" i="4" s="1"/>
  <c r="F14" i="4" s="1"/>
  <c r="G14" i="4" s="1"/>
  <c r="L14" i="4" s="1"/>
  <c r="GE158" i="2"/>
  <c r="GE89" i="2"/>
  <c r="GE128" i="2"/>
  <c r="GE49" i="2"/>
  <c r="GE14" i="2"/>
  <c r="GE190" i="2"/>
  <c r="GE160" i="2"/>
  <c r="GE188" i="2"/>
  <c r="GE140" i="2"/>
  <c r="GE31" i="2"/>
  <c r="GE20" i="2"/>
  <c r="GE93" i="2"/>
  <c r="GE50" i="2"/>
  <c r="GE10" i="2"/>
  <c r="GE103" i="2"/>
  <c r="GE149" i="2"/>
  <c r="GE57" i="2"/>
  <c r="GE69" i="2"/>
  <c r="GE116" i="2"/>
  <c r="GE159" i="2"/>
  <c r="GE133" i="2"/>
  <c r="GE35" i="2"/>
  <c r="GE9" i="2"/>
  <c r="GE66" i="2"/>
  <c r="GE193" i="2"/>
  <c r="GE189" i="2"/>
  <c r="GE54" i="2"/>
  <c r="GE109" i="2"/>
  <c r="GE191" i="2"/>
  <c r="GE82" i="2"/>
  <c r="GE68" i="2"/>
  <c r="GE154" i="2"/>
  <c r="GE178" i="2"/>
  <c r="GE78" i="2"/>
  <c r="GE184" i="2"/>
  <c r="GE55" i="2"/>
  <c r="GE115" i="2"/>
  <c r="GE173" i="2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186" i="2" l="1"/>
  <c r="FE84" i="2"/>
  <c r="FF83" i="2"/>
  <c r="FG83" i="2" s="1"/>
  <c r="FH83" i="2" s="1"/>
  <c r="FI83" i="2" s="1"/>
  <c r="FJ11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9" i="2" l="1"/>
  <c r="FJ93" i="2"/>
  <c r="FJ86" i="2"/>
  <c r="FJ135" i="2"/>
  <c r="FJ99" i="2"/>
  <c r="FJ179" i="2"/>
  <c r="FJ112" i="2"/>
  <c r="FJ78" i="2"/>
  <c r="FJ199" i="2"/>
  <c r="FJ15" i="2"/>
  <c r="FJ111" i="2"/>
  <c r="FJ127" i="2"/>
  <c r="FJ7" i="2"/>
  <c r="FJ72" i="2"/>
  <c r="FJ203" i="2"/>
  <c r="FJ90" i="2"/>
  <c r="FJ103" i="2"/>
  <c r="FJ17" i="2"/>
  <c r="FJ14" i="2"/>
  <c r="FJ120" i="2"/>
  <c r="FJ41" i="2"/>
  <c r="FJ50" i="2"/>
  <c r="FJ12" i="2"/>
  <c r="FJ160" i="2"/>
  <c r="FJ140" i="2"/>
  <c r="FJ134" i="2"/>
  <c r="FJ105" i="2"/>
  <c r="FJ144" i="2"/>
  <c r="FJ96" i="2"/>
  <c r="FJ192" i="2"/>
  <c r="FJ173" i="2"/>
  <c r="FJ125" i="2"/>
  <c r="FJ25" i="2"/>
  <c r="FJ189" i="2"/>
  <c r="FJ181" i="2"/>
  <c r="FJ76" i="2"/>
  <c r="FJ133" i="2"/>
  <c r="FJ176" i="2"/>
  <c r="FJ92" i="2"/>
  <c r="FJ73" i="2"/>
  <c r="FJ131" i="2"/>
  <c r="FJ88" i="2"/>
  <c r="FJ166" i="2"/>
  <c r="FJ118" i="2"/>
  <c r="FJ138" i="2"/>
  <c r="FJ89" i="2"/>
  <c r="FJ37" i="2"/>
  <c r="FJ8" i="2"/>
  <c r="FJ101" i="2"/>
  <c r="FJ136" i="2"/>
  <c r="FJ65" i="2"/>
  <c r="FJ130" i="2"/>
  <c r="FJ61" i="2"/>
  <c r="FJ157" i="2"/>
  <c r="FJ155" i="2"/>
  <c r="FJ196" i="2"/>
  <c r="FJ94" i="2"/>
  <c r="FJ114" i="2"/>
  <c r="FJ106" i="2"/>
  <c r="FJ22" i="2"/>
  <c r="FJ102" i="2"/>
  <c r="FJ68" i="2"/>
  <c r="FJ18" i="2"/>
  <c r="FJ63" i="2"/>
  <c r="FJ110" i="2"/>
  <c r="FJ139" i="2"/>
  <c r="FJ197" i="2"/>
  <c r="FJ3" i="2"/>
  <c r="C13" i="4" s="1"/>
  <c r="E13" i="4" s="1"/>
  <c r="F13" i="4" s="1"/>
  <c r="G13" i="4" s="1"/>
  <c r="L13" i="4" s="1"/>
  <c r="FJ35" i="2"/>
  <c r="FJ143" i="2"/>
  <c r="FJ83" i="2"/>
  <c r="FJ69" i="2"/>
  <c r="FJ60" i="2"/>
  <c r="FJ34" i="2"/>
  <c r="FJ6" i="2"/>
  <c r="FJ66" i="2"/>
  <c r="FJ149" i="2"/>
  <c r="FJ48" i="2"/>
  <c r="FJ171" i="2"/>
  <c r="FJ20" i="2"/>
  <c r="FJ91" i="2"/>
  <c r="FJ137" i="2"/>
  <c r="FJ97" i="2"/>
  <c r="FJ45" i="2"/>
  <c r="FJ40" i="2"/>
  <c r="FJ123" i="2"/>
  <c r="FJ4" i="2"/>
  <c r="FJ168" i="2"/>
  <c r="FJ95" i="2"/>
  <c r="FJ108" i="2"/>
  <c r="FJ24" i="2"/>
  <c r="FJ10" i="2"/>
  <c r="FJ158" i="2"/>
  <c r="FJ44" i="2"/>
  <c r="FJ161" i="2"/>
  <c r="FJ167" i="2"/>
  <c r="FJ109" i="2"/>
  <c r="FJ170" i="2"/>
  <c r="FJ201" i="2"/>
  <c r="FJ74" i="2"/>
  <c r="FJ182" i="2"/>
  <c r="FJ43" i="2"/>
  <c r="FJ58" i="2"/>
  <c r="FJ85" i="2"/>
  <c r="FJ82" i="2"/>
  <c r="FJ27" i="2"/>
  <c r="FJ55" i="2"/>
  <c r="FJ70" i="2"/>
  <c r="FJ29" i="2"/>
  <c r="FJ177" i="2"/>
  <c r="FJ16" i="2"/>
  <c r="FJ194" i="2"/>
  <c r="FJ115" i="2"/>
  <c r="FJ193" i="2"/>
  <c r="FJ21" i="2"/>
  <c r="FJ121" i="2"/>
  <c r="FJ51" i="2"/>
  <c r="FJ53" i="2"/>
  <c r="FJ174" i="2"/>
  <c r="FJ129" i="2"/>
  <c r="FJ169" i="2"/>
  <c r="FJ195" i="2"/>
  <c r="FJ154" i="2"/>
  <c r="FJ178" i="2"/>
  <c r="FJ147" i="2"/>
  <c r="FJ59" i="2"/>
  <c r="FJ202" i="2"/>
  <c r="FJ145" i="2"/>
  <c r="FJ32" i="2"/>
  <c r="FJ198" i="2"/>
  <c r="FJ36" i="2"/>
  <c r="FJ150" i="2"/>
  <c r="FJ33" i="2"/>
  <c r="FJ104" i="2"/>
  <c r="FJ191" i="2"/>
  <c r="FJ30" i="2"/>
  <c r="FJ107" i="2"/>
  <c r="FJ141" i="2"/>
  <c r="FJ98" i="2"/>
  <c r="FJ163" i="2"/>
  <c r="FJ142" i="2"/>
  <c r="FJ19" i="2"/>
  <c r="FJ184" i="2"/>
  <c r="FJ183" i="2"/>
  <c r="FJ13" i="2"/>
  <c r="FJ100" i="2"/>
  <c r="FJ84" i="2"/>
  <c r="FJ159" i="2"/>
  <c r="FJ54" i="2"/>
  <c r="FJ200" i="2"/>
  <c r="FJ57" i="2"/>
  <c r="FJ42" i="2"/>
  <c r="FJ49" i="2"/>
  <c r="FJ119" i="2"/>
  <c r="FJ126" i="2"/>
  <c r="FJ175" i="2"/>
  <c r="FJ39" i="2"/>
  <c r="FJ62" i="2"/>
  <c r="FJ124" i="2"/>
  <c r="FJ64" i="2"/>
  <c r="FJ162" i="2"/>
  <c r="FJ23" i="2"/>
  <c r="FJ5" i="2"/>
  <c r="FJ46" i="2"/>
  <c r="FJ187" i="2"/>
  <c r="FJ71" i="2"/>
  <c r="FJ79" i="2"/>
  <c r="FJ26" i="2"/>
  <c r="FJ116" i="2"/>
  <c r="FJ185" i="2"/>
  <c r="FJ31" i="2"/>
  <c r="FJ81" i="2"/>
  <c r="FJ47" i="2"/>
  <c r="FJ117" i="2"/>
  <c r="FJ156" i="2"/>
  <c r="FJ128" i="2"/>
  <c r="FJ164" i="2"/>
  <c r="FJ146" i="2"/>
  <c r="FJ56" i="2"/>
  <c r="FJ87" i="2"/>
  <c r="FJ172" i="2"/>
  <c r="FJ38" i="2"/>
  <c r="FJ190" i="2"/>
  <c r="FJ132" i="2"/>
  <c r="FJ77" i="2"/>
  <c r="FJ151" i="2"/>
  <c r="FJ180" i="2"/>
  <c r="FJ153" i="2"/>
  <c r="FJ11" i="2"/>
  <c r="FJ188" i="2"/>
  <c r="FJ148" i="2"/>
  <c r="FJ52" i="2"/>
  <c r="FJ75" i="2"/>
  <c r="FJ67" i="2"/>
  <c r="FJ152" i="2"/>
  <c r="FJ165" i="2"/>
  <c r="FJ28" i="2"/>
  <c r="FJ80" i="2"/>
  <c r="FJ122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<sst xmlns="http://schemas.openxmlformats.org/spreadsheetml/2006/main" count="1171" uniqueCount="326">
  <si>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</si>
  <si>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</si>
  <si>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</si>
  <si>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</si>
  <si>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</si>
  <si>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</si>
  <si>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</si>
  <si>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</si>
  <si>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</si>
  <si>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</si>
  <si>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</si>
  <si>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</si>
  <si>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</si>
  <si>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</si>
  <si>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</si>
  <si>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</si>
  <si>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</si>
  <si>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</si>
  <si>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</si>
  <si>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Pin maritime</t>
  </si>
  <si>
    <t>Essence 3</t>
  </si>
  <si>
    <t>Charme</t>
  </si>
  <si>
    <t>Essence 4</t>
  </si>
  <si>
    <t>Erable champêtre</t>
  </si>
  <si>
    <t>Essence 5</t>
  </si>
  <si>
    <t>Douglas</t>
  </si>
  <si>
    <t>Essence 6</t>
  </si>
  <si>
    <t>Merisier</t>
  </si>
  <si>
    <t>Essence 7</t>
  </si>
  <si>
    <t>Chêne rouge d'Amérique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</si>
  <si>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</si>
  <si>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</si>
  <si>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</si>
  <si>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</si>
  <si>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</si>
  <si>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</si>
  <si>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</si>
  <si>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</si>
  <si>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</si>
  <si>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</si>
  <si>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</si>
  <si>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</si>
  <si>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</si>
  <si>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</si>
  <si>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</si>
  <si>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</si>
  <si>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</si>
  <si>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</si>
  <si>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</si>
  <si>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</si>
  <si>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</si>
  <si>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</si>
  <si>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</si>
  <si>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</si>
  <si>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</si>
  <si>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</si>
  <si>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</si>
  <si>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</si>
  <si>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</si>
  <si>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</si>
  <si>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</si>
  <si>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</si>
  <si>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</si>
  <si>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</si>
  <si>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</si>
  <si>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</si>
  <si>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</si>
  <si>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</si>
  <si>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</si>
  <si>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</si>
  <si>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</si>
  <si>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</si>
  <si>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</si>
  <si>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</si>
  <si>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</si>
  <si>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</si>
  <si>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</si>
  <si>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</si>
  <si>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</si>
  <si>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</si>
  <si>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</si>
  <si>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</si>
  <si>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</si>
  <si>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</si>
  <si>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</si>
  <si>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</si>
  <si>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</si>
  <si>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</si>
  <si>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</si>
  <si>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</si>
  <si>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</si>
  <si>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</si>
  <si>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</si>
  <si>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</si>
  <si>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</si>
  <si>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</si>
  <si>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</si>
  <si>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</si>
  <si>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</si>
  <si>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</si>
  <si>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</si>
  <si>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</si>
  <si>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</si>
  <si>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</si>
  <si>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</si>
  <si>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</si>
  <si>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</si>
  <si>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</si>
  <si>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</si>
  <si>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</si>
  <si>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</si>
  <si>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</si>
  <si>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</si>
  <si>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</si>
  <si>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</si>
  <si>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</si>
  <si>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</si>
  <si>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</si>
  <si>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</si>
  <si>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</si>
  <si>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</si>
  <si>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</si>
  <si>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</si>
  <si>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</si>
  <si>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</si>
  <si>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</si>
  <si>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</si>
  <si>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</si>
  <si>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</si>
  <si>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</si>
  <si>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</si>
  <si>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</si>
  <si>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</si>
  <si>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</si>
  <si>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</si>
  <si>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</si>
  <si>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</si>
  <si>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</si>
  <si>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</si>
  <si>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</si>
  <si>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</si>
  <si>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</si>
  <si>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</si>
  <si>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</si>
  <si>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</si>
  <si>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</si>
  <si>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</si>
  <si>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</si>
  <si>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</si>
  <si>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</si>
  <si>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</si>
  <si>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</si>
  <si>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</si>
  <si>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</si>
  <si>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</si>
  <si>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</si>
  <si>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</si>
  <si>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</si>
  <si>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</si>
  <si>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</si>
  <si>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</si>
  <si>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</si>
  <si>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</si>
  <si>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</si>
  <si>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</si>
  <si>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</si>
  <si>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</si>
  <si>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</si>
  <si>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</si>
  <si>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</si>
  <si>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</si>
  <si>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</si>
  <si>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</si>
  <si>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</si>
  <si>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</si>
  <si>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</si>
  <si>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</si>
  <si>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</si>
  <si>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</si>
  <si>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</si>
  <si>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</si>
  <si>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</si>
  <si>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</si>
  <si>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</si>
  <si>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</si>
  <si>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</si>
  <si>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</si>
  <si>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</si>
  <si>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</si>
  <si>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</si>
  <si>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</si>
  <si>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</si>
  <si>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</si>
  <si>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</si>
  <si>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</si>
  <si>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</si>
  <si>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</si>
  <si>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</si>
  <si>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</si>
  <si>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</si>
  <si>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</si>
  <si>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</si>
  <si>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</si>
  <si>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</si>
  <si>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</si>
  <si>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</si>
  <si>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</si>
  <si>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</si>
  <si>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</si>
  <si>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</si>
  <si>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</si>
  <si>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</si>
  <si>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</si>
  <si>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</si>
  <si>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</si>
  <si>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</si>
  <si>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</si>
  <si>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</si>
  <si>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</si>
  <si>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</si>
  <si>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</si>
  <si>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</si>
  <si>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</si>
  <si>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</si>
  <si>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</si>
  <si>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</si>
  <si>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</si>
  <si>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</si>
  <si>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</si>
  <si>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</si>
  <si>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</si>
  <si>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</si>
  <si>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</si>
  <si>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</si>
  <si>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</si>
  <si>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</si>
  <si>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</si>
  <si>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</si>
  <si>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</si>
  <si>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</si>
  <si>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</si>
  <si>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</si>
  <si>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</si>
  <si>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</si>
  <si>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</si>
  <si>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</si>
  <si>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</si>
  <si>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</si>
  <si>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</si>
  <si>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</si>
  <si>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</si>
  <si>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</si>
  <si>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</si>
  <si>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</si>
  <si>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</si>
  <si>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</si>
  <si>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</si>
  <si>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</si>
  <si>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</si>
  <si>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</si>
  <si>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</si>
  <si>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</si>
  <si>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</si>
  <si>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</si>
  <si>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</si>
  <si>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</si>
  <si>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</si>
  <si>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</si>
  <si>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</si>
  <si>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</si>
  <si>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</si>
  <si>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</si>
  <si>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</si>
  <si>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</si>
  <si>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</si>
  <si>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</si>
  <si>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</si>
  <si>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</si>
  <si>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</si>
  <si>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</si>
  <si>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</si>
  <si>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</si>
  <si>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</si>
  <si>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</si>
  <si>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</si>
  <si>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</si>
  <si>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</si>
  <si>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</si>
  <si>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</si>
  <si>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</si>
  <si>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</si>
  <si>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</si>
  <si>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</si>
  <si>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</si>
  <si>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</si>
  <si>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</si>
  <si>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</si>
  <si>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</si>
  <si>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</si>
  <si>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</si>
  <si>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</si>
  <si>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</si>
  <si>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</si>
  <si>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</si>
  <si>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</si>
  <si>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</si>
  <si>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</si>
  <si>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</si>
  <si>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</si>
  <si>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</si>
  <si>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</si>
  <si>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</si>
  <si>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</si>
  <si>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</si>
  <si>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</si>
  <si>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</si>
  <si>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</si>
  <si>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</si>
  <si>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</si>
  <si>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</si>
  <si>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</si>
  <si>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</si>
  <si>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</si>
  <si>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</si>
  <si>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ONF F2 Loire Basin</t>
  </si>
  <si>
    <t>ONF F2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</si>
</sst>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0"/>
      <color rgb="FFFF0000"/>
      <name val="Arial"/>
      <family val="2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14" borderId="1" xfId="0" applyFont="1" applyFill="1" applyBorder="1" applyAlignment="1" applyProtection="1">
      <alignment horizontal="center"/>
      <protection locked="0"/>
    </xf>
    <xf numFmtId="9" fontId="32" fillId="14" borderId="1" xfId="1" applyFont="1" applyFill="1" applyBorder="1" applyAlignment="1" applyProtection="1">
      <alignment horizontal="center"/>
      <protection locked="0"/>
    </xf>
    <xf numFmtId="0" fontId="33" fillId="21" borderId="1" xfId="0" applyFont="1" applyFill="1" applyBorder="1" applyAlignment="1" applyProtection="1">
      <alignment horizontal="center" vertical="center"/>
      <protection locked="0"/>
    </xf>
    <xf numFmtId="9" fontId="33" fillId="21" borderId="1" xfId="0" applyNumberFormat="1" applyFont="1" applyFill="1" applyBorder="1" applyAlignment="1" applyProtection="1">
      <alignment horizontal="center" vertical="center"/>
      <protection locked="0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2.0372769670101483</c:v>
                </c:pt>
                <c:pt idx="2">
                  <c:v>2.676486199143135</c:v>
                </c:pt>
                <c:pt idx="3">
                  <c:v>3.5170759077395513</c:v>
                </c:pt>
                <c:pt idx="4">
                  <c:v>4.6227351394646172</c:v>
                </c:pt>
                <c:pt idx="5">
                  <c:v>6.0773678328619782</c:v>
                </c:pt>
                <c:pt idx="6">
                  <c:v>7.9915303734957925</c:v>
                </c:pt>
                <c:pt idx="7">
                  <c:v>10.510925497936862</c:v>
                </c:pt>
                <c:pt idx="8">
                  <c:v>13.827611241534122</c:v>
                </c:pt>
                <c:pt idx="9">
                  <c:v>18.194795155280449</c:v>
                </c:pt>
                <c:pt idx="10">
                  <c:v>23.946363633196558</c:v>
                </c:pt>
                <c:pt idx="11">
                  <c:v>31.522665853656651</c:v>
                </c:pt>
                <c:pt idx="12">
                  <c:v>41.504560602143492</c:v>
                </c:pt>
                <c:pt idx="13">
                  <c:v>54.658380558021626</c:v>
                </c:pt>
                <c:pt idx="14">
                  <c:v>71.995323377039924</c:v>
                </c:pt>
                <c:pt idx="15">
                  <c:v>94.849909428740133</c:v>
                </c:pt>
                <c:pt idx="16">
                  <c:v>124.98364149297942</c:v>
                </c:pt>
                <c:pt idx="17">
                  <c:v>164.72198008050322</c:v>
                </c:pt>
                <c:pt idx="18">
                  <c:v>134.28250989030781</c:v>
                </c:pt>
                <c:pt idx="19">
                  <c:v>157.45506117882073</c:v>
                </c:pt>
                <c:pt idx="20">
                  <c:v>180.54657390777126</c:v>
                </c:pt>
                <c:pt idx="21">
                  <c:v>203.56888236001612</c:v>
                </c:pt>
                <c:pt idx="22">
                  <c:v>226.53091750255075</c:v>
                </c:pt>
                <c:pt idx="23">
                  <c:v>249.43964844709606</c:v>
                </c:pt>
                <c:pt idx="24">
                  <c:v>198.2631718527642</c:v>
                </c:pt>
                <c:pt idx="25">
                  <c:v>222.37968742634794</c:v>
                </c:pt>
                <c:pt idx="26">
                  <c:v>246.4361891457107</c:v>
                </c:pt>
                <c:pt idx="27">
                  <c:v>270.43935829312153</c:v>
                </c:pt>
                <c:pt idx="28">
                  <c:v>294.39459227178389</c:v>
                </c:pt>
                <c:pt idx="29">
                  <c:v>318.30633801047736</c:v>
                </c:pt>
                <c:pt idx="30">
                  <c:v>270.68449172782698</c:v>
                </c:pt>
                <c:pt idx="31">
                  <c:v>293.51930351408345</c:v>
                </c:pt>
                <c:pt idx="32">
                  <c:v>316.31447172414227</c:v>
                </c:pt>
                <c:pt idx="33">
                  <c:v>339.07325336996888</c:v>
                </c:pt>
                <c:pt idx="34">
                  <c:v>361.7984326115573</c:v>
                </c:pt>
                <c:pt idx="35">
                  <c:v>384.49241541397896</c:v>
                </c:pt>
                <c:pt idx="36">
                  <c:v>407.15730067263689</c:v>
                </c:pt>
                <c:pt idx="37">
                  <c:v>330.75137896983284</c:v>
                </c:pt>
                <c:pt idx="38">
                  <c:v>351.93090381479277</c:v>
                </c:pt>
                <c:pt idx="39">
                  <c:v>373.08249524821412</c:v>
                </c:pt>
                <c:pt idx="40">
                  <c:v>394.20795870969431</c:v>
                </c:pt>
                <c:pt idx="41">
                  <c:v>415.30889042922746</c:v>
                </c:pt>
                <c:pt idx="42">
                  <c:v>436.38671128579443</c:v>
                </c:pt>
                <c:pt idx="43">
                  <c:v>457.44269378262044</c:v>
                </c:pt>
                <c:pt idx="44">
                  <c:v>478.47798379712521</c:v>
                </c:pt>
                <c:pt idx="45">
                  <c:v>397.753227063145</c:v>
                </c:pt>
                <c:pt idx="46">
                  <c:v>416.44223811477758</c:v>
                </c:pt>
                <c:pt idx="47">
                  <c:v>435.11317365477458</c:v>
                </c:pt>
                <c:pt idx="48">
                  <c:v>453.76691805289994</c:v>
                </c:pt>
                <c:pt idx="49">
                  <c:v>472.40427707439738</c:v>
                </c:pt>
                <c:pt idx="50">
                  <c:v>491.0259877555323</c:v>
                </c:pt>
                <c:pt idx="51">
                  <c:v>509.63272670342303</c:v>
                </c:pt>
                <c:pt idx="52">
                  <c:v>528.22511712105825</c:v>
                </c:pt>
                <c:pt idx="53">
                  <c:v>448.98126779829232</c:v>
                </c:pt>
                <c:pt idx="54">
                  <c:v>465.70732350694396</c:v>
                </c:pt>
                <c:pt idx="55">
                  <c:v>482.42057605284941</c:v>
                </c:pt>
                <c:pt idx="56">
                  <c:v>499.12153124405523</c:v>
                </c:pt>
                <c:pt idx="57">
                  <c:v>515.81065829469196</c:v>
                </c:pt>
                <c:pt idx="58">
                  <c:v>532.48839359517024</c:v>
                </c:pt>
                <c:pt idx="59">
                  <c:v>549.15514398564108</c:v>
                </c:pt>
                <c:pt idx="60">
                  <c:v>565.81128961154946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ColWidth="11.46484375" defaultRowHeight="14.25" x14ac:dyDescent="0.45"/>
  <cols>
    <col min="1" max="1" width="6.796875" customWidth="1"/>
    <col min="2" max="13" width="15.796875" customWidth="1"/>
  </cols>
  <sheetData>
    <row r="12" spans="2:13" ht="15" customHeight="1" x14ac:dyDescent="0.45">
      <c r="B12" s="261" t="s">
        <v>0</v>
      </c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</row>
    <row r="13" spans="2:13" ht="15" customHeight="1" x14ac:dyDescent="0.45"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</row>
    <row r="14" spans="2:13" ht="15" customHeight="1" x14ac:dyDescent="0.45"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</row>
    <row r="15" spans="2:13" ht="18.75" customHeight="1" x14ac:dyDescent="0.45"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</row>
    <row r="16" spans="2:13" ht="18.75" customHeight="1" x14ac:dyDescent="0.45"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</row>
    <row r="18" spans="2:13" ht="12" customHeight="1" x14ac:dyDescent="0.45">
      <c r="B18" s="261" t="s">
        <v>1</v>
      </c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</row>
    <row r="19" spans="2:13" ht="12" customHeight="1" x14ac:dyDescent="0.45"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</row>
    <row r="20" spans="2:13" ht="12" customHeight="1" x14ac:dyDescent="0.45"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</row>
    <row r="21" spans="2:13" ht="12" customHeight="1" x14ac:dyDescent="0.45"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</row>
    <row r="22" spans="2:13" ht="12" customHeight="1" x14ac:dyDescent="0.45"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</row>
    <row r="23" spans="2:13" ht="12" customHeight="1" x14ac:dyDescent="0.45"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</row>
    <row r="24" spans="2:13" ht="12" customHeight="1" x14ac:dyDescent="0.45"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</row>
    <row r="25" spans="2:13" ht="12" customHeight="1" x14ac:dyDescent="0.45"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</row>
    <row r="26" spans="2:13" ht="12" customHeight="1" x14ac:dyDescent="0.45"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</row>
    <row r="27" spans="2:13" ht="12" customHeight="1" x14ac:dyDescent="0.45"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</row>
    <row r="28" spans="2:13" ht="12" customHeight="1" x14ac:dyDescent="0.45"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</row>
    <row r="29" spans="2:13" ht="12" customHeight="1" x14ac:dyDescent="0.45"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</row>
    <row r="30" spans="2:13" ht="12" customHeight="1" x14ac:dyDescent="0.45"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</row>
    <row r="31" spans="2:13" ht="12" customHeight="1" x14ac:dyDescent="0.45"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5" zoomScaleNormal="85" workbookViewId="0">
      <selection activeCell="I17" sqref="I17"/>
    </sheetView>
  </sheetViews>
  <sheetFormatPr baseColWidth="10" defaultColWidth="11.46484375" defaultRowHeight="14.25" x14ac:dyDescent="0.45"/>
  <cols>
    <col min="1" max="1" width="13.796875" style="23" customWidth="1"/>
    <col min="2" max="2" width="36.19921875" style="23" customWidth="1"/>
    <col min="3" max="3" width="14.796875" style="23" bestFit="1" customWidth="1"/>
    <col min="4" max="4" width="16.46484375" style="23" customWidth="1"/>
    <col min="5" max="5" width="23.19921875" style="23" customWidth="1"/>
    <col min="6" max="6" width="28.796875" style="23" bestFit="1" customWidth="1"/>
    <col min="7" max="8" width="14.796875" style="23" customWidth="1"/>
    <col min="9" max="9" width="17" style="23" customWidth="1"/>
    <col min="10" max="10" width="13.796875" style="23" customWidth="1"/>
    <col min="11" max="16384" width="11.46484375" style="23"/>
  </cols>
  <sheetData>
    <row r="1" spans="1:38" x14ac:dyDescent="0.45">
      <c r="A1" s="4"/>
      <c r="B1" s="4"/>
      <c r="C1" s="266" t="s">
        <v>2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0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7" t="s">
        <v>4</v>
      </c>
      <c r="C3" s="268"/>
      <c r="D3" s="268"/>
      <c r="E3" s="268"/>
      <c r="F3" s="269"/>
      <c r="G3" s="88"/>
      <c r="I3" s="210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89"/>
      <c r="B4" s="89"/>
      <c r="C4" s="89"/>
      <c r="D4" s="89"/>
      <c r="E4" s="89"/>
      <c r="F4" s="89"/>
      <c r="G4" s="217"/>
      <c r="I4" s="210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72" t="s">
        <v>7</v>
      </c>
      <c r="B5" s="272"/>
      <c r="C5" s="24">
        <v>14.14</v>
      </c>
      <c r="D5" s="273" t="s">
        <v>8</v>
      </c>
      <c r="E5" s="274"/>
      <c r="F5" s="89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0"/>
      <c r="B6" s="90"/>
      <c r="C6" s="4"/>
      <c r="D6" s="85"/>
      <c r="E6" s="85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71" t="s">
        <v>9</v>
      </c>
      <c r="B7" s="271"/>
      <c r="C7" s="89"/>
      <c r="D7" s="89"/>
      <c r="E7" s="4"/>
      <c r="F7" s="89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15</v>
      </c>
      <c r="B9" s="31" t="s">
        <v>16</v>
      </c>
      <c r="C9" s="32">
        <v>7.0000000000000007E-2</v>
      </c>
      <c r="D9" s="33">
        <f t="shared" ref="D9:D18" si="0">C9*$C$5</f>
        <v>0.98980000000000012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17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18</v>
      </c>
      <c r="B10" s="31" t="s">
        <v>19</v>
      </c>
      <c r="C10" s="32">
        <v>0.93</v>
      </c>
      <c r="D10" s="33">
        <f t="shared" si="0"/>
        <v>13.150200000000002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20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22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24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26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28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30</v>
      </c>
      <c r="B16" s="31"/>
      <c r="C16" s="259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31</v>
      </c>
      <c r="B17" s="258"/>
      <c r="C17" s="259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32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7"/>
      <c r="B19" s="36" t="s">
        <v>33</v>
      </c>
      <c r="C19" s="37">
        <f>SUM(C9:C18)</f>
        <v>1</v>
      </c>
      <c r="D19" s="38">
        <f>SUM(D9:D18)</f>
        <v>14.140000000000002</v>
      </c>
      <c r="E19" s="4"/>
      <c r="F19" s="91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7"/>
      <c r="B20" s="39" t="s">
        <v>14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70" t="s">
        <v>34</v>
      </c>
      <c r="B22" s="270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35</v>
      </c>
      <c r="B24" s="42" t="s">
        <v>36</v>
      </c>
      <c r="C24" s="43">
        <v>0</v>
      </c>
      <c r="D24" s="44" t="s">
        <v>37</v>
      </c>
      <c r="E24" s="92"/>
      <c r="F24" s="92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38</v>
      </c>
      <c r="B25" s="42" t="s">
        <v>39</v>
      </c>
      <c r="C25" s="45">
        <v>0.1</v>
      </c>
      <c r="D25" s="93"/>
      <c r="E25" s="4"/>
      <c r="F25" s="93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40</v>
      </c>
      <c r="B26" s="42" t="s">
        <v>41</v>
      </c>
      <c r="C26" s="43">
        <v>0.15</v>
      </c>
      <c r="D26" s="44" t="s">
        <v>42</v>
      </c>
      <c r="E26" s="92"/>
      <c r="F26" s="92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43</v>
      </c>
      <c r="B27" s="42" t="s">
        <v>44</v>
      </c>
      <c r="C27" s="43">
        <v>0</v>
      </c>
      <c r="D27" s="44" t="s">
        <v>45</v>
      </c>
      <c r="E27" s="92"/>
      <c r="F27" s="92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71" t="s">
        <v>46</v>
      </c>
      <c r="B30" s="271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324</v>
      </c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15</v>
      </c>
      <c r="B32" s="47" t="str">
        <f>IF(B9="","",B9)</f>
        <v>Chêne sessile</v>
      </c>
      <c r="D32" s="228" t="s">
        <v>47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4" t="s">
        <v>48</v>
      </c>
      <c r="C34" s="262" t="s">
        <v>49</v>
      </c>
      <c r="D34" s="262"/>
      <c r="E34" s="263" t="s">
        <v>50</v>
      </c>
      <c r="F34" s="264"/>
      <c r="G34" s="264"/>
      <c r="H34" s="265"/>
      <c r="I34" s="94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51</v>
      </c>
      <c r="B35" s="36" t="s">
        <v>52</v>
      </c>
      <c r="C35" s="48" t="s">
        <v>53</v>
      </c>
      <c r="D35" s="48" t="s">
        <v>54</v>
      </c>
      <c r="E35" s="36" t="s">
        <v>55</v>
      </c>
      <c r="F35" s="36" t="s">
        <v>56</v>
      </c>
      <c r="G35" s="36" t="s">
        <v>57</v>
      </c>
      <c r="H35" s="36" t="s">
        <v>58</v>
      </c>
      <c r="I35" s="48" t="s">
        <v>59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256">
        <v>42</v>
      </c>
      <c r="B36" s="256">
        <v>171.96</v>
      </c>
      <c r="C36" s="256">
        <v>1</v>
      </c>
      <c r="D36" s="256">
        <v>44.510000000000005</v>
      </c>
      <c r="E36" s="257">
        <v>0</v>
      </c>
      <c r="F36" s="257">
        <v>0.8</v>
      </c>
      <c r="G36" s="257">
        <v>0.2</v>
      </c>
      <c r="H36" s="257">
        <v>0</v>
      </c>
      <c r="I36" s="49">
        <f>IFERROR(B36/A36,"")</f>
        <v>4.0942857142857143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256">
        <v>50</v>
      </c>
      <c r="B37" s="256">
        <v>208.33</v>
      </c>
      <c r="C37" s="256">
        <v>2</v>
      </c>
      <c r="D37" s="256">
        <v>37.54000000000002</v>
      </c>
      <c r="E37" s="257">
        <v>0</v>
      </c>
      <c r="F37" s="257">
        <v>0.8</v>
      </c>
      <c r="G37" s="257">
        <v>0.2</v>
      </c>
      <c r="H37" s="257">
        <v>0</v>
      </c>
      <c r="I37" s="53">
        <f t="shared" ref="I37:I55" si="1">IF(A37&lt;&gt;0,(B37-(B36-D36))/(A37-A36),"")</f>
        <v>10.110000000000001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256">
        <v>58</v>
      </c>
      <c r="B38" s="256">
        <v>253.7</v>
      </c>
      <c r="C38" s="256">
        <v>3</v>
      </c>
      <c r="D38" s="256">
        <v>47.789999999999992</v>
      </c>
      <c r="E38" s="257">
        <v>0</v>
      </c>
      <c r="F38" s="257">
        <v>0.8</v>
      </c>
      <c r="G38" s="257">
        <v>0.2</v>
      </c>
      <c r="H38" s="257">
        <v>0</v>
      </c>
      <c r="I38" s="53">
        <f t="shared" si="1"/>
        <v>10.36375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256">
        <v>66</v>
      </c>
      <c r="B39" s="256">
        <v>286.77</v>
      </c>
      <c r="C39" s="256">
        <v>4</v>
      </c>
      <c r="D39" s="256">
        <v>53.679999999999978</v>
      </c>
      <c r="E39" s="257">
        <v>0.35</v>
      </c>
      <c r="F39" s="257">
        <v>0.2</v>
      </c>
      <c r="G39" s="257">
        <v>0.1</v>
      </c>
      <c r="H39" s="257">
        <v>0.35</v>
      </c>
      <c r="I39" s="49">
        <f t="shared" si="1"/>
        <v>10.107499999999998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256">
        <v>74</v>
      </c>
      <c r="B40" s="256">
        <v>310.95999999999998</v>
      </c>
      <c r="C40" s="256">
        <v>5</v>
      </c>
      <c r="D40" s="256">
        <v>51.339999999999975</v>
      </c>
      <c r="E40" s="257">
        <v>0.35</v>
      </c>
      <c r="F40" s="257">
        <v>0.2</v>
      </c>
      <c r="G40" s="257">
        <v>0.1</v>
      </c>
      <c r="H40" s="257">
        <v>0.35</v>
      </c>
      <c r="I40" s="49">
        <f t="shared" si="1"/>
        <v>9.733749999999997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256">
        <v>84</v>
      </c>
      <c r="B41" s="256">
        <v>355.09</v>
      </c>
      <c r="C41" s="256">
        <v>6</v>
      </c>
      <c r="D41" s="256">
        <v>66.69</v>
      </c>
      <c r="E41" s="257">
        <v>0.35</v>
      </c>
      <c r="F41" s="257">
        <v>0.2</v>
      </c>
      <c r="G41" s="257">
        <v>0.1</v>
      </c>
      <c r="H41" s="257">
        <v>0.35</v>
      </c>
      <c r="I41" s="53">
        <f t="shared" si="1"/>
        <v>9.546999999999997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256">
        <v>94</v>
      </c>
      <c r="B42" s="256">
        <v>380.13</v>
      </c>
      <c r="C42" s="256">
        <v>7</v>
      </c>
      <c r="D42" s="256">
        <v>67.350000000000023</v>
      </c>
      <c r="E42" s="257">
        <v>0.35</v>
      </c>
      <c r="F42" s="257">
        <v>0.2</v>
      </c>
      <c r="G42" s="257">
        <v>0.1</v>
      </c>
      <c r="H42" s="257">
        <v>0.35</v>
      </c>
      <c r="I42" s="53">
        <f t="shared" si="1"/>
        <v>9.1730000000000018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256">
        <v>104</v>
      </c>
      <c r="B43" s="256">
        <v>402.2</v>
      </c>
      <c r="C43" s="256">
        <v>8</v>
      </c>
      <c r="D43" s="256">
        <v>66.089999999999975</v>
      </c>
      <c r="E43" s="257">
        <v>0.35</v>
      </c>
      <c r="F43" s="257">
        <v>0.2</v>
      </c>
      <c r="G43" s="257">
        <v>0.1</v>
      </c>
      <c r="H43" s="257">
        <v>0.35</v>
      </c>
      <c r="I43" s="49">
        <f t="shared" si="1"/>
        <v>8.9420000000000019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256">
        <v>114</v>
      </c>
      <c r="B44" s="256">
        <v>424.56</v>
      </c>
      <c r="C44" s="256">
        <v>9</v>
      </c>
      <c r="D44" s="256">
        <v>61.860000000000014</v>
      </c>
      <c r="E44" s="257">
        <v>0.35</v>
      </c>
      <c r="F44" s="257">
        <v>0.2</v>
      </c>
      <c r="G44" s="257">
        <v>0.1</v>
      </c>
      <c r="H44" s="257">
        <v>0.35</v>
      </c>
      <c r="I44" s="49">
        <f t="shared" si="1"/>
        <v>8.8449999999999989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256">
        <v>124</v>
      </c>
      <c r="B45" s="256">
        <v>451.86</v>
      </c>
      <c r="C45" s="256">
        <v>10</v>
      </c>
      <c r="D45" s="256">
        <v>57.81</v>
      </c>
      <c r="E45" s="257">
        <v>0.35</v>
      </c>
      <c r="F45" s="257">
        <v>0.2</v>
      </c>
      <c r="G45" s="257">
        <v>0.1</v>
      </c>
      <c r="H45" s="257">
        <v>0.35</v>
      </c>
      <c r="I45" s="49">
        <f t="shared" si="1"/>
        <v>8.9160000000000021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256">
        <v>134</v>
      </c>
      <c r="B46" s="60">
        <v>484.28</v>
      </c>
      <c r="C46" s="256">
        <v>11</v>
      </c>
      <c r="D46" s="60">
        <v>60.779999999999973</v>
      </c>
      <c r="E46" s="257">
        <v>0.5</v>
      </c>
      <c r="F46" s="257">
        <v>0.2</v>
      </c>
      <c r="G46" s="257">
        <v>0</v>
      </c>
      <c r="H46" s="257">
        <v>0.3</v>
      </c>
      <c r="I46" s="49">
        <f t="shared" si="1"/>
        <v>9.0229999999999961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256">
        <v>144</v>
      </c>
      <c r="B47" s="60">
        <v>514.94000000000005</v>
      </c>
      <c r="C47" s="256">
        <v>12</v>
      </c>
      <c r="D47" s="60">
        <v>61.800000000000068</v>
      </c>
      <c r="E47" s="257">
        <v>0.5</v>
      </c>
      <c r="F47" s="257">
        <v>0.2</v>
      </c>
      <c r="G47" s="257">
        <v>0</v>
      </c>
      <c r="H47" s="257">
        <v>0.3</v>
      </c>
      <c r="I47" s="49">
        <f t="shared" si="1"/>
        <v>9.1440000000000055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256">
        <v>154</v>
      </c>
      <c r="B48" s="60">
        <v>546.49</v>
      </c>
      <c r="C48" s="256">
        <v>13</v>
      </c>
      <c r="D48" s="60">
        <v>61.050000000000011</v>
      </c>
      <c r="E48" s="257">
        <v>0.5</v>
      </c>
      <c r="F48" s="257">
        <v>0.2</v>
      </c>
      <c r="G48" s="257">
        <v>0</v>
      </c>
      <c r="H48" s="257">
        <v>0.3</v>
      </c>
      <c r="I48" s="49">
        <f t="shared" si="1"/>
        <v>9.3350000000000026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164</v>
      </c>
      <c r="B49" s="50">
        <v>580.32000000000005</v>
      </c>
      <c r="C49" s="256">
        <v>14</v>
      </c>
      <c r="D49" s="50">
        <v>66.020000000000095</v>
      </c>
      <c r="E49" s="51">
        <v>0.5</v>
      </c>
      <c r="F49" s="51">
        <v>0.2</v>
      </c>
      <c r="G49" s="51">
        <v>0</v>
      </c>
      <c r="H49" s="257">
        <v>0.3</v>
      </c>
      <c r="I49" s="49">
        <f t="shared" si="1"/>
        <v>9.4880000000000049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256">
        <v>174</v>
      </c>
      <c r="B50" s="60">
        <v>610.52</v>
      </c>
      <c r="C50" s="256">
        <v>15</v>
      </c>
      <c r="D50" s="60">
        <v>240</v>
      </c>
      <c r="E50" s="51">
        <v>0.45</v>
      </c>
      <c r="F50" s="51">
        <v>0.05</v>
      </c>
      <c r="G50" s="51">
        <v>0.05</v>
      </c>
      <c r="H50" s="257">
        <v>0.45</v>
      </c>
      <c r="I50" s="49">
        <f t="shared" si="1"/>
        <v>9.6220000000000034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>
        <v>177</v>
      </c>
      <c r="B51" s="50">
        <v>388.94</v>
      </c>
      <c r="C51" s="256">
        <v>16</v>
      </c>
      <c r="D51" s="50">
        <v>128.66000000000003</v>
      </c>
      <c r="E51" s="51">
        <v>0.45</v>
      </c>
      <c r="F51" s="51">
        <v>0.05</v>
      </c>
      <c r="G51" s="51">
        <v>0.05</v>
      </c>
      <c r="H51" s="257">
        <v>0.45</v>
      </c>
      <c r="I51" s="49">
        <f t="shared" si="1"/>
        <v>6.140000000000005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>
        <v>180</v>
      </c>
      <c r="B52" s="50">
        <v>271.56</v>
      </c>
      <c r="C52" s="256">
        <v>17</v>
      </c>
      <c r="D52" s="50">
        <v>86.97</v>
      </c>
      <c r="E52" s="51">
        <v>0.45</v>
      </c>
      <c r="F52" s="51">
        <v>0.05</v>
      </c>
      <c r="G52" s="51">
        <v>0.05</v>
      </c>
      <c r="H52" s="257">
        <v>0.45</v>
      </c>
      <c r="I52" s="49">
        <f t="shared" si="1"/>
        <v>3.76000000000001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>
        <v>183</v>
      </c>
      <c r="B53" s="50">
        <v>191.47</v>
      </c>
      <c r="C53" s="256">
        <v>18</v>
      </c>
      <c r="D53" s="50">
        <v>191.47</v>
      </c>
      <c r="E53" s="51">
        <v>0.45</v>
      </c>
      <c r="F53" s="51">
        <v>0.05</v>
      </c>
      <c r="G53" s="51">
        <v>0.05</v>
      </c>
      <c r="H53" s="257">
        <v>0.45</v>
      </c>
      <c r="I53" s="49">
        <f t="shared" si="1"/>
        <v>2.2933333333333317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18</v>
      </c>
      <c r="B58" s="52" t="str">
        <f>IF(B10="","",B10)</f>
        <v>Pin maritime</v>
      </c>
      <c r="C58" s="23" t="s">
        <v>325</v>
      </c>
      <c r="D58" s="228" t="s">
        <v>47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5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4" t="s">
        <v>48</v>
      </c>
      <c r="C60" s="262" t="s">
        <v>49</v>
      </c>
      <c r="D60" s="262"/>
      <c r="E60" s="263" t="s">
        <v>50</v>
      </c>
      <c r="F60" s="264"/>
      <c r="G60" s="264"/>
      <c r="H60" s="265"/>
      <c r="I60" s="94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51</v>
      </c>
      <c r="B61" s="36" t="s">
        <v>52</v>
      </c>
      <c r="C61" s="48" t="s">
        <v>53</v>
      </c>
      <c r="D61" s="48" t="s">
        <v>54</v>
      </c>
      <c r="E61" s="36" t="s">
        <v>55</v>
      </c>
      <c r="F61" s="36" t="s">
        <v>56</v>
      </c>
      <c r="G61" s="36" t="s">
        <v>57</v>
      </c>
      <c r="H61" s="36" t="s">
        <v>58</v>
      </c>
      <c r="I61" s="48" t="s">
        <v>59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17</v>
      </c>
      <c r="B62" s="60">
        <v>123.63</v>
      </c>
      <c r="C62" s="60">
        <v>1</v>
      </c>
      <c r="D62" s="60">
        <v>41.179999999999993</v>
      </c>
      <c r="E62" s="257">
        <v>0</v>
      </c>
      <c r="F62" s="257">
        <v>0.5</v>
      </c>
      <c r="G62" s="257">
        <v>0.5</v>
      </c>
      <c r="H62" s="257">
        <v>0</v>
      </c>
      <c r="I62" s="53">
        <f>IFERROR(B62/A62,"")</f>
        <v>7.2723529411764707</v>
      </c>
      <c r="J62" s="1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23</v>
      </c>
      <c r="B63" s="60">
        <v>189.21</v>
      </c>
      <c r="C63" s="60">
        <v>2</v>
      </c>
      <c r="D63" s="60">
        <v>58.370000000000005</v>
      </c>
      <c r="E63" s="257">
        <v>0.25</v>
      </c>
      <c r="F63" s="257">
        <v>0.37</v>
      </c>
      <c r="G63" s="257">
        <v>0.38</v>
      </c>
      <c r="H63" s="257">
        <v>0</v>
      </c>
      <c r="I63" s="49">
        <f>IF(A63&lt;&gt;0,(B63-(B62-D62))/(A63-A62),"")</f>
        <v>17.793333333333333</v>
      </c>
      <c r="J63" s="1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29</v>
      </c>
      <c r="B64" s="60">
        <v>242.91</v>
      </c>
      <c r="C64" s="60">
        <v>3</v>
      </c>
      <c r="D64" s="60">
        <v>54.97</v>
      </c>
      <c r="E64" s="257">
        <v>0.6</v>
      </c>
      <c r="F64" s="257">
        <v>0.2</v>
      </c>
      <c r="G64" s="257">
        <v>0.2</v>
      </c>
      <c r="H64" s="257">
        <v>0</v>
      </c>
      <c r="I64" s="49">
        <f>IF(A64&lt;&gt;0,(B64-(B63-D63))/(A64-A63),"")</f>
        <v>18.678333333333331</v>
      </c>
      <c r="J64" s="1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36</v>
      </c>
      <c r="B65" s="60">
        <v>312.57</v>
      </c>
      <c r="C65" s="60">
        <v>4</v>
      </c>
      <c r="D65" s="60">
        <v>76.509999999999991</v>
      </c>
      <c r="E65" s="257">
        <v>0.6</v>
      </c>
      <c r="F65" s="257">
        <v>0.2</v>
      </c>
      <c r="G65" s="257">
        <v>0.2</v>
      </c>
      <c r="H65" s="257">
        <v>0</v>
      </c>
      <c r="I65" s="49">
        <f>IF(A65&lt;&gt;0,(B65-(B64-D64))/(A65-A64),"")</f>
        <v>17.804285714285715</v>
      </c>
      <c r="J65" s="1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44</v>
      </c>
      <c r="B66" s="60">
        <v>368.73</v>
      </c>
      <c r="C66" s="60">
        <v>5</v>
      </c>
      <c r="D66" s="60">
        <v>78.240000000000009</v>
      </c>
      <c r="E66" s="257">
        <v>0.6</v>
      </c>
      <c r="F66" s="257">
        <v>0.2</v>
      </c>
      <c r="G66" s="257">
        <v>0.2</v>
      </c>
      <c r="H66" s="257">
        <v>0</v>
      </c>
      <c r="I66" s="49">
        <f t="shared" ref="I66:I81" si="2">IF(A66&lt;&gt;0,(B66-(B65-D65))/(A66-A65),"")</f>
        <v>16.583750000000002</v>
      </c>
      <c r="J66" s="1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52</v>
      </c>
      <c r="B67" s="60">
        <v>408.01</v>
      </c>
      <c r="C67" s="60">
        <v>6</v>
      </c>
      <c r="D67" s="60">
        <v>75.70999999999998</v>
      </c>
      <c r="E67" s="257">
        <v>0.6</v>
      </c>
      <c r="F67" s="257">
        <v>0.2</v>
      </c>
      <c r="G67" s="257">
        <v>0.2</v>
      </c>
      <c r="H67" s="257">
        <v>0</v>
      </c>
      <c r="I67" s="49">
        <f t="shared" si="2"/>
        <v>14.689999999999998</v>
      </c>
      <c r="J67" s="1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60</v>
      </c>
      <c r="B68" s="60">
        <v>437.74</v>
      </c>
      <c r="C68" s="60">
        <v>7</v>
      </c>
      <c r="D68" s="60">
        <v>437.74</v>
      </c>
      <c r="E68" s="257">
        <v>0.6</v>
      </c>
      <c r="F68" s="257">
        <v>0.2</v>
      </c>
      <c r="G68" s="257">
        <v>0.2</v>
      </c>
      <c r="H68" s="257">
        <v>0</v>
      </c>
      <c r="I68" s="49">
        <f t="shared" si="2"/>
        <v>13.18</v>
      </c>
      <c r="J68" s="1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/>
      <c r="B69" s="50"/>
      <c r="C69" s="60"/>
      <c r="D69" s="60"/>
      <c r="E69" s="257"/>
      <c r="F69" s="257"/>
      <c r="G69" s="257"/>
      <c r="H69" s="257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60"/>
      <c r="D70" s="60"/>
      <c r="E70" s="257"/>
      <c r="F70" s="257"/>
      <c r="G70" s="257"/>
      <c r="H70" s="257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60"/>
      <c r="D71" s="60"/>
      <c r="E71" s="257"/>
      <c r="F71" s="257"/>
      <c r="G71" s="257"/>
      <c r="H71" s="257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60"/>
      <c r="D72" s="50"/>
      <c r="E72" s="257"/>
      <c r="F72" s="257"/>
      <c r="G72" s="257"/>
      <c r="H72" s="257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60"/>
      <c r="D73" s="50"/>
      <c r="E73" s="257"/>
      <c r="F73" s="257"/>
      <c r="G73" s="257"/>
      <c r="H73" s="257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60"/>
      <c r="D74" s="50"/>
      <c r="E74" s="257"/>
      <c r="F74" s="257"/>
      <c r="G74" s="257"/>
      <c r="H74" s="257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60"/>
      <c r="D75" s="50"/>
      <c r="E75" s="257"/>
      <c r="F75" s="257"/>
      <c r="G75" s="257"/>
      <c r="H75" s="257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60"/>
      <c r="D76" s="50"/>
      <c r="E76" s="257"/>
      <c r="F76" s="257"/>
      <c r="G76" s="257"/>
      <c r="H76" s="257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6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6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6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6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6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20</v>
      </c>
      <c r="B84" s="52" t="str">
        <f>IF(B11="","",B11)</f>
        <v/>
      </c>
      <c r="D84" s="228" t="s">
        <v>47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5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4" t="s">
        <v>48</v>
      </c>
      <c r="C86" s="262" t="s">
        <v>49</v>
      </c>
      <c r="D86" s="262"/>
      <c r="E86" s="263" t="s">
        <v>50</v>
      </c>
      <c r="F86" s="264"/>
      <c r="G86" s="264"/>
      <c r="H86" s="265"/>
      <c r="I86" s="9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51</v>
      </c>
      <c r="B87" s="36" t="s">
        <v>52</v>
      </c>
      <c r="C87" s="48" t="s">
        <v>53</v>
      </c>
      <c r="D87" s="48" t="s">
        <v>54</v>
      </c>
      <c r="E87" s="36" t="s">
        <v>55</v>
      </c>
      <c r="F87" s="36" t="s">
        <v>56</v>
      </c>
      <c r="G87" s="36" t="s">
        <v>57</v>
      </c>
      <c r="H87" s="36" t="s">
        <v>58</v>
      </c>
      <c r="I87" s="48" t="s">
        <v>59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/>
      <c r="B88" s="60"/>
      <c r="C88" s="60"/>
      <c r="D88" s="60"/>
      <c r="E88" s="51"/>
      <c r="F88" s="51"/>
      <c r="G88" s="51"/>
      <c r="H88" s="51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/>
      <c r="B89" s="60"/>
      <c r="C89" s="60"/>
      <c r="D89" s="60"/>
      <c r="E89" s="51"/>
      <c r="F89" s="51"/>
      <c r="G89" s="51"/>
      <c r="H89" s="51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/>
      <c r="B90" s="60"/>
      <c r="C90" s="60"/>
      <c r="D90" s="60"/>
      <c r="E90" s="51"/>
      <c r="F90" s="51"/>
      <c r="G90" s="51"/>
      <c r="H90" s="51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/>
      <c r="B91" s="60"/>
      <c r="C91" s="60"/>
      <c r="D91" s="60"/>
      <c r="E91" s="51"/>
      <c r="F91" s="51"/>
      <c r="G91" s="51"/>
      <c r="H91" s="51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/>
      <c r="B92" s="60"/>
      <c r="C92" s="60"/>
      <c r="D92" s="60"/>
      <c r="E92" s="51"/>
      <c r="F92" s="51"/>
      <c r="G92" s="51"/>
      <c r="H92" s="51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/>
      <c r="B93" s="60"/>
      <c r="C93" s="60"/>
      <c r="D93" s="60"/>
      <c r="E93" s="51"/>
      <c r="F93" s="51"/>
      <c r="G93" s="51"/>
      <c r="H93" s="51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/>
      <c r="B94" s="60"/>
      <c r="C94" s="60"/>
      <c r="D94" s="60"/>
      <c r="E94" s="51"/>
      <c r="F94" s="51"/>
      <c r="G94" s="51"/>
      <c r="H94" s="51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50"/>
      <c r="B95" s="50"/>
      <c r="C95" s="60"/>
      <c r="D95" s="50"/>
      <c r="E95" s="51"/>
      <c r="F95" s="51"/>
      <c r="G95" s="51"/>
      <c r="H95" s="51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50"/>
      <c r="B96" s="50"/>
      <c r="C96" s="60"/>
      <c r="D96" s="50"/>
      <c r="E96" s="51"/>
      <c r="F96" s="51"/>
      <c r="G96" s="51"/>
      <c r="H96" s="51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50"/>
      <c r="B97" s="50"/>
      <c r="C97" s="60"/>
      <c r="D97" s="50"/>
      <c r="E97" s="51"/>
      <c r="F97" s="51"/>
      <c r="G97" s="51"/>
      <c r="H97" s="51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50"/>
      <c r="B98" s="50"/>
      <c r="C98" s="60"/>
      <c r="D98" s="50"/>
      <c r="E98" s="51"/>
      <c r="F98" s="51"/>
      <c r="G98" s="51"/>
      <c r="H98" s="51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50"/>
      <c r="B99" s="50"/>
      <c r="C99" s="60"/>
      <c r="D99" s="50"/>
      <c r="E99" s="51"/>
      <c r="F99" s="51"/>
      <c r="G99" s="51"/>
      <c r="H99" s="51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50"/>
      <c r="B100" s="50"/>
      <c r="C100" s="60"/>
      <c r="D100" s="50"/>
      <c r="E100" s="51"/>
      <c r="F100" s="51"/>
      <c r="G100" s="51"/>
      <c r="H100" s="51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50"/>
      <c r="B101" s="50"/>
      <c r="C101" s="60"/>
      <c r="D101" s="50"/>
      <c r="E101" s="51"/>
      <c r="F101" s="51"/>
      <c r="G101" s="51"/>
      <c r="H101" s="51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22</v>
      </c>
      <c r="B110" s="52" t="str">
        <f>IF(B12="","",B12)</f>
        <v/>
      </c>
      <c r="D110" s="228" t="s">
        <v>47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5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4" t="s">
        <v>48</v>
      </c>
      <c r="C112" s="262" t="s">
        <v>49</v>
      </c>
      <c r="D112" s="262"/>
      <c r="E112" s="263" t="s">
        <v>50</v>
      </c>
      <c r="F112" s="264"/>
      <c r="G112" s="264"/>
      <c r="H112" s="265"/>
      <c r="I112" s="9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51</v>
      </c>
      <c r="B113" s="36" t="s">
        <v>52</v>
      </c>
      <c r="C113" s="48" t="s">
        <v>53</v>
      </c>
      <c r="D113" s="48" t="s">
        <v>54</v>
      </c>
      <c r="E113" s="36" t="s">
        <v>55</v>
      </c>
      <c r="F113" s="36" t="s">
        <v>56</v>
      </c>
      <c r="G113" s="36" t="s">
        <v>57</v>
      </c>
      <c r="H113" s="36" t="s">
        <v>58</v>
      </c>
      <c r="I113" s="48" t="s">
        <v>59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6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6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6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6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6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6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50"/>
      <c r="B120" s="60"/>
      <c r="C120" s="60"/>
      <c r="D120" s="60"/>
      <c r="E120" s="51"/>
      <c r="F120" s="51"/>
      <c r="G120" s="51"/>
      <c r="H120" s="51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50"/>
      <c r="B121" s="50"/>
      <c r="C121" s="60"/>
      <c r="D121" s="50"/>
      <c r="E121" s="51"/>
      <c r="F121" s="51"/>
      <c r="G121" s="51"/>
      <c r="H121" s="51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50"/>
      <c r="B122" s="50"/>
      <c r="C122" s="60"/>
      <c r="D122" s="50"/>
      <c r="E122" s="51"/>
      <c r="F122" s="51"/>
      <c r="G122" s="51"/>
      <c r="H122" s="51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50"/>
      <c r="B123" s="50"/>
      <c r="C123" s="60"/>
      <c r="D123" s="50"/>
      <c r="E123" s="51"/>
      <c r="F123" s="51"/>
      <c r="G123" s="51"/>
      <c r="H123" s="51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50"/>
      <c r="B124" s="50"/>
      <c r="C124" s="60"/>
      <c r="D124" s="50"/>
      <c r="E124" s="51"/>
      <c r="F124" s="51"/>
      <c r="G124" s="51"/>
      <c r="H124" s="51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50"/>
      <c r="B125" s="50"/>
      <c r="C125" s="60"/>
      <c r="D125" s="50"/>
      <c r="E125" s="51"/>
      <c r="F125" s="51"/>
      <c r="G125" s="51"/>
      <c r="H125" s="51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50"/>
      <c r="B126" s="50"/>
      <c r="C126" s="60"/>
      <c r="D126" s="50"/>
      <c r="E126" s="51"/>
      <c r="F126" s="51"/>
      <c r="G126" s="51"/>
      <c r="H126" s="51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50"/>
      <c r="B127" s="50"/>
      <c r="C127" s="60"/>
      <c r="D127" s="50"/>
      <c r="E127" s="51"/>
      <c r="F127" s="51"/>
      <c r="G127" s="51"/>
      <c r="H127" s="51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24</v>
      </c>
      <c r="B136" s="52" t="str">
        <f>IF(B13="","",B13)</f>
        <v/>
      </c>
      <c r="D136" s="228" t="s">
        <v>47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5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4" t="s">
        <v>48</v>
      </c>
      <c r="C138" s="262" t="s">
        <v>49</v>
      </c>
      <c r="D138" s="262"/>
      <c r="E138" s="263" t="s">
        <v>50</v>
      </c>
      <c r="F138" s="264"/>
      <c r="G138" s="264"/>
      <c r="H138" s="265"/>
      <c r="I138" s="9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51</v>
      </c>
      <c r="B139" s="36" t="s">
        <v>52</v>
      </c>
      <c r="C139" s="48" t="s">
        <v>53</v>
      </c>
      <c r="D139" s="48" t="s">
        <v>54</v>
      </c>
      <c r="E139" s="36" t="s">
        <v>55</v>
      </c>
      <c r="F139" s="36" t="s">
        <v>56</v>
      </c>
      <c r="G139" s="36" t="s">
        <v>57</v>
      </c>
      <c r="H139" s="36" t="s">
        <v>58</v>
      </c>
      <c r="I139" s="48" t="s">
        <v>59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256"/>
      <c r="B140" s="256"/>
      <c r="C140" s="256"/>
      <c r="D140" s="256"/>
      <c r="E140" s="257"/>
      <c r="F140" s="257"/>
      <c r="G140" s="257"/>
      <c r="H140" s="257"/>
      <c r="I140" s="57" t="str">
        <f>IFERROR(B140/A140,"")</f>
        <v/>
      </c>
      <c r="J140" s="1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256"/>
      <c r="B141" s="256"/>
      <c r="C141" s="256"/>
      <c r="D141" s="256"/>
      <c r="E141" s="257"/>
      <c r="F141" s="257"/>
      <c r="G141" s="257"/>
      <c r="H141" s="257"/>
      <c r="I141" s="57" t="str">
        <f t="shared" ref="I141:I159" si="5">IF(A141&lt;&gt;0,(B141-(B140-D140))/(A141-A140),"")</f>
        <v/>
      </c>
      <c r="J141" s="1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256"/>
      <c r="B142" s="256"/>
      <c r="C142" s="256"/>
      <c r="D142" s="256"/>
      <c r="E142" s="257"/>
      <c r="F142" s="257"/>
      <c r="G142" s="257"/>
      <c r="H142" s="257"/>
      <c r="I142" s="57" t="str">
        <f t="shared" si="5"/>
        <v/>
      </c>
      <c r="J142" s="1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256"/>
      <c r="B143" s="256"/>
      <c r="C143" s="256"/>
      <c r="D143" s="256"/>
      <c r="E143" s="257"/>
      <c r="F143" s="257"/>
      <c r="G143" s="257"/>
      <c r="H143" s="257"/>
      <c r="I143" s="57" t="str">
        <f t="shared" si="5"/>
        <v/>
      </c>
      <c r="J143" s="1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256"/>
      <c r="B144" s="256"/>
      <c r="C144" s="256"/>
      <c r="D144" s="256"/>
      <c r="E144" s="257"/>
      <c r="F144" s="257"/>
      <c r="G144" s="257"/>
      <c r="H144" s="257"/>
      <c r="I144" s="57" t="str">
        <f t="shared" si="5"/>
        <v/>
      </c>
      <c r="J144" s="1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256"/>
      <c r="B145" s="256"/>
      <c r="C145" s="256"/>
      <c r="D145" s="256"/>
      <c r="E145" s="257"/>
      <c r="F145" s="257"/>
      <c r="G145" s="257"/>
      <c r="H145" s="257"/>
      <c r="I145" s="57" t="str">
        <f t="shared" si="5"/>
        <v/>
      </c>
      <c r="J145" s="1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256"/>
      <c r="B146" s="256"/>
      <c r="C146" s="256"/>
      <c r="D146" s="256"/>
      <c r="E146" s="257"/>
      <c r="F146" s="257"/>
      <c r="G146" s="257"/>
      <c r="H146" s="257"/>
      <c r="I146" s="57" t="str">
        <f t="shared" si="5"/>
        <v/>
      </c>
      <c r="J146" s="1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60"/>
      <c r="B147" s="60"/>
      <c r="C147" s="256"/>
      <c r="D147" s="60"/>
      <c r="E147" s="257"/>
      <c r="F147" s="257"/>
      <c r="G147" s="257"/>
      <c r="H147" s="257"/>
      <c r="I147" s="57" t="str">
        <f>IF(A147&lt;&gt;0,(B147-(B146-D146))/(A147-A146),"")</f>
        <v/>
      </c>
      <c r="J147" s="1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60"/>
      <c r="B148" s="60"/>
      <c r="C148" s="256"/>
      <c r="D148" s="60"/>
      <c r="E148" s="86"/>
      <c r="F148" s="86"/>
      <c r="G148" s="86"/>
      <c r="H148" s="257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26</v>
      </c>
      <c r="B162" s="52" t="str">
        <f>IF(B14="","",B14)</f>
        <v/>
      </c>
      <c r="D162" s="228" t="s">
        <v>47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5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4" t="s">
        <v>48</v>
      </c>
      <c r="C164" s="262" t="s">
        <v>49</v>
      </c>
      <c r="D164" s="262"/>
      <c r="E164" s="263" t="s">
        <v>50</v>
      </c>
      <c r="F164" s="264"/>
      <c r="G164" s="264"/>
      <c r="H164" s="265"/>
      <c r="I164" s="9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51</v>
      </c>
      <c r="B165" s="36" t="s">
        <v>52</v>
      </c>
      <c r="C165" s="48" t="s">
        <v>53</v>
      </c>
      <c r="D165" s="48" t="s">
        <v>54</v>
      </c>
      <c r="E165" s="36" t="s">
        <v>55</v>
      </c>
      <c r="F165" s="36" t="s">
        <v>56</v>
      </c>
      <c r="G165" s="36" t="s">
        <v>57</v>
      </c>
      <c r="H165" s="36" t="s">
        <v>58</v>
      </c>
      <c r="I165" s="48" t="s">
        <v>59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5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5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5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5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5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5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6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60"/>
      <c r="B173" s="60"/>
      <c r="C173" s="60"/>
      <c r="D173" s="6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60"/>
      <c r="B174" s="60"/>
      <c r="C174" s="60"/>
      <c r="D174" s="6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28</v>
      </c>
      <c r="B188" s="52" t="str">
        <f>IF(B15="","",B15)</f>
        <v/>
      </c>
      <c r="D188" s="228" t="s">
        <v>47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5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4" t="s">
        <v>48</v>
      </c>
      <c r="C190" s="262" t="s">
        <v>49</v>
      </c>
      <c r="D190" s="262"/>
      <c r="E190" s="263" t="s">
        <v>50</v>
      </c>
      <c r="F190" s="264"/>
      <c r="G190" s="264"/>
      <c r="H190" s="265"/>
      <c r="I190" s="9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51</v>
      </c>
      <c r="B191" s="36" t="s">
        <v>52</v>
      </c>
      <c r="C191" s="48" t="s">
        <v>53</v>
      </c>
      <c r="D191" s="48" t="s">
        <v>54</v>
      </c>
      <c r="E191" s="36" t="s">
        <v>55</v>
      </c>
      <c r="F191" s="36" t="s">
        <v>56</v>
      </c>
      <c r="G191" s="36" t="s">
        <v>57</v>
      </c>
      <c r="H191" s="36" t="s">
        <v>58</v>
      </c>
      <c r="I191" s="48" t="s">
        <v>59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60"/>
      <c r="C199" s="60"/>
      <c r="D199" s="6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60"/>
      <c r="C200" s="60"/>
      <c r="D200" s="6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60"/>
      <c r="C201" s="60"/>
      <c r="D201" s="6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60"/>
      <c r="C202" s="60"/>
      <c r="D202" s="6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60"/>
      <c r="C203" s="60"/>
      <c r="D203" s="6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30</v>
      </c>
      <c r="B214" s="52" t="str">
        <f>IF(B16="","",B16)</f>
        <v/>
      </c>
      <c r="D214" s="228" t="s">
        <v>47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5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4" t="s">
        <v>48</v>
      </c>
      <c r="C216" s="262" t="s">
        <v>49</v>
      </c>
      <c r="D216" s="262"/>
      <c r="E216" s="263" t="s">
        <v>50</v>
      </c>
      <c r="F216" s="264"/>
      <c r="G216" s="264"/>
      <c r="H216" s="265"/>
      <c r="I216" s="9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51</v>
      </c>
      <c r="B217" s="36" t="s">
        <v>52</v>
      </c>
      <c r="C217" s="48" t="s">
        <v>53</v>
      </c>
      <c r="D217" s="48" t="s">
        <v>54</v>
      </c>
      <c r="E217" s="36" t="s">
        <v>55</v>
      </c>
      <c r="F217" s="36" t="s">
        <v>56</v>
      </c>
      <c r="G217" s="36" t="s">
        <v>57</v>
      </c>
      <c r="H217" s="36" t="s">
        <v>58</v>
      </c>
      <c r="I217" s="48" t="s">
        <v>59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60"/>
      <c r="D218" s="60"/>
      <c r="E218" s="51"/>
      <c r="F218" s="51"/>
      <c r="G218" s="51"/>
      <c r="H218" s="86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60"/>
      <c r="D219" s="60"/>
      <c r="E219" s="51"/>
      <c r="F219" s="51"/>
      <c r="G219" s="51"/>
      <c r="H219" s="86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60"/>
      <c r="D220" s="60"/>
      <c r="E220" s="86"/>
      <c r="F220" s="51"/>
      <c r="G220" s="51"/>
      <c r="H220" s="86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0"/>
      <c r="B221" s="60"/>
      <c r="C221" s="60"/>
      <c r="D221" s="60"/>
      <c r="E221" s="86"/>
      <c r="F221" s="51"/>
      <c r="G221" s="51"/>
      <c r="H221" s="86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0"/>
      <c r="B222" s="60"/>
      <c r="C222" s="60"/>
      <c r="D222" s="60"/>
      <c r="E222" s="86"/>
      <c r="F222" s="86"/>
      <c r="G222" s="86"/>
      <c r="H222" s="86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0"/>
      <c r="B223" s="60"/>
      <c r="C223" s="60"/>
      <c r="D223" s="60"/>
      <c r="E223" s="86"/>
      <c r="F223" s="86"/>
      <c r="G223" s="86"/>
      <c r="H223" s="86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0"/>
      <c r="B224" s="60"/>
      <c r="C224" s="60"/>
      <c r="D224" s="60"/>
      <c r="E224" s="86"/>
      <c r="F224" s="86"/>
      <c r="G224" s="86"/>
      <c r="H224" s="86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60"/>
      <c r="B225" s="60"/>
      <c r="C225" s="60"/>
      <c r="D225" s="60"/>
      <c r="E225" s="86"/>
      <c r="F225" s="86"/>
      <c r="G225" s="86"/>
      <c r="H225" s="86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60"/>
      <c r="B226" s="60"/>
      <c r="C226" s="60"/>
      <c r="D226" s="60"/>
      <c r="E226" s="86"/>
      <c r="F226" s="86"/>
      <c r="G226" s="86"/>
      <c r="H226" s="86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0"/>
      <c r="B227" s="60"/>
      <c r="C227" s="60"/>
      <c r="D227" s="60"/>
      <c r="E227" s="51"/>
      <c r="F227" s="51"/>
      <c r="G227" s="51"/>
      <c r="H227" s="51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0"/>
      <c r="B228" s="60"/>
      <c r="C228" s="60"/>
      <c r="D228" s="60"/>
      <c r="E228" s="51"/>
      <c r="F228" s="51"/>
      <c r="G228" s="51"/>
      <c r="H228" s="51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0"/>
      <c r="B229" s="60"/>
      <c r="C229" s="60"/>
      <c r="D229" s="60"/>
      <c r="E229" s="51"/>
      <c r="F229" s="51"/>
      <c r="G229" s="51"/>
      <c r="H229" s="51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7"/>
      <c r="B231" s="60"/>
      <c r="C231" s="87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31</v>
      </c>
      <c r="B240" s="52" t="str">
        <f>IF(B17="","",B17)</f>
        <v/>
      </c>
      <c r="D240" s="228" t="s">
        <v>47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5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4" t="s">
        <v>48</v>
      </c>
      <c r="C242" s="262" t="s">
        <v>49</v>
      </c>
      <c r="D242" s="262"/>
      <c r="E242" s="263" t="s">
        <v>50</v>
      </c>
      <c r="F242" s="264"/>
      <c r="G242" s="264"/>
      <c r="H242" s="265"/>
      <c r="I242" s="9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51</v>
      </c>
      <c r="B243" s="36" t="s">
        <v>52</v>
      </c>
      <c r="C243" s="48" t="s">
        <v>53</v>
      </c>
      <c r="D243" s="48" t="s">
        <v>54</v>
      </c>
      <c r="E243" s="36" t="s">
        <v>55</v>
      </c>
      <c r="F243" s="36" t="s">
        <v>56</v>
      </c>
      <c r="G243" s="36" t="s">
        <v>57</v>
      </c>
      <c r="H243" s="36" t="s">
        <v>58</v>
      </c>
      <c r="I243" s="48" t="s">
        <v>59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50"/>
      <c r="D244" s="60"/>
      <c r="E244" s="51"/>
      <c r="F244" s="51"/>
      <c r="G244" s="51"/>
      <c r="H244" s="51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50"/>
      <c r="D245" s="60"/>
      <c r="E245" s="51"/>
      <c r="F245" s="51"/>
      <c r="G245" s="51"/>
      <c r="H245" s="51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50"/>
      <c r="D246" s="60"/>
      <c r="E246" s="51"/>
      <c r="F246" s="51"/>
      <c r="G246" s="51"/>
      <c r="H246" s="51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50"/>
      <c r="D247" s="60"/>
      <c r="E247" s="51"/>
      <c r="F247" s="51"/>
      <c r="G247" s="51"/>
      <c r="H247" s="51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50"/>
      <c r="D248" s="60"/>
      <c r="E248" s="51"/>
      <c r="F248" s="51"/>
      <c r="G248" s="51"/>
      <c r="H248" s="51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50"/>
      <c r="D249" s="60"/>
      <c r="E249" s="51"/>
      <c r="F249" s="51"/>
      <c r="G249" s="51"/>
      <c r="H249" s="51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60"/>
      <c r="B250" s="60"/>
      <c r="C250" s="60"/>
      <c r="D250" s="60"/>
      <c r="E250" s="51"/>
      <c r="F250" s="51"/>
      <c r="G250" s="51"/>
      <c r="H250" s="51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60"/>
      <c r="B251" s="60"/>
      <c r="C251" s="60"/>
      <c r="D251" s="60"/>
      <c r="E251" s="51"/>
      <c r="F251" s="51"/>
      <c r="G251" s="51"/>
      <c r="H251" s="51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60"/>
      <c r="B252" s="60"/>
      <c r="C252" s="60"/>
      <c r="D252" s="60"/>
      <c r="E252" s="51"/>
      <c r="F252" s="51"/>
      <c r="G252" s="51"/>
      <c r="H252" s="51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0"/>
      <c r="B253" s="50"/>
      <c r="C253" s="60"/>
      <c r="D253" s="50"/>
      <c r="E253" s="51"/>
      <c r="F253" s="51"/>
      <c r="G253" s="51"/>
      <c r="H253" s="51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0"/>
      <c r="B254" s="50"/>
      <c r="C254" s="60"/>
      <c r="D254" s="50"/>
      <c r="E254" s="51"/>
      <c r="F254" s="51"/>
      <c r="G254" s="51"/>
      <c r="H254" s="51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0"/>
      <c r="B255" s="50"/>
      <c r="C255" s="60"/>
      <c r="D255" s="50"/>
      <c r="E255" s="51"/>
      <c r="F255" s="51"/>
      <c r="G255" s="51"/>
      <c r="H255" s="51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0"/>
      <c r="B256" s="50"/>
      <c r="C256" s="60"/>
      <c r="D256" s="50"/>
      <c r="E256" s="51"/>
      <c r="F256" s="51"/>
      <c r="G256" s="51"/>
      <c r="H256" s="51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50"/>
      <c r="B257" s="50"/>
      <c r="C257" s="60"/>
      <c r="D257" s="50"/>
      <c r="E257" s="51"/>
      <c r="F257" s="51"/>
      <c r="G257" s="51"/>
      <c r="H257" s="51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32</v>
      </c>
      <c r="B266" s="52" t="str">
        <f>IF(B18="","",B18)</f>
        <v/>
      </c>
      <c r="D266" s="228" t="s">
        <v>47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5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4" t="s">
        <v>48</v>
      </c>
      <c r="C268" s="262" t="s">
        <v>49</v>
      </c>
      <c r="D268" s="262"/>
      <c r="E268" s="263" t="s">
        <v>50</v>
      </c>
      <c r="F268" s="264"/>
      <c r="G268" s="264"/>
      <c r="H268" s="265"/>
      <c r="I268" s="9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51</v>
      </c>
      <c r="B269" s="36" t="s">
        <v>52</v>
      </c>
      <c r="C269" s="48" t="s">
        <v>53</v>
      </c>
      <c r="D269" s="48" t="s">
        <v>54</v>
      </c>
      <c r="E269" s="36" t="s">
        <v>55</v>
      </c>
      <c r="F269" s="36" t="s">
        <v>56</v>
      </c>
      <c r="G269" s="36" t="s">
        <v>57</v>
      </c>
      <c r="H269" s="36" t="s">
        <v>58</v>
      </c>
      <c r="I269" s="48" t="s">
        <v>59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7"/>
      <c r="B283" s="60"/>
      <c r="C283" s="87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80" zoomScaleNormal="80" workbookViewId="0">
      <selection activeCell="F21" sqref="F21"/>
    </sheetView>
  </sheetViews>
  <sheetFormatPr baseColWidth="10" defaultColWidth="11.46484375" defaultRowHeight="14.25" x14ac:dyDescent="0.45"/>
  <cols>
    <col min="1" max="1" width="5.796875" style="1" customWidth="1"/>
    <col min="2" max="2" width="14.19921875" style="1" customWidth="1"/>
    <col min="3" max="3" width="62.19921875" style="1" customWidth="1"/>
    <col min="4" max="5" width="4.19921875" style="1" customWidth="1"/>
    <col min="6" max="6" width="14.19921875" style="1" customWidth="1"/>
    <col min="7" max="7" width="73.1992187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6"/>
      <c r="K1" s="9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6" t="s">
        <v>60</v>
      </c>
      <c r="C2" s="277"/>
      <c r="D2" s="277"/>
      <c r="E2" s="277"/>
      <c r="F2" s="277"/>
      <c r="G2" s="278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5"/>
      <c r="C4" s="275"/>
      <c r="D4" s="275"/>
      <c r="E4" s="275"/>
      <c r="F4" s="275"/>
      <c r="G4" s="275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7" t="s">
        <v>61</v>
      </c>
      <c r="C5" s="97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8"/>
      <c r="B7" s="26" t="s">
        <v>62</v>
      </c>
      <c r="C7" s="99" t="s">
        <v>63</v>
      </c>
      <c r="D7" s="214"/>
      <c r="E7" s="100"/>
      <c r="F7" s="26" t="s">
        <v>62</v>
      </c>
      <c r="G7" s="99" t="s">
        <v>64</v>
      </c>
      <c r="H7" s="215"/>
      <c r="I7" s="215"/>
      <c r="J7" s="215"/>
      <c r="K7" s="215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</row>
    <row r="8" spans="1:38" ht="17.25" customHeight="1" x14ac:dyDescent="0.45">
      <c r="A8" s="104">
        <v>1</v>
      </c>
      <c r="B8" s="61">
        <v>0</v>
      </c>
      <c r="C8" s="49" t="s">
        <v>65</v>
      </c>
      <c r="D8" s="23"/>
      <c r="E8" s="104">
        <v>4</v>
      </c>
      <c r="F8" s="61">
        <v>1</v>
      </c>
      <c r="G8" s="101" t="s">
        <v>66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4">
        <v>2</v>
      </c>
      <c r="B9" s="61">
        <v>0</v>
      </c>
      <c r="C9" s="107" t="s">
        <v>67</v>
      </c>
      <c r="D9" s="23"/>
      <c r="E9" s="104">
        <v>5</v>
      </c>
      <c r="F9" s="61">
        <v>0</v>
      </c>
      <c r="G9" s="102" t="s">
        <v>68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4">
        <v>3</v>
      </c>
      <c r="B10" s="61">
        <v>0</v>
      </c>
      <c r="C10" s="108" t="s">
        <v>69</v>
      </c>
      <c r="D10" s="23"/>
      <c r="E10" s="4"/>
      <c r="F10" s="105">
        <f>SUM(F7:F9)</f>
        <v>1</v>
      </c>
      <c r="G10" s="103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5">
        <v>0</v>
      </c>
      <c r="C11" s="103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5"/>
      <c r="B13" s="106"/>
      <c r="C13" s="97" t="s">
        <v>70</v>
      </c>
      <c r="D13" s="215"/>
      <c r="E13" s="98"/>
      <c r="F13" s="106"/>
      <c r="G13" s="97" t="s">
        <v>71</v>
      </c>
      <c r="H13" s="215"/>
      <c r="I13" s="215"/>
      <c r="J13" s="215"/>
      <c r="K13" s="215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</row>
    <row r="14" spans="1:38" s="3" customFormat="1" ht="21" customHeight="1" x14ac:dyDescent="0.45">
      <c r="A14" s="215"/>
      <c r="B14" s="106"/>
      <c r="C14" s="97" t="s">
        <v>72</v>
      </c>
      <c r="D14" s="215"/>
      <c r="E14" s="98"/>
      <c r="F14" s="106"/>
      <c r="G14" s="97" t="s">
        <v>73</v>
      </c>
      <c r="H14" s="215"/>
      <c r="I14" s="215"/>
      <c r="J14" s="215"/>
      <c r="K14" s="215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</row>
    <row r="15" spans="1:38" x14ac:dyDescent="0.45">
      <c r="A15" s="23"/>
      <c r="B15" s="26" t="s">
        <v>62</v>
      </c>
      <c r="C15" s="4"/>
      <c r="D15" s="23"/>
      <c r="E15" s="4"/>
      <c r="F15" s="4"/>
      <c r="G15" s="2" t="s">
        <v>278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09" t="s">
        <v>75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09" t="s">
        <v>76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09" t="s">
        <v>77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5">
        <f>SUM(B16:B18)</f>
        <v>0</v>
      </c>
      <c r="C19" s="103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796875" style="4" bestFit="1" customWidth="1"/>
    <col min="2" max="4" width="11.46484375" style="4"/>
    <col min="5" max="5" width="9.53125" style="4" customWidth="1"/>
    <col min="6" max="7" width="11.46484375" style="4"/>
    <col min="8" max="8" width="10.79687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796875" style="4" bestFit="1" customWidth="1"/>
    <col min="25" max="25" width="14.53125" style="4" bestFit="1" customWidth="1"/>
    <col min="26" max="26" width="12.46484375" style="4" bestFit="1" customWidth="1"/>
    <col min="27" max="27" width="9.79687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19921875" style="4" bestFit="1" customWidth="1"/>
    <col min="45" max="45" width="11.796875" style="4" bestFit="1" customWidth="1"/>
    <col min="46" max="46" width="8.46484375" style="4" bestFit="1" customWidth="1"/>
    <col min="47" max="47" width="9.46484375" style="4" bestFit="1" customWidth="1"/>
    <col min="48" max="48" width="9.79687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1992187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19921875" style="4" bestFit="1" customWidth="1"/>
    <col min="66" max="66" width="11.796875" style="4" bestFit="1" customWidth="1"/>
    <col min="67" max="67" width="8.46484375" style="4" bestFit="1" customWidth="1"/>
    <col min="68" max="68" width="9.46484375" style="4" bestFit="1" customWidth="1"/>
    <col min="69" max="69" width="9.79687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7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19921875" style="4" bestFit="1" customWidth="1"/>
    <col min="87" max="87" width="11.796875" style="4" bestFit="1" customWidth="1"/>
    <col min="88" max="88" width="8.46484375" style="4" bestFit="1" customWidth="1"/>
    <col min="89" max="89" width="9.46484375" style="4" bestFit="1" customWidth="1"/>
    <col min="90" max="90" width="9.79687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19921875" style="4" bestFit="1" customWidth="1"/>
    <col min="108" max="108" width="11.796875" style="4" bestFit="1" customWidth="1"/>
    <col min="109" max="109" width="8.46484375" style="4" bestFit="1" customWidth="1"/>
    <col min="110" max="110" width="9.46484375" style="4" bestFit="1" customWidth="1"/>
    <col min="111" max="111" width="9.79687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1992187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19921875" style="4" bestFit="1" customWidth="1"/>
    <col min="129" max="129" width="11.796875" style="4" bestFit="1" customWidth="1"/>
    <col min="130" max="130" width="8.46484375" style="4" bestFit="1" customWidth="1"/>
    <col min="131" max="131" width="9.46484375" style="4" bestFit="1" customWidth="1"/>
    <col min="132" max="132" width="9.79687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19921875" style="4" bestFit="1" customWidth="1"/>
    <col min="150" max="150" width="11.796875" style="4" bestFit="1" customWidth="1"/>
    <col min="151" max="151" width="8.46484375" style="4" bestFit="1" customWidth="1"/>
    <col min="152" max="152" width="9.46484375" style="4" bestFit="1" customWidth="1"/>
    <col min="153" max="153" width="9.79687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19921875" style="4" bestFit="1" customWidth="1"/>
    <col min="171" max="171" width="11.796875" style="4" bestFit="1" customWidth="1"/>
    <col min="172" max="172" width="8.19921875" style="4" bestFit="1" customWidth="1"/>
    <col min="173" max="173" width="9.46484375" style="4" bestFit="1" customWidth="1"/>
    <col min="174" max="174" width="9.79687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1992187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79687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1992187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19921875" style="4" bestFit="1" customWidth="1"/>
    <col min="213" max="213" width="11.796875" style="4" bestFit="1" customWidth="1"/>
    <col min="214" max="214" width="8.46484375" style="4" bestFit="1" customWidth="1"/>
    <col min="215" max="215" width="9.46484375" style="4" bestFit="1" customWidth="1"/>
    <col min="216" max="216" width="9.79687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82" t="s">
        <v>78</v>
      </c>
      <c r="C1" s="283"/>
      <c r="D1" s="283"/>
      <c r="E1" s="283"/>
      <c r="F1" s="283"/>
      <c r="G1" s="283"/>
      <c r="H1" s="284"/>
      <c r="I1" s="279" t="str">
        <f>IF('Données projet'!$B$9="","",'Données projet'!$B$9)</f>
        <v>Chêne sessile</v>
      </c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1"/>
      <c r="AD1" s="280" t="str">
        <f>IF('Données projet'!$B$10="","",'Données projet'!$B$10)</f>
        <v>Pin maritime</v>
      </c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1"/>
      <c r="AY1" s="279" t="str">
        <f>IF('Données projet'!$B$11="","",'Données projet'!$B$11)</f>
        <v/>
      </c>
      <c r="AZ1" s="280"/>
      <c r="BA1" s="280"/>
      <c r="BB1" s="280"/>
      <c r="BC1" s="280"/>
      <c r="BD1" s="280"/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  <c r="BQ1" s="280"/>
      <c r="BR1" s="280"/>
      <c r="BS1" s="281"/>
      <c r="BT1" s="279" t="str">
        <f>IF('Données projet'!$B$12="","",'Données projet'!$B$12)</f>
        <v/>
      </c>
      <c r="BU1" s="280"/>
      <c r="BV1" s="280"/>
      <c r="BW1" s="280"/>
      <c r="BX1" s="280"/>
      <c r="BY1" s="280"/>
      <c r="BZ1" s="280"/>
      <c r="CA1" s="280"/>
      <c r="CB1" s="280"/>
      <c r="CC1" s="280"/>
      <c r="CD1" s="280"/>
      <c r="CE1" s="280"/>
      <c r="CF1" s="280"/>
      <c r="CG1" s="280"/>
      <c r="CH1" s="280"/>
      <c r="CI1" s="280"/>
      <c r="CJ1" s="280"/>
      <c r="CK1" s="280"/>
      <c r="CL1" s="280"/>
      <c r="CM1" s="280"/>
      <c r="CN1" s="281"/>
      <c r="CO1" s="279" t="str">
        <f>IF('Données projet'!$B$13="","",'Données projet'!$B$13)</f>
        <v/>
      </c>
      <c r="CP1" s="280"/>
      <c r="CQ1" s="280"/>
      <c r="CR1" s="280"/>
      <c r="CS1" s="280"/>
      <c r="CT1" s="280"/>
      <c r="CU1" s="280"/>
      <c r="CV1" s="280"/>
      <c r="CW1" s="280"/>
      <c r="CX1" s="280"/>
      <c r="CY1" s="280"/>
      <c r="CZ1" s="280"/>
      <c r="DA1" s="280"/>
      <c r="DB1" s="280"/>
      <c r="DC1" s="280"/>
      <c r="DD1" s="280"/>
      <c r="DE1" s="280"/>
      <c r="DF1" s="280"/>
      <c r="DG1" s="280"/>
      <c r="DH1" s="280"/>
      <c r="DI1" s="281"/>
      <c r="DJ1" s="279" t="str">
        <f>IF('Données projet'!$B$14="","",'Données projet'!$B$14)</f>
        <v/>
      </c>
      <c r="DK1" s="280"/>
      <c r="DL1" s="280"/>
      <c r="DM1" s="280"/>
      <c r="DN1" s="280"/>
      <c r="DO1" s="280"/>
      <c r="DP1" s="280"/>
      <c r="DQ1" s="280"/>
      <c r="DR1" s="280"/>
      <c r="DS1" s="280"/>
      <c r="DT1" s="280"/>
      <c r="DU1" s="280"/>
      <c r="DV1" s="280"/>
      <c r="DW1" s="280"/>
      <c r="DX1" s="280"/>
      <c r="DY1" s="280"/>
      <c r="DZ1" s="280"/>
      <c r="EA1" s="280"/>
      <c r="EB1" s="280"/>
      <c r="EC1" s="280"/>
      <c r="ED1" s="281"/>
      <c r="EE1" s="279" t="str">
        <f>IF('Données projet'!$B$15="","",'Données projet'!$B$15)</f>
        <v/>
      </c>
      <c r="EF1" s="280"/>
      <c r="EG1" s="280"/>
      <c r="EH1" s="280"/>
      <c r="EI1" s="280"/>
      <c r="EJ1" s="280"/>
      <c r="EK1" s="280"/>
      <c r="EL1" s="280"/>
      <c r="EM1" s="280"/>
      <c r="EN1" s="280"/>
      <c r="EO1" s="280"/>
      <c r="EP1" s="280"/>
      <c r="EQ1" s="280"/>
      <c r="ER1" s="280"/>
      <c r="ES1" s="280"/>
      <c r="ET1" s="280"/>
      <c r="EU1" s="280"/>
      <c r="EV1" s="280"/>
      <c r="EW1" s="280"/>
      <c r="EX1" s="280"/>
      <c r="EY1" s="281"/>
      <c r="EZ1" s="279" t="str">
        <f>IF('Données projet'!$B$16="","",'Données projet'!$B$16)</f>
        <v/>
      </c>
      <c r="FA1" s="280"/>
      <c r="FB1" s="280"/>
      <c r="FC1" s="280"/>
      <c r="FD1" s="280"/>
      <c r="FE1" s="280"/>
      <c r="FF1" s="280"/>
      <c r="FG1" s="280"/>
      <c r="FH1" s="280"/>
      <c r="FI1" s="280"/>
      <c r="FJ1" s="280"/>
      <c r="FK1" s="280"/>
      <c r="FL1" s="280"/>
      <c r="FM1" s="280"/>
      <c r="FN1" s="280"/>
      <c r="FO1" s="280"/>
      <c r="FP1" s="280"/>
      <c r="FQ1" s="280"/>
      <c r="FR1" s="280"/>
      <c r="FS1" s="280"/>
      <c r="FT1" s="281"/>
      <c r="FU1" s="279" t="str">
        <f>IF('Données projet'!$B$17="","",'Données projet'!$B$17)</f>
        <v/>
      </c>
      <c r="FV1" s="280"/>
      <c r="FW1" s="280"/>
      <c r="FX1" s="280"/>
      <c r="FY1" s="280"/>
      <c r="FZ1" s="280"/>
      <c r="GA1" s="280"/>
      <c r="GB1" s="280"/>
      <c r="GC1" s="280"/>
      <c r="GD1" s="280"/>
      <c r="GE1" s="280"/>
      <c r="GF1" s="280"/>
      <c r="GG1" s="280"/>
      <c r="GH1" s="280"/>
      <c r="GI1" s="280"/>
      <c r="GJ1" s="280"/>
      <c r="GK1" s="280"/>
      <c r="GL1" s="280"/>
      <c r="GM1" s="280"/>
      <c r="GN1" s="280"/>
      <c r="GO1" s="281"/>
      <c r="GP1" s="279" t="str">
        <f>IF('Données projet'!$B$18="","",'Données projet'!$B$18)</f>
        <v/>
      </c>
      <c r="GQ1" s="280"/>
      <c r="GR1" s="280"/>
      <c r="GS1" s="280"/>
      <c r="GT1" s="280"/>
      <c r="GU1" s="280"/>
      <c r="GV1" s="280"/>
      <c r="GW1" s="280"/>
      <c r="GX1" s="280"/>
      <c r="GY1" s="280"/>
      <c r="GZ1" s="280"/>
      <c r="HA1" s="280"/>
      <c r="HB1" s="280"/>
      <c r="HC1" s="280"/>
      <c r="HD1" s="280"/>
      <c r="HE1" s="280"/>
      <c r="HF1" s="280"/>
      <c r="HG1" s="280"/>
      <c r="HH1" s="280"/>
      <c r="HI1" s="280"/>
      <c r="HJ1" s="281"/>
    </row>
    <row r="2" spans="1:218" ht="57.4" thickBot="1" x14ac:dyDescent="0.5">
      <c r="A2" s="70" t="s">
        <v>79</v>
      </c>
      <c r="B2" s="71" t="s">
        <v>80</v>
      </c>
      <c r="C2" s="5" t="s">
        <v>81</v>
      </c>
      <c r="D2" s="5" t="s">
        <v>82</v>
      </c>
      <c r="E2" s="5" t="s">
        <v>83</v>
      </c>
      <c r="F2" s="5" t="s">
        <v>84</v>
      </c>
      <c r="G2" s="5" t="s">
        <v>85</v>
      </c>
      <c r="H2" s="65" t="s">
        <v>86</v>
      </c>
      <c r="I2" s="67" t="s">
        <v>83</v>
      </c>
      <c r="J2" s="68" t="s">
        <v>84</v>
      </c>
      <c r="K2" s="6" t="s">
        <v>87</v>
      </c>
      <c r="L2" s="6" t="s">
        <v>88</v>
      </c>
      <c r="M2" s="6" t="s">
        <v>88</v>
      </c>
      <c r="N2" s="6" t="s">
        <v>89</v>
      </c>
      <c r="O2" s="6" t="s">
        <v>90</v>
      </c>
      <c r="P2" s="6" t="s">
        <v>91</v>
      </c>
      <c r="Q2" s="6" t="s">
        <v>85</v>
      </c>
      <c r="R2" s="6" t="s">
        <v>92</v>
      </c>
      <c r="S2" s="6" t="s">
        <v>93</v>
      </c>
      <c r="T2" s="6" t="s">
        <v>94</v>
      </c>
      <c r="U2" s="7" t="s">
        <v>95</v>
      </c>
      <c r="V2" s="8" t="s">
        <v>96</v>
      </c>
      <c r="W2" s="7" t="s">
        <v>55</v>
      </c>
      <c r="X2" s="7" t="s">
        <v>56</v>
      </c>
      <c r="Y2" s="7" t="s">
        <v>97</v>
      </c>
      <c r="Z2" s="8" t="s">
        <v>98</v>
      </c>
      <c r="AA2" s="8" t="s">
        <v>99</v>
      </c>
      <c r="AB2" s="8" t="s">
        <v>100</v>
      </c>
      <c r="AC2" s="9" t="s">
        <v>101</v>
      </c>
      <c r="AD2" s="68" t="s">
        <v>83</v>
      </c>
      <c r="AE2" s="68" t="s">
        <v>84</v>
      </c>
      <c r="AF2" s="6" t="s">
        <v>87</v>
      </c>
      <c r="AG2" s="6" t="s">
        <v>88</v>
      </c>
      <c r="AH2" s="6" t="s">
        <v>88</v>
      </c>
      <c r="AI2" s="6" t="s">
        <v>89</v>
      </c>
      <c r="AJ2" s="6" t="s">
        <v>90</v>
      </c>
      <c r="AK2" s="6" t="s">
        <v>91</v>
      </c>
      <c r="AL2" s="6" t="s">
        <v>85</v>
      </c>
      <c r="AM2" s="6" t="s">
        <v>92</v>
      </c>
      <c r="AN2" s="6" t="s">
        <v>93</v>
      </c>
      <c r="AO2" s="6" t="s">
        <v>94</v>
      </c>
      <c r="AP2" s="7" t="s">
        <v>95</v>
      </c>
      <c r="AQ2" s="8" t="s">
        <v>96</v>
      </c>
      <c r="AR2" s="7" t="s">
        <v>55</v>
      </c>
      <c r="AS2" s="7" t="s">
        <v>56</v>
      </c>
      <c r="AT2" s="8" t="s">
        <v>102</v>
      </c>
      <c r="AU2" s="8" t="s">
        <v>98</v>
      </c>
      <c r="AV2" s="8" t="s">
        <v>99</v>
      </c>
      <c r="AW2" s="8" t="s">
        <v>100</v>
      </c>
      <c r="AX2" s="8" t="s">
        <v>101</v>
      </c>
      <c r="AY2" s="67" t="s">
        <v>83</v>
      </c>
      <c r="AZ2" s="68" t="s">
        <v>84</v>
      </c>
      <c r="BA2" s="6" t="s">
        <v>87</v>
      </c>
      <c r="BB2" s="6" t="s">
        <v>88</v>
      </c>
      <c r="BC2" s="6" t="s">
        <v>88</v>
      </c>
      <c r="BD2" s="6" t="s">
        <v>89</v>
      </c>
      <c r="BE2" s="6" t="s">
        <v>90</v>
      </c>
      <c r="BF2" s="6" t="s">
        <v>91</v>
      </c>
      <c r="BG2" s="6" t="s">
        <v>85</v>
      </c>
      <c r="BH2" s="6" t="s">
        <v>92</v>
      </c>
      <c r="BI2" s="6" t="s">
        <v>93</v>
      </c>
      <c r="BJ2" s="6" t="s">
        <v>94</v>
      </c>
      <c r="BK2" s="7" t="s">
        <v>95</v>
      </c>
      <c r="BL2" s="8" t="s">
        <v>96</v>
      </c>
      <c r="BM2" s="7" t="s">
        <v>55</v>
      </c>
      <c r="BN2" s="7" t="s">
        <v>56</v>
      </c>
      <c r="BO2" s="8" t="s">
        <v>102</v>
      </c>
      <c r="BP2" s="8" t="s">
        <v>98</v>
      </c>
      <c r="BQ2" s="8" t="s">
        <v>99</v>
      </c>
      <c r="BR2" s="8" t="s">
        <v>100</v>
      </c>
      <c r="BS2" s="9" t="s">
        <v>101</v>
      </c>
      <c r="BT2" s="67" t="s">
        <v>83</v>
      </c>
      <c r="BU2" s="68" t="s">
        <v>84</v>
      </c>
      <c r="BV2" s="6" t="s">
        <v>87</v>
      </c>
      <c r="BW2" s="6" t="s">
        <v>88</v>
      </c>
      <c r="BX2" s="6" t="s">
        <v>88</v>
      </c>
      <c r="BY2" s="6" t="s">
        <v>89</v>
      </c>
      <c r="BZ2" s="6" t="s">
        <v>90</v>
      </c>
      <c r="CA2" s="6" t="s">
        <v>91</v>
      </c>
      <c r="CB2" s="6" t="s">
        <v>85</v>
      </c>
      <c r="CC2" s="6" t="s">
        <v>92</v>
      </c>
      <c r="CD2" s="6" t="s">
        <v>93</v>
      </c>
      <c r="CE2" s="6" t="s">
        <v>94</v>
      </c>
      <c r="CF2" s="7" t="s">
        <v>95</v>
      </c>
      <c r="CG2" s="8" t="s">
        <v>96</v>
      </c>
      <c r="CH2" s="7" t="s">
        <v>55</v>
      </c>
      <c r="CI2" s="7" t="s">
        <v>56</v>
      </c>
      <c r="CJ2" s="8" t="s">
        <v>102</v>
      </c>
      <c r="CK2" s="8" t="s">
        <v>98</v>
      </c>
      <c r="CL2" s="8" t="s">
        <v>99</v>
      </c>
      <c r="CM2" s="8" t="s">
        <v>100</v>
      </c>
      <c r="CN2" s="9" t="s">
        <v>101</v>
      </c>
      <c r="CO2" s="67" t="s">
        <v>83</v>
      </c>
      <c r="CP2" s="68" t="s">
        <v>84</v>
      </c>
      <c r="CQ2" s="6" t="s">
        <v>87</v>
      </c>
      <c r="CR2" s="6" t="s">
        <v>88</v>
      </c>
      <c r="CS2" s="6" t="s">
        <v>88</v>
      </c>
      <c r="CT2" s="6" t="s">
        <v>89</v>
      </c>
      <c r="CU2" s="6" t="s">
        <v>90</v>
      </c>
      <c r="CV2" s="6" t="s">
        <v>91</v>
      </c>
      <c r="CW2" s="6" t="s">
        <v>85</v>
      </c>
      <c r="CX2" s="6" t="s">
        <v>92</v>
      </c>
      <c r="CY2" s="6" t="s">
        <v>93</v>
      </c>
      <c r="CZ2" s="6" t="s">
        <v>94</v>
      </c>
      <c r="DA2" s="7" t="s">
        <v>95</v>
      </c>
      <c r="DB2" s="8" t="s">
        <v>96</v>
      </c>
      <c r="DC2" s="7" t="s">
        <v>55</v>
      </c>
      <c r="DD2" s="7" t="s">
        <v>56</v>
      </c>
      <c r="DE2" s="8" t="s">
        <v>102</v>
      </c>
      <c r="DF2" s="8" t="s">
        <v>98</v>
      </c>
      <c r="DG2" s="8" t="s">
        <v>99</v>
      </c>
      <c r="DH2" s="8" t="s">
        <v>100</v>
      </c>
      <c r="DI2" s="9" t="s">
        <v>101</v>
      </c>
      <c r="DJ2" s="67" t="s">
        <v>83</v>
      </c>
      <c r="DK2" s="68" t="s">
        <v>84</v>
      </c>
      <c r="DL2" s="6" t="s">
        <v>87</v>
      </c>
      <c r="DM2" s="6" t="s">
        <v>88</v>
      </c>
      <c r="DN2" s="6" t="s">
        <v>88</v>
      </c>
      <c r="DO2" s="6" t="s">
        <v>89</v>
      </c>
      <c r="DP2" s="6" t="s">
        <v>90</v>
      </c>
      <c r="DQ2" s="6" t="s">
        <v>91</v>
      </c>
      <c r="DR2" s="6" t="s">
        <v>85</v>
      </c>
      <c r="DS2" s="6" t="s">
        <v>92</v>
      </c>
      <c r="DT2" s="6" t="s">
        <v>93</v>
      </c>
      <c r="DU2" s="6" t="s">
        <v>94</v>
      </c>
      <c r="DV2" s="7" t="s">
        <v>95</v>
      </c>
      <c r="DW2" s="8" t="s">
        <v>96</v>
      </c>
      <c r="DX2" s="7" t="s">
        <v>55</v>
      </c>
      <c r="DY2" s="7" t="s">
        <v>56</v>
      </c>
      <c r="DZ2" s="8" t="s">
        <v>102</v>
      </c>
      <c r="EA2" s="8" t="s">
        <v>98</v>
      </c>
      <c r="EB2" s="8" t="s">
        <v>99</v>
      </c>
      <c r="EC2" s="8" t="s">
        <v>100</v>
      </c>
      <c r="ED2" s="9" t="s">
        <v>101</v>
      </c>
      <c r="EE2" s="67" t="s">
        <v>83</v>
      </c>
      <c r="EF2" s="68" t="s">
        <v>84</v>
      </c>
      <c r="EG2" s="6" t="s">
        <v>87</v>
      </c>
      <c r="EH2" s="6" t="s">
        <v>88</v>
      </c>
      <c r="EI2" s="6" t="s">
        <v>88</v>
      </c>
      <c r="EJ2" s="6" t="s">
        <v>89</v>
      </c>
      <c r="EK2" s="6" t="s">
        <v>90</v>
      </c>
      <c r="EL2" s="6" t="s">
        <v>91</v>
      </c>
      <c r="EM2" s="6" t="s">
        <v>85</v>
      </c>
      <c r="EN2" s="6" t="s">
        <v>92</v>
      </c>
      <c r="EO2" s="6" t="s">
        <v>93</v>
      </c>
      <c r="EP2" s="6" t="s">
        <v>94</v>
      </c>
      <c r="EQ2" s="7" t="s">
        <v>95</v>
      </c>
      <c r="ER2" s="8" t="s">
        <v>96</v>
      </c>
      <c r="ES2" s="7" t="s">
        <v>55</v>
      </c>
      <c r="ET2" s="7" t="s">
        <v>56</v>
      </c>
      <c r="EU2" s="8" t="s">
        <v>102</v>
      </c>
      <c r="EV2" s="8" t="s">
        <v>98</v>
      </c>
      <c r="EW2" s="8" t="s">
        <v>99</v>
      </c>
      <c r="EX2" s="8" t="s">
        <v>100</v>
      </c>
      <c r="EY2" s="9" t="s">
        <v>101</v>
      </c>
      <c r="EZ2" s="67" t="s">
        <v>83</v>
      </c>
      <c r="FA2" s="68" t="s">
        <v>84</v>
      </c>
      <c r="FB2" s="6" t="s">
        <v>87</v>
      </c>
      <c r="FC2" s="6" t="s">
        <v>88</v>
      </c>
      <c r="FD2" s="6" t="s">
        <v>88</v>
      </c>
      <c r="FE2" s="6" t="s">
        <v>89</v>
      </c>
      <c r="FF2" s="6" t="s">
        <v>90</v>
      </c>
      <c r="FG2" s="6" t="s">
        <v>91</v>
      </c>
      <c r="FH2" s="6" t="s">
        <v>85</v>
      </c>
      <c r="FI2" s="6" t="s">
        <v>92</v>
      </c>
      <c r="FJ2" s="6" t="s">
        <v>93</v>
      </c>
      <c r="FK2" s="6" t="s">
        <v>94</v>
      </c>
      <c r="FL2" s="7" t="s">
        <v>95</v>
      </c>
      <c r="FM2" s="8" t="s">
        <v>96</v>
      </c>
      <c r="FN2" s="7" t="s">
        <v>55</v>
      </c>
      <c r="FO2" s="7" t="s">
        <v>56</v>
      </c>
      <c r="FP2" s="8" t="s">
        <v>103</v>
      </c>
      <c r="FQ2" s="8" t="s">
        <v>98</v>
      </c>
      <c r="FR2" s="8" t="s">
        <v>99</v>
      </c>
      <c r="FS2" s="8" t="s">
        <v>100</v>
      </c>
      <c r="FT2" s="9" t="s">
        <v>101</v>
      </c>
      <c r="FU2" s="67" t="s">
        <v>83</v>
      </c>
      <c r="FV2" s="68" t="s">
        <v>84</v>
      </c>
      <c r="FW2" s="6" t="s">
        <v>87</v>
      </c>
      <c r="FX2" s="6" t="s">
        <v>88</v>
      </c>
      <c r="FY2" s="6" t="s">
        <v>88</v>
      </c>
      <c r="FZ2" s="6" t="s">
        <v>89</v>
      </c>
      <c r="GA2" s="6" t="s">
        <v>90</v>
      </c>
      <c r="GB2" s="6" t="s">
        <v>91</v>
      </c>
      <c r="GC2" s="6" t="s">
        <v>85</v>
      </c>
      <c r="GD2" s="6" t="s">
        <v>92</v>
      </c>
      <c r="GE2" s="6" t="s">
        <v>93</v>
      </c>
      <c r="GF2" s="6" t="s">
        <v>94</v>
      </c>
      <c r="GG2" s="7" t="s">
        <v>95</v>
      </c>
      <c r="GH2" s="8" t="s">
        <v>96</v>
      </c>
      <c r="GI2" s="7" t="s">
        <v>55</v>
      </c>
      <c r="GJ2" s="7" t="s">
        <v>56</v>
      </c>
      <c r="GK2" s="8" t="s">
        <v>102</v>
      </c>
      <c r="GL2" s="8" t="s">
        <v>98</v>
      </c>
      <c r="GM2" s="8" t="s">
        <v>99</v>
      </c>
      <c r="GN2" s="8" t="s">
        <v>100</v>
      </c>
      <c r="GO2" s="8" t="s">
        <v>101</v>
      </c>
      <c r="GP2" s="67" t="s">
        <v>83</v>
      </c>
      <c r="GQ2" s="68" t="s">
        <v>84</v>
      </c>
      <c r="GR2" s="6" t="s">
        <v>87</v>
      </c>
      <c r="GS2" s="6" t="s">
        <v>88</v>
      </c>
      <c r="GT2" s="6" t="s">
        <v>88</v>
      </c>
      <c r="GU2" s="6" t="s">
        <v>89</v>
      </c>
      <c r="GV2" s="6" t="s">
        <v>90</v>
      </c>
      <c r="GW2" s="6" t="s">
        <v>91</v>
      </c>
      <c r="GX2" s="6" t="s">
        <v>85</v>
      </c>
      <c r="GY2" s="6" t="s">
        <v>92</v>
      </c>
      <c r="GZ2" s="6" t="s">
        <v>93</v>
      </c>
      <c r="HA2" s="6" t="s">
        <v>94</v>
      </c>
      <c r="HB2" s="7" t="s">
        <v>95</v>
      </c>
      <c r="HC2" s="8" t="s">
        <v>96</v>
      </c>
      <c r="HD2" s="7" t="s">
        <v>55</v>
      </c>
      <c r="HE2" s="7" t="s">
        <v>56</v>
      </c>
      <c r="HF2" s="8" t="s">
        <v>102</v>
      </c>
      <c r="HG2" s="8" t="s">
        <v>98</v>
      </c>
      <c r="HH2" s="8" t="s">
        <v>99</v>
      </c>
      <c r="HI2" s="8" t="s">
        <v>100</v>
      </c>
      <c r="HJ2" s="9" t="s">
        <v>101</v>
      </c>
    </row>
    <row r="3" spans="1:218" x14ac:dyDescent="0.4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422.10969295064359</v>
      </c>
      <c r="T3" s="59">
        <f>IF('Données projet'!E9&gt;30,$R$33-$H$33,LOOKUP('Données projet'!$E$9,$A$3:$A$203,R3:R203)-LOOKUP('Données projet'!$E$9,$A$3:$A$203,$H$3:$H$203))</f>
        <v>184.04075143033037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213.90220310357444</v>
      </c>
      <c r="AO3" s="59">
        <f>IF('Données projet'!E10&gt;30,$AM$33-$H$33,LOOKUP('Données projet'!$E$10,$A$3:$A$203,AM3:AM203)-LOOKUP('Données projet'!$E$10,$A$3:$A$203,$H$3:$H$203))</f>
        <v>209.61422409790703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6">
        <f t="shared" ref="H4:H67" si="1">(B4+E4+F4)*44/12+(C4+D4)*0.475*44/12</f>
        <v>295.60554746801699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4.0942857142857143</v>
      </c>
      <c r="N4" s="13">
        <f>IF('Données projet'!$A$36&gt;35,N3+M4-V3,IF(A4&lt;'Données projet'!$A$36,$K$205^A4,IF(A4='Données projet'!$A$36,'Données projet'!$B$36,N3+M4-V3)))</f>
        <v>4.0942857142857143</v>
      </c>
      <c r="O4" s="13">
        <f>N4*VLOOKUP('Données projet'!$B$9,Paramètres!$A$1:$I$89,3,0)*VLOOKUP('Données projet'!$B$9,Paramètres!$A$1:$I$89,5,0)</f>
        <v>3.704509714285714</v>
      </c>
      <c r="P4" s="13">
        <f>EXP(-1.0587+0.8836*LN(O4)+0.284)</f>
        <v>1.4658264193249637</v>
      </c>
      <c r="Q4" s="20">
        <f t="shared" ref="Q4:Q34" si="2">(O4+P4)*0.475*44/12</f>
        <v>9.0050020993719304</v>
      </c>
      <c r="R4" s="59">
        <f t="shared" si="0"/>
        <v>302.33833543270526</v>
      </c>
      <c r="S4" s="59">
        <f ca="1">AVERAGE(OFFSET($R$3,0,0,'Données projet'!$E$9+1,1))-AVERAGE(OFFSET($H$3,0,0,'Données projet'!$E$9+1,1))</f>
        <v>422.10969295064359</v>
      </c>
      <c r="T4" s="59">
        <f>$T$3</f>
        <v>184.04075143033037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7.2723529411764707</v>
      </c>
      <c r="AI4" s="13">
        <f>IF('Données projet'!$A$62&gt;35,AI3+AH4-AQ3,IF(A4&lt;'Données projet'!$A$62,$AF$205^A4,IF(A4='Données projet'!$A$62,'Données projet'!$B$62,AI3+AH4-AQ3)))</f>
        <v>1.3275965341357465</v>
      </c>
      <c r="AJ4" s="13">
        <f>AI4*VLOOKUP('Données projet'!$B$10,Paramètres!$A$1:$I$89,3,0)*VLOOKUP('Données projet'!$B$10,Paramètres!$A$1:$I$89,5,0)</f>
        <v>0.79390272741317647</v>
      </c>
      <c r="AK4" s="13">
        <f>EXP(-1.0587+0.8836*LN(AJ4)+0.284)</f>
        <v>0.37582567469791356</v>
      </c>
      <c r="AL4" s="20">
        <f t="shared" ref="AL4:AL67" si="4">(AJ4+AK4)*0.475*44/12</f>
        <v>2.0372769670101483</v>
      </c>
      <c r="AM4" s="59">
        <f t="shared" ref="AM4:AM67" si="5">AL4+(AD4+AE4)*44/12</f>
        <v>295.37061030034346</v>
      </c>
      <c r="AN4" s="59">
        <f ca="1">AVERAGE(OFFSET($AM$3,0,0,'Données projet'!$E$10+1,1))-AVERAGE(OFFSET($H$3,0,0,'Données projet'!$E$10+1,1))</f>
        <v>213.90220310357444</v>
      </c>
      <c r="AO4" s="59">
        <f>$AO$3</f>
        <v>209.61422409790703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6">
        <f t="shared" si="1"/>
        <v>297.76559610099633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4.0942857142857143</v>
      </c>
      <c r="N5" s="13">
        <f>IF('Données projet'!$A$36&gt;35,N4+M5-V4,IF(A5&lt;'Données projet'!$A$36,$K$205^A5,IF(A5='Données projet'!$A$36,'Données projet'!$B$36,N4+M5-V4)))</f>
        <v>8.1885714285714286</v>
      </c>
      <c r="O5" s="13">
        <f>N5*VLOOKUP('Données projet'!$B$9,Paramètres!$A$1:$I$89,3,0)*VLOOKUP('Données projet'!$B$9,Paramètres!$A$1:$I$89,5,0)</f>
        <v>7.4090194285714279</v>
      </c>
      <c r="P5" s="13">
        <f t="shared" ref="P5:P68" si="33">EXP(-1.0587+0.8836*LN(O5)+0.284)</f>
        <v>2.7044107221075859</v>
      </c>
      <c r="Q5" s="20">
        <f t="shared" si="2"/>
        <v>17.614224179099281</v>
      </c>
      <c r="R5" s="59">
        <f t="shared" si="0"/>
        <v>310.94755751243258</v>
      </c>
      <c r="S5" s="59">
        <f ca="1">AVERAGE(OFFSET($R$3,0,0,'Données projet'!$E$9+1,1))-AVERAGE(OFFSET($H$3,0,0,'Données projet'!$E$9+1,1))</f>
        <v>422.10969295064359</v>
      </c>
      <c r="T5" s="59">
        <f t="shared" ref="T5:T68" si="34">$T$3</f>
        <v>184.04075143033037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7.2723529411764707</v>
      </c>
      <c r="AI5" s="13">
        <f>IF('Données projet'!$A$62&gt;35,AI4+AH5-AQ4,IF(A5&lt;'Données projet'!$A$62,$AF$205^A5,IF(A5='Données projet'!$A$62,'Données projet'!$B$62,AI4+AH5-AQ4)))</f>
        <v>1.7625125574492464</v>
      </c>
      <c r="AJ5" s="13">
        <f>AI5*VLOOKUP('Données projet'!$B$10,Paramètres!$A$1:$I$89,3,0)*VLOOKUP('Données projet'!$B$10,Paramètres!$A$1:$I$89,5,0)</f>
        <v>1.0539825093546495</v>
      </c>
      <c r="AK5" s="13">
        <f t="shared" ref="AK5:AK68" si="35">EXP(-1.0587+0.8836*LN(AJ5)+0.284)</f>
        <v>0.48275597819164817</v>
      </c>
      <c r="AL5" s="20">
        <f t="shared" si="4"/>
        <v>2.676486199143135</v>
      </c>
      <c r="AM5" s="59">
        <f t="shared" si="5"/>
        <v>296.00981953247646</v>
      </c>
      <c r="AN5" s="59">
        <f ca="1">AVERAGE(OFFSET($AM$3,0,0,'Données projet'!$E$10+1,1))-AVERAGE(OFFSET($H$3,0,0,'Données projet'!$E$10+1,1))</f>
        <v>213.90220310357444</v>
      </c>
      <c r="AO5" s="59">
        <f t="shared" ref="AO5:AO68" si="36">$AO$3</f>
        <v>209.61422409790703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6">
        <f t="shared" si="1"/>
        <v>299.88942090728119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4.0942857142857143</v>
      </c>
      <c r="N6" s="13">
        <f>IF('Données projet'!$A$36&gt;35,N5+M6-V5,IF(A6&lt;'Données projet'!$A$36,$K$205^A6,IF(A6='Données projet'!$A$36,'Données projet'!$B$36,N5+M6-V5)))</f>
        <v>12.282857142857143</v>
      </c>
      <c r="O6" s="13">
        <f>N6*VLOOKUP('Données projet'!$B$9,Paramètres!$A$1:$I$89,3,0)*VLOOKUP('Données projet'!$B$9,Paramètres!$A$1:$I$89,5,0)</f>
        <v>11.113529142857143</v>
      </c>
      <c r="P6" s="13">
        <f t="shared" si="33"/>
        <v>3.8696072280877138</v>
      </c>
      <c r="Q6" s="20">
        <f t="shared" si="2"/>
        <v>26.095629179395626</v>
      </c>
      <c r="R6" s="59">
        <f t="shared" si="0"/>
        <v>319.42896251272896</v>
      </c>
      <c r="S6" s="59">
        <f ca="1">AVERAGE(OFFSET($R$3,0,0,'Données projet'!$E$9+1,1))-AVERAGE(OFFSET($H$3,0,0,'Données projet'!$E$9+1,1))</f>
        <v>422.10969295064359</v>
      </c>
      <c r="T6" s="59">
        <f t="shared" si="34"/>
        <v>184.04075143033037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7.2723529411764707</v>
      </c>
      <c r="AI6" s="13">
        <f>IF('Données projet'!$A$62&gt;35,AI5+AH6-AQ5,IF(A6&lt;'Données projet'!$A$62,$AF$205^A6,IF(A6='Données projet'!$A$62,'Données projet'!$B$62,AI5+AH6-AQ5)))</f>
        <v>2.3399055626403502</v>
      </c>
      <c r="AJ6" s="13">
        <f>AI6*VLOOKUP('Données projet'!$B$10,Paramètres!$A$1:$I$89,3,0)*VLOOKUP('Données projet'!$B$10,Paramètres!$A$1:$I$89,5,0)</f>
        <v>1.3992635264589295</v>
      </c>
      <c r="AK6" s="13">
        <f t="shared" si="35"/>
        <v>0.62011020047287035</v>
      </c>
      <c r="AL6" s="20">
        <f t="shared" si="4"/>
        <v>3.5170759077395513</v>
      </c>
      <c r="AM6" s="59">
        <f t="shared" si="5"/>
        <v>296.85040924107284</v>
      </c>
      <c r="AN6" s="59">
        <f ca="1">AVERAGE(OFFSET($AM$3,0,0,'Données projet'!$E$10+1,1))-AVERAGE(OFFSET($H$3,0,0,'Données projet'!$E$10+1,1))</f>
        <v>213.90220310357444</v>
      </c>
      <c r="AO6" s="59">
        <f t="shared" si="36"/>
        <v>209.61422409790703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6">
        <f t="shared" si="1"/>
        <v>301.9909165039561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4.0942857142857143</v>
      </c>
      <c r="N7" s="13">
        <f>IF('Données projet'!$A$36&gt;35,N6+M7-V6,IF(A7&lt;'Données projet'!$A$36,$K$205^A7,IF(A7='Données projet'!$A$36,'Données projet'!$B$36,N6+M7-V6)))</f>
        <v>16.377142857142857</v>
      </c>
      <c r="O7" s="13">
        <f>N7*VLOOKUP('Données projet'!$B$9,Paramètres!$A$1:$I$89,3,0)*VLOOKUP('Données projet'!$B$9,Paramètres!$A$1:$I$89,5,0)</f>
        <v>14.818038857142856</v>
      </c>
      <c r="P7" s="13">
        <f t="shared" si="33"/>
        <v>4.9895657885731195</v>
      </c>
      <c r="Q7" s="20">
        <f t="shared" si="2"/>
        <v>34.49824475795532</v>
      </c>
      <c r="R7" s="59">
        <f t="shared" si="0"/>
        <v>327.83157809128863</v>
      </c>
      <c r="S7" s="59">
        <f ca="1">AVERAGE(OFFSET($R$3,0,0,'Données projet'!$E$9+1,1))-AVERAGE(OFFSET($H$3,0,0,'Données projet'!$E$9+1,1))</f>
        <v>422.10969295064359</v>
      </c>
      <c r="T7" s="59">
        <f t="shared" si="34"/>
        <v>184.04075143033037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7.2723529411764707</v>
      </c>
      <c r="AI7" s="13">
        <f>IF('Données projet'!$A$62&gt;35,AI6+AH7-AQ6,IF(A7&lt;'Données projet'!$A$62,$AF$205^A7,IF(A7='Données projet'!$A$62,'Données projet'!$B$62,AI6+AH7-AQ6)))</f>
        <v>3.1064505151662831</v>
      </c>
      <c r="AJ7" s="13">
        <f>AI7*VLOOKUP('Données projet'!$B$10,Paramètres!$A$1:$I$89,3,0)*VLOOKUP('Données projet'!$B$10,Paramètres!$A$1:$I$89,5,0)</f>
        <v>1.8576574080694375</v>
      </c>
      <c r="AK7" s="13">
        <f t="shared" si="35"/>
        <v>0.7965445858815392</v>
      </c>
      <c r="AL7" s="20">
        <f t="shared" si="4"/>
        <v>4.6227351394646172</v>
      </c>
      <c r="AM7" s="59">
        <f t="shared" si="5"/>
        <v>297.95606847279794</v>
      </c>
      <c r="AN7" s="59">
        <f ca="1">AVERAGE(OFFSET($AM$3,0,0,'Données projet'!$E$10+1,1))-AVERAGE(OFFSET($H$3,0,0,'Données projet'!$E$10+1,1))</f>
        <v>213.90220310357444</v>
      </c>
      <c r="AO7" s="59">
        <f t="shared" si="36"/>
        <v>209.61422409790703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6">
        <f t="shared" si="1"/>
        <v>304.07638038697939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4.0942857142857143</v>
      </c>
      <c r="N8" s="13">
        <f>IF('Données projet'!$A$36&gt;35,N7+M8-V7,IF(A8&lt;'Données projet'!$A$36,$K$205^A8,IF(A8='Données projet'!$A$36,'Données projet'!$B$36,N7+M8-V7)))</f>
        <v>20.471428571428572</v>
      </c>
      <c r="O8" s="13">
        <f>N8*VLOOKUP('Données projet'!$B$9,Paramètres!$A$1:$I$89,3,0)*VLOOKUP('Données projet'!$B$9,Paramètres!$A$1:$I$89,5,0)</f>
        <v>18.522548571428572</v>
      </c>
      <c r="P8" s="13">
        <f t="shared" si="33"/>
        <v>6.0770448389896208</v>
      </c>
      <c r="Q8" s="20">
        <f t="shared" si="2"/>
        <v>42.84429185647835</v>
      </c>
      <c r="R8" s="59">
        <f t="shared" si="0"/>
        <v>336.17762518981169</v>
      </c>
      <c r="S8" s="59">
        <f ca="1">AVERAGE(OFFSET($R$3,0,0,'Données projet'!$E$9+1,1))-AVERAGE(OFFSET($H$3,0,0,'Données projet'!$E$9+1,1))</f>
        <v>422.10969295064359</v>
      </c>
      <c r="T8" s="59">
        <f t="shared" si="34"/>
        <v>184.04075143033037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7.2723529411764707</v>
      </c>
      <c r="AI8" s="13">
        <f>IF('Données projet'!$A$62&gt;35,AI7+AH8-AQ7,IF(A8&lt;'Données projet'!$A$62,$AF$205^A8,IF(A8='Données projet'!$A$62,'Données projet'!$B$62,AI7+AH8-AQ7)))</f>
        <v>4.1241129373989613</v>
      </c>
      <c r="AJ8" s="13">
        <f>AI8*VLOOKUP('Données projet'!$B$10,Paramètres!$A$1:$I$89,3,0)*VLOOKUP('Données projet'!$B$10,Paramètres!$A$1:$I$89,5,0)</f>
        <v>2.4662195365645792</v>
      </c>
      <c r="AK8" s="13">
        <f t="shared" si="35"/>
        <v>1.0231782622078491</v>
      </c>
      <c r="AL8" s="20">
        <f t="shared" si="4"/>
        <v>6.0773678328619782</v>
      </c>
      <c r="AM8" s="59">
        <f t="shared" si="5"/>
        <v>299.41070116619528</v>
      </c>
      <c r="AN8" s="59">
        <f ca="1">AVERAGE(OFFSET($AM$3,0,0,'Données projet'!$E$10+1,1))-AVERAGE(OFFSET($H$3,0,0,'Données projet'!$E$10+1,1))</f>
        <v>213.90220310357444</v>
      </c>
      <c r="AO8" s="59">
        <f t="shared" si="36"/>
        <v>209.61422409790703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6">
        <f t="shared" si="1"/>
        <v>306.1494049109736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4.0942857142857143</v>
      </c>
      <c r="N9" s="13">
        <f>IF('Données projet'!$A$36&gt;35,N8+M9-V8,IF(A9&lt;'Données projet'!$A$36,$K$205^A9,IF(A9='Données projet'!$A$36,'Données projet'!$B$36,N8+M9-V8)))</f>
        <v>24.565714285714286</v>
      </c>
      <c r="O9" s="13">
        <f>N9*VLOOKUP('Données projet'!$B$9,Paramètres!$A$1:$I$89,3,0)*VLOOKUP('Données projet'!$B$9,Paramètres!$A$1:$I$89,5,0)</f>
        <v>22.227058285714286</v>
      </c>
      <c r="P9" s="13">
        <f t="shared" si="33"/>
        <v>7.1393223235836674</v>
      </c>
      <c r="Q9" s="20">
        <f t="shared" si="2"/>
        <v>51.146446227860601</v>
      </c>
      <c r="R9" s="59">
        <f t="shared" si="0"/>
        <v>344.47977956119394</v>
      </c>
      <c r="S9" s="59">
        <f ca="1">AVERAGE(OFFSET($R$3,0,0,'Données projet'!$E$9+1,1))-AVERAGE(OFFSET($H$3,0,0,'Données projet'!$E$9+1,1))</f>
        <v>422.10969295064359</v>
      </c>
      <c r="T9" s="59">
        <f t="shared" si="34"/>
        <v>184.04075143033037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7.2723529411764707</v>
      </c>
      <c r="AI9" s="13">
        <f>IF('Données projet'!$A$62&gt;35,AI8+AH9-AQ8,IF(A9&lt;'Données projet'!$A$62,$AF$205^A9,IF(A9='Données projet'!$A$62,'Données projet'!$B$62,AI8+AH9-AQ8)))</f>
        <v>5.4751580420752548</v>
      </c>
      <c r="AJ9" s="13">
        <f>AI9*VLOOKUP('Données projet'!$B$10,Paramètres!$A$1:$I$89,3,0)*VLOOKUP('Données projet'!$B$10,Paramètres!$A$1:$I$89,5,0)</f>
        <v>3.2741445091610024</v>
      </c>
      <c r="AK9" s="13">
        <f t="shared" si="35"/>
        <v>1.3142939827983047</v>
      </c>
      <c r="AL9" s="20">
        <f t="shared" si="4"/>
        <v>7.9915303734957925</v>
      </c>
      <c r="AM9" s="59">
        <f t="shared" si="5"/>
        <v>301.32486370682909</v>
      </c>
      <c r="AN9" s="59">
        <f ca="1">AVERAGE(OFFSET($AM$3,0,0,'Données projet'!$E$10+1,1))-AVERAGE(OFFSET($H$3,0,0,'Données projet'!$E$10+1,1))</f>
        <v>213.90220310357444</v>
      </c>
      <c r="AO9" s="59">
        <f t="shared" si="36"/>
        <v>209.61422409790703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6">
        <f t="shared" si="1"/>
        <v>308.2123059280633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4.0942857142857143</v>
      </c>
      <c r="N10" s="13">
        <f>IF('Données projet'!$A$36&gt;35,N9+M10-V9,IF(A10&lt;'Données projet'!$A$36,$K$205^A10,IF(A10='Données projet'!$A$36,'Données projet'!$B$36,N9+M10-V9)))</f>
        <v>28.66</v>
      </c>
      <c r="O10" s="13">
        <f>N10*VLOOKUP('Données projet'!$B$9,Paramètres!$A$1:$I$89,3,0)*VLOOKUP('Données projet'!$B$9,Paramètres!$A$1:$I$89,5,0)</f>
        <v>25.931567999999999</v>
      </c>
      <c r="P10" s="13">
        <f t="shared" si="33"/>
        <v>8.1810900516051337</v>
      </c>
      <c r="Q10" s="20">
        <f t="shared" si="2"/>
        <v>59.412879439878935</v>
      </c>
      <c r="R10" s="59">
        <f t="shared" si="0"/>
        <v>352.74621277321228</v>
      </c>
      <c r="S10" s="59">
        <f ca="1">AVERAGE(OFFSET($R$3,0,0,'Données projet'!$E$9+1,1))-AVERAGE(OFFSET($H$3,0,0,'Données projet'!$E$9+1,1))</f>
        <v>422.10969295064359</v>
      </c>
      <c r="T10" s="59">
        <f t="shared" si="34"/>
        <v>184.04075143033037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7.2723529411764707</v>
      </c>
      <c r="AI10" s="13">
        <f>IF('Données projet'!$A$62&gt;35,AI9+AH10-AQ9,IF(A10&lt;'Données projet'!$A$62,$AF$205^A10,IF(A10='Données projet'!$A$62,'Données projet'!$B$62,AI9+AH10-AQ9)))</f>
        <v>7.2688008405045679</v>
      </c>
      <c r="AJ10" s="13">
        <f>AI10*VLOOKUP('Données projet'!$B$10,Paramètres!$A$1:$I$89,3,0)*VLOOKUP('Données projet'!$B$10,Paramètres!$A$1:$I$89,5,0)</f>
        <v>4.3467429026217319</v>
      </c>
      <c r="AK10" s="13">
        <f t="shared" si="35"/>
        <v>1.6882382445190491</v>
      </c>
      <c r="AL10" s="20">
        <f t="shared" si="4"/>
        <v>10.510925497936862</v>
      </c>
      <c r="AM10" s="59">
        <f t="shared" si="5"/>
        <v>303.84425883127017</v>
      </c>
      <c r="AN10" s="59">
        <f ca="1">AVERAGE(OFFSET($AM$3,0,0,'Données projet'!$E$10+1,1))-AVERAGE(OFFSET($H$3,0,0,'Données projet'!$E$10+1,1))</f>
        <v>213.90220310357444</v>
      </c>
      <c r="AO10" s="59">
        <f t="shared" si="36"/>
        <v>209.61422409790703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6">
        <f t="shared" si="1"/>
        <v>310.26669652068324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4.0942857142857143</v>
      </c>
      <c r="N11" s="13">
        <f>IF('Données projet'!$A$36&gt;35,N10+M11-V10,IF(A11&lt;'Données projet'!$A$36,$K$205^A11,IF(A11='Données projet'!$A$36,'Données projet'!$B$36,N10+M11-V10)))</f>
        <v>32.754285714285714</v>
      </c>
      <c r="O11" s="13">
        <f>N11*VLOOKUP('Données projet'!$B$9,Paramètres!$A$1:$I$89,3,0)*VLOOKUP('Données projet'!$B$9,Paramètres!$A$1:$I$89,5,0)</f>
        <v>29.636077714285712</v>
      </c>
      <c r="P11" s="13">
        <f t="shared" si="33"/>
        <v>9.205616053429063</v>
      </c>
      <c r="Q11" s="20">
        <f t="shared" si="2"/>
        <v>67.649283312103222</v>
      </c>
      <c r="R11" s="59">
        <f t="shared" si="0"/>
        <v>360.98261664543656</v>
      </c>
      <c r="S11" s="59">
        <f ca="1">AVERAGE(OFFSET($R$3,0,0,'Données projet'!$E$9+1,1))-AVERAGE(OFFSET($H$3,0,0,'Données projet'!$E$9+1,1))</f>
        <v>422.10969295064359</v>
      </c>
      <c r="T11" s="59">
        <f t="shared" si="34"/>
        <v>184.04075143033037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7.2723529411764707</v>
      </c>
      <c r="AI11" s="13">
        <f>IF('Données projet'!$A$62&gt;35,AI10+AH11-AQ10,IF(A11&lt;'Données projet'!$A$62,$AF$205^A11,IF(A11='Données projet'!$A$62,'Données projet'!$B$62,AI10+AH11-AQ10)))</f>
        <v>9.6500348031768652</v>
      </c>
      <c r="AJ11" s="13">
        <f>AI11*VLOOKUP('Données projet'!$B$10,Paramètres!$A$1:$I$89,3,0)*VLOOKUP('Données projet'!$B$10,Paramètres!$A$1:$I$89,5,0)</f>
        <v>5.770720812299766</v>
      </c>
      <c r="AK11" s="13">
        <f t="shared" si="35"/>
        <v>2.168577508198295</v>
      </c>
      <c r="AL11" s="20">
        <f t="shared" si="4"/>
        <v>13.827611241534122</v>
      </c>
      <c r="AM11" s="59">
        <f t="shared" si="5"/>
        <v>307.16094457486741</v>
      </c>
      <c r="AN11" s="59">
        <f ca="1">AVERAGE(OFFSET($AM$3,0,0,'Données projet'!$E$10+1,1))-AVERAGE(OFFSET($H$3,0,0,'Données projet'!$E$10+1,1))</f>
        <v>213.90220310357444</v>
      </c>
      <c r="AO11" s="59">
        <f t="shared" si="36"/>
        <v>209.61422409790703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6">
        <f t="shared" si="1"/>
        <v>312.31376232494284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4.0942857142857143</v>
      </c>
      <c r="N12" s="13">
        <f>IF('Données projet'!$A$36&gt;35,N11+M12-V11,IF(A12&lt;'Données projet'!$A$36,$K$205^A12,IF(A12='Données projet'!$A$36,'Données projet'!$B$36,N11+M12-V11)))</f>
        <v>36.848571428571432</v>
      </c>
      <c r="O12" s="13">
        <f>N12*VLOOKUP('Données projet'!$B$9,Paramètres!$A$1:$I$89,3,0)*VLOOKUP('Données projet'!$B$9,Paramètres!$A$1:$I$89,5,0)</f>
        <v>33.340587428571432</v>
      </c>
      <c r="P12" s="13">
        <f t="shared" si="33"/>
        <v>10.215302372953809</v>
      </c>
      <c r="Q12" s="20">
        <f t="shared" si="2"/>
        <v>75.85984140432312</v>
      </c>
      <c r="R12" s="59">
        <f t="shared" si="0"/>
        <v>369.19317473765642</v>
      </c>
      <c r="S12" s="59">
        <f ca="1">AVERAGE(OFFSET($R$3,0,0,'Données projet'!$E$9+1,1))-AVERAGE(OFFSET($H$3,0,0,'Données projet'!$E$9+1,1))</f>
        <v>422.10969295064359</v>
      </c>
      <c r="T12" s="59">
        <f t="shared" si="34"/>
        <v>184.04075143033037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7.2723529411764707</v>
      </c>
      <c r="AI12" s="13">
        <f>IF('Données projet'!$A$62&gt;35,AI11+AH12-AQ11,IF(A12&lt;'Données projet'!$A$62,$AF$205^A12,IF(A12='Données projet'!$A$62,'Données projet'!$B$62,AI11+AH12-AQ11)))</f>
        <v>12.811352758986937</v>
      </c>
      <c r="AJ12" s="13">
        <f>AI12*VLOOKUP('Données projet'!$B$10,Paramètres!$A$1:$I$89,3,0)*VLOOKUP('Données projet'!$B$10,Paramètres!$A$1:$I$89,5,0)</f>
        <v>7.6611889498741892</v>
      </c>
      <c r="AK12" s="13">
        <f t="shared" si="35"/>
        <v>2.7855833880858762</v>
      </c>
      <c r="AL12" s="20">
        <f t="shared" si="4"/>
        <v>18.194795155280449</v>
      </c>
      <c r="AM12" s="59">
        <f t="shared" si="5"/>
        <v>311.52812848861379</v>
      </c>
      <c r="AN12" s="59">
        <f ca="1">AVERAGE(OFFSET($AM$3,0,0,'Données projet'!$E$10+1,1))-AVERAGE(OFFSET($H$3,0,0,'Données projet'!$E$10+1,1))</f>
        <v>213.90220310357444</v>
      </c>
      <c r="AO12" s="59">
        <f t="shared" si="36"/>
        <v>209.61422409790703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6">
        <f t="shared" si="1"/>
        <v>314.35441004548358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4.0942857142857143</v>
      </c>
      <c r="N13" s="13">
        <f>IF('Données projet'!$A$36&gt;35,N12+M13-V12,IF(A13&lt;'Données projet'!$A$36,$K$205^A13,IF(A13='Données projet'!$A$36,'Données projet'!$B$36,N12+M13-V12)))</f>
        <v>40.94285714285715</v>
      </c>
      <c r="O13" s="13">
        <f>N13*VLOOKUP('Données projet'!$B$9,Paramètres!$A$1:$I$89,3,0)*VLOOKUP('Données projet'!$B$9,Paramètres!$A$1:$I$89,5,0)</f>
        <v>37.045097142857145</v>
      </c>
      <c r="P13" s="13">
        <f t="shared" si="33"/>
        <v>11.211985951829543</v>
      </c>
      <c r="Q13" s="20">
        <f t="shared" si="2"/>
        <v>84.04775305657931</v>
      </c>
      <c r="R13" s="59">
        <f t="shared" si="0"/>
        <v>377.38108638991264</v>
      </c>
      <c r="S13" s="59">
        <f ca="1">AVERAGE(OFFSET($R$3,0,0,'Données projet'!$E$9+1,1))-AVERAGE(OFFSET($H$3,0,0,'Données projet'!$E$9+1,1))</f>
        <v>422.10969295064359</v>
      </c>
      <c r="T13" s="59">
        <f t="shared" si="34"/>
        <v>184.04075143033037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7.2723529411764707</v>
      </c>
      <c r="AI13" s="13">
        <f>IF('Données projet'!$A$62&gt;35,AI12+AH13-AQ12,IF(A13&lt;'Données projet'!$A$62,$AF$205^A13,IF(A13='Données projet'!$A$62,'Données projet'!$B$62,AI12+AH13-AQ12)))</f>
        <v>17.008307520421493</v>
      </c>
      <c r="AJ13" s="13">
        <f>AI13*VLOOKUP('Données projet'!$B$10,Paramètres!$A$1:$I$89,3,0)*VLOOKUP('Données projet'!$B$10,Paramètres!$A$1:$I$89,5,0)</f>
        <v>10.170967897212053</v>
      </c>
      <c r="AK13" s="13">
        <f t="shared" si="35"/>
        <v>3.5781404089295137</v>
      </c>
      <c r="AL13" s="20">
        <f t="shared" si="4"/>
        <v>23.946363633196558</v>
      </c>
      <c r="AM13" s="59">
        <f t="shared" si="5"/>
        <v>317.27969696652985</v>
      </c>
      <c r="AN13" s="59">
        <f ca="1">AVERAGE(OFFSET($AM$3,0,0,'Données projet'!$E$10+1,1))-AVERAGE(OFFSET($H$3,0,0,'Données projet'!$E$10+1,1))</f>
        <v>213.90220310357444</v>
      </c>
      <c r="AO13" s="59">
        <f t="shared" si="36"/>
        <v>209.61422409790703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6">
        <f t="shared" si="1"/>
        <v>316.3893545523037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4.0942857142857143</v>
      </c>
      <c r="N14" s="13">
        <f>IF('Données projet'!$A$36&gt;35,N13+M14-V13,IF(A14&lt;'Données projet'!$A$36,$K$205^A14,IF(A14='Données projet'!$A$36,'Données projet'!$B$36,N13+M14-V13)))</f>
        <v>45.037142857142868</v>
      </c>
      <c r="O14" s="13">
        <f>N14*VLOOKUP('Données projet'!$B$9,Paramètres!$A$1:$I$89,3,0)*VLOOKUP('Données projet'!$B$9,Paramètres!$A$1:$I$89,5,0)</f>
        <v>40.749606857142865</v>
      </c>
      <c r="P14" s="13">
        <f t="shared" si="33"/>
        <v>12.197115083595657</v>
      </c>
      <c r="Q14" s="20">
        <f t="shared" si="2"/>
        <v>92.215540713452924</v>
      </c>
      <c r="R14" s="59">
        <f t="shared" si="0"/>
        <v>385.54887404678624</v>
      </c>
      <c r="S14" s="59">
        <f ca="1">AVERAGE(OFFSET($R$3,0,0,'Données projet'!$E$9+1,1))-AVERAGE(OFFSET($H$3,0,0,'Données projet'!$E$9+1,1))</f>
        <v>422.10969295064359</v>
      </c>
      <c r="T14" s="59">
        <f t="shared" si="34"/>
        <v>184.04075143033037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7.2723529411764707</v>
      </c>
      <c r="AI14" s="13">
        <f>IF('Données projet'!$A$62&gt;35,AI13+AH14-AQ13,IF(A14&lt;'Données projet'!$A$62,$AF$205^A14,IF(A14='Données projet'!$A$62,'Données projet'!$B$62,AI13+AH14-AQ13)))</f>
        <v>22.580170115626522</v>
      </c>
      <c r="AJ14" s="13">
        <f>AI14*VLOOKUP('Données projet'!$B$10,Paramètres!$A$1:$I$89,3,0)*VLOOKUP('Données projet'!$B$10,Paramètres!$A$1:$I$89,5,0)</f>
        <v>13.502941729144661</v>
      </c>
      <c r="AK14" s="13">
        <f t="shared" si="35"/>
        <v>4.5961965600361916</v>
      </c>
      <c r="AL14" s="20">
        <f t="shared" si="4"/>
        <v>31.522665853656651</v>
      </c>
      <c r="AM14" s="59">
        <f t="shared" si="5"/>
        <v>324.85599918698995</v>
      </c>
      <c r="AN14" s="59">
        <f ca="1">AVERAGE(OFFSET($AM$3,0,0,'Données projet'!$E$10+1,1))-AVERAGE(OFFSET($H$3,0,0,'Données projet'!$E$10+1,1))</f>
        <v>213.90220310357444</v>
      </c>
      <c r="AO14" s="59">
        <f t="shared" si="36"/>
        <v>209.61422409790703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6">
        <f t="shared" si="1"/>
        <v>318.4191732840215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4.0942857142857143</v>
      </c>
      <c r="N15" s="13">
        <f>IF('Données projet'!$A$36&gt;35,N14+M15-V14,IF(A15&lt;'Données projet'!$A$36,$K$205^A15,IF(A15='Données projet'!$A$36,'Données projet'!$B$36,N14+M15-V14)))</f>
        <v>49.131428571428586</v>
      </c>
      <c r="O15" s="13">
        <f>N15*VLOOKUP('Données projet'!$B$9,Paramètres!$A$1:$I$89,3,0)*VLOOKUP('Données projet'!$B$9,Paramètres!$A$1:$I$89,5,0)</f>
        <v>44.454116571428585</v>
      </c>
      <c r="P15" s="13">
        <f t="shared" si="33"/>
        <v>13.17185963217473</v>
      </c>
      <c r="Q15" s="20">
        <f t="shared" si="2"/>
        <v>100.36524188794243</v>
      </c>
      <c r="R15" s="59">
        <f t="shared" si="0"/>
        <v>393.69857522127575</v>
      </c>
      <c r="S15" s="59">
        <f ca="1">AVERAGE(OFFSET($R$3,0,0,'Données projet'!$E$9+1,1))-AVERAGE(OFFSET($H$3,0,0,'Données projet'!$E$9+1,1))</f>
        <v>422.10969295064359</v>
      </c>
      <c r="T15" s="59">
        <f t="shared" si="34"/>
        <v>184.04075143033037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7.2723529411764707</v>
      </c>
      <c r="AI15" s="13">
        <f>IF('Données projet'!$A$62&gt;35,AI14+AH15-AQ14,IF(A15&lt;'Données projet'!$A$62,$AF$205^A15,IF(A15='Données projet'!$A$62,'Données projet'!$B$62,AI14+AH15-AQ14)))</f>
        <v>29.977355585701336</v>
      </c>
      <c r="AJ15" s="13">
        <f>AI15*VLOOKUP('Données projet'!$B$10,Paramètres!$A$1:$I$89,3,0)*VLOOKUP('Données projet'!$B$10,Paramètres!$A$1:$I$89,5,0)</f>
        <v>17.9264586402494</v>
      </c>
      <c r="AK15" s="13">
        <f t="shared" si="35"/>
        <v>5.9039110834693549</v>
      </c>
      <c r="AL15" s="20">
        <f t="shared" si="4"/>
        <v>41.504560602143492</v>
      </c>
      <c r="AM15" s="59">
        <f t="shared" si="5"/>
        <v>334.83789393547681</v>
      </c>
      <c r="AN15" s="59">
        <f ca="1">AVERAGE(OFFSET($AM$3,0,0,'Données projet'!$E$10+1,1))-AVERAGE(OFFSET($H$3,0,0,'Données projet'!$E$10+1,1))</f>
        <v>213.90220310357444</v>
      </c>
      <c r="AO15" s="59">
        <f t="shared" si="36"/>
        <v>209.61422409790703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6">
        <f t="shared" si="1"/>
        <v>320.4443419514879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4.0942857142857143</v>
      </c>
      <c r="N16" s="13">
        <f>IF('Données projet'!$A$36&gt;35,N15+M16-V15,IF(A16&lt;'Données projet'!$A$36,$K$205^A16,IF(A16='Données projet'!$A$36,'Données projet'!$B$36,N15+M16-V15)))</f>
        <v>53.225714285714304</v>
      </c>
      <c r="O16" s="13">
        <f>N16*VLOOKUP('Données projet'!$B$9,Paramètres!$A$1:$I$89,3,0)*VLOOKUP('Données projet'!$B$9,Paramètres!$A$1:$I$89,5,0)</f>
        <v>48.158626285714305</v>
      </c>
      <c r="P16" s="13">
        <f t="shared" si="33"/>
        <v>14.137183365739432</v>
      </c>
      <c r="Q16" s="20">
        <f t="shared" si="2"/>
        <v>108.4985351429486</v>
      </c>
      <c r="R16" s="59">
        <f t="shared" si="0"/>
        <v>401.8318684762819</v>
      </c>
      <c r="S16" s="59">
        <f ca="1">AVERAGE(OFFSET($R$3,0,0,'Données projet'!$E$9+1,1))-AVERAGE(OFFSET($H$3,0,0,'Données projet'!$E$9+1,1))</f>
        <v>422.10969295064359</v>
      </c>
      <c r="T16" s="59">
        <f t="shared" si="34"/>
        <v>184.04075143033037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7.2723529411764707</v>
      </c>
      <c r="AI16" s="13">
        <f>IF('Données projet'!$A$62&gt;35,AI15+AH16-AQ15,IF(A16&lt;'Données projet'!$A$62,$AF$205^A16,IF(A16='Données projet'!$A$62,'Données projet'!$B$62,AI15+AH16-AQ15)))</f>
        <v>39.797833378131948</v>
      </c>
      <c r="AJ16" s="13">
        <f>AI16*VLOOKUP('Données projet'!$B$10,Paramètres!$A$1:$I$89,3,0)*VLOOKUP('Données projet'!$B$10,Paramètres!$A$1:$I$89,5,0)</f>
        <v>23.799104360122907</v>
      </c>
      <c r="AK16" s="13">
        <f t="shared" si="35"/>
        <v>7.583697874147882</v>
      </c>
      <c r="AL16" s="20">
        <f t="shared" si="4"/>
        <v>54.658380558021626</v>
      </c>
      <c r="AM16" s="59">
        <f t="shared" si="5"/>
        <v>347.99171389135495</v>
      </c>
      <c r="AN16" s="59">
        <f ca="1">AVERAGE(OFFSET($AM$3,0,0,'Données projet'!$E$10+1,1))-AVERAGE(OFFSET($H$3,0,0,'Données projet'!$E$10+1,1))</f>
        <v>213.90220310357444</v>
      </c>
      <c r="AO16" s="59">
        <f t="shared" si="36"/>
        <v>209.61422409790703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6">
        <f t="shared" si="1"/>
        <v>322.46525892181711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4.0942857142857143</v>
      </c>
      <c r="N17" s="13">
        <f>IF('Données projet'!$A$36&gt;35,N16+M17-V16,IF(A17&lt;'Données projet'!$A$36,$K$205^A17,IF(A17='Données projet'!$A$36,'Données projet'!$B$36,N16+M17-V16)))</f>
        <v>57.320000000000022</v>
      </c>
      <c r="O17" s="13">
        <f>N17*VLOOKUP('Données projet'!$B$9,Paramètres!$A$1:$I$89,3,0)*VLOOKUP('Données projet'!$B$9,Paramètres!$A$1:$I$89,5,0)</f>
        <v>51.863136000000019</v>
      </c>
      <c r="P17" s="13">
        <f t="shared" si="33"/>
        <v>15.093893357630675</v>
      </c>
      <c r="Q17" s="20">
        <f t="shared" si="2"/>
        <v>116.61682613120678</v>
      </c>
      <c r="R17" s="59">
        <f t="shared" si="0"/>
        <v>409.95015946454009</v>
      </c>
      <c r="S17" s="59">
        <f ca="1">AVERAGE(OFFSET($R$3,0,0,'Données projet'!$E$9+1,1))-AVERAGE(OFFSET($H$3,0,0,'Données projet'!$E$9+1,1))</f>
        <v>422.10969295064359</v>
      </c>
      <c r="T17" s="59">
        <f t="shared" si="34"/>
        <v>184.04075143033037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7.2723529411764707</v>
      </c>
      <c r="AI17" s="13">
        <f>IF('Données projet'!$A$62&gt;35,AI16+AH17-AQ16,IF(A17&lt;'Données projet'!$A$62,$AF$205^A17,IF(A17='Données projet'!$A$62,'Données projet'!$B$62,AI16+AH17-AQ16)))</f>
        <v>52.835465658919915</v>
      </c>
      <c r="AJ17" s="13">
        <f>AI17*VLOOKUP('Données projet'!$B$10,Paramètres!$A$1:$I$89,3,0)*VLOOKUP('Données projet'!$B$10,Paramètres!$A$1:$I$89,5,0)</f>
        <v>31.595608464034111</v>
      </c>
      <c r="AK17" s="13">
        <f t="shared" si="35"/>
        <v>9.7414193122567614</v>
      </c>
      <c r="AL17" s="20">
        <f t="shared" si="4"/>
        <v>71.995323377039924</v>
      </c>
      <c r="AM17" s="59">
        <f t="shared" si="5"/>
        <v>365.32865671037325</v>
      </c>
      <c r="AN17" s="59">
        <f ca="1">AVERAGE(OFFSET($AM$3,0,0,'Données projet'!$E$10+1,1))-AVERAGE(OFFSET($H$3,0,0,'Données projet'!$E$10+1,1))</f>
        <v>213.90220310357444</v>
      </c>
      <c r="AO17" s="59">
        <f t="shared" si="36"/>
        <v>209.61422409790703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6">
        <f t="shared" si="1"/>
        <v>324.48226242776991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4.0942857142857143</v>
      </c>
      <c r="N18" s="13">
        <f>IF('Données projet'!$A$36&gt;35,N17+M18-V17,IF(A18&lt;'Données projet'!$A$36,$K$205^A18,IF(A18='Données projet'!$A$36,'Données projet'!$B$36,N17+M18-V17)))</f>
        <v>61.414285714285739</v>
      </c>
      <c r="O18" s="13">
        <f>N18*VLOOKUP('Données projet'!$B$9,Paramètres!$A$1:$I$89,3,0)*VLOOKUP('Données projet'!$B$9,Paramètres!$A$1:$I$89,5,0)</f>
        <v>55.567645714285739</v>
      </c>
      <c r="P18" s="13">
        <f t="shared" si="33"/>
        <v>16.042674851771864</v>
      </c>
      <c r="Q18" s="20">
        <f t="shared" si="2"/>
        <v>124.72130831921697</v>
      </c>
      <c r="R18" s="59">
        <f t="shared" si="0"/>
        <v>418.05464165255029</v>
      </c>
      <c r="S18" s="59">
        <f ca="1">AVERAGE(OFFSET($R$3,0,0,'Données projet'!$E$9+1,1))-AVERAGE(OFFSET($H$3,0,0,'Données projet'!$E$9+1,1))</f>
        <v>422.10969295064359</v>
      </c>
      <c r="T18" s="59">
        <f t="shared" si="34"/>
        <v>184.04075143033037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7.2723529411764707</v>
      </c>
      <c r="AI18" s="13">
        <f>IF('Données projet'!$A$62&gt;35,AI17+AH18-AQ17,IF(A18&lt;'Données projet'!$A$62,$AF$205^A18,IF(A18='Données projet'!$A$62,'Données projet'!$B$62,AI17+AH18-AQ17)))</f>
        <v>70.144181088230326</v>
      </c>
      <c r="AJ18" s="13">
        <f>AI18*VLOOKUP('Données projet'!$B$10,Paramètres!$A$1:$I$89,3,0)*VLOOKUP('Données projet'!$B$10,Paramètres!$A$1:$I$89,5,0)</f>
        <v>41.946220290761737</v>
      </c>
      <c r="AK18" s="13">
        <f t="shared" si="35"/>
        <v>12.51305785014169</v>
      </c>
      <c r="AL18" s="20">
        <f t="shared" si="4"/>
        <v>94.849909428740133</v>
      </c>
      <c r="AM18" s="59">
        <f t="shared" si="5"/>
        <v>388.18324276207346</v>
      </c>
      <c r="AN18" s="59">
        <f ca="1">AVERAGE(OFFSET($AM$3,0,0,'Données projet'!$E$10+1,1))-AVERAGE(OFFSET($H$3,0,0,'Données projet'!$E$10+1,1))</f>
        <v>213.90220310357444</v>
      </c>
      <c r="AO18" s="59">
        <f t="shared" si="36"/>
        <v>209.61422409790703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6">
        <f t="shared" si="1"/>
        <v>326.49564305302061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4.0942857142857143</v>
      </c>
      <c r="N19" s="13">
        <f>IF('Données projet'!$A$36&gt;35,N18+M19-V18,IF(A19&lt;'Données projet'!$A$36,$K$205^A19,IF(A19='Données projet'!$A$36,'Données projet'!$B$36,N18+M19-V18)))</f>
        <v>65.508571428571457</v>
      </c>
      <c r="O19" s="13">
        <f>N19*VLOOKUP('Données projet'!$B$9,Paramètres!$A$1:$I$89,3,0)*VLOOKUP('Données projet'!$B$9,Paramètres!$A$1:$I$89,5,0)</f>
        <v>59.272155428571445</v>
      </c>
      <c r="P19" s="13">
        <f t="shared" si="33"/>
        <v>16.984116557241595</v>
      </c>
      <c r="Q19" s="20">
        <f t="shared" si="2"/>
        <v>132.81300704195772</v>
      </c>
      <c r="R19" s="59">
        <f t="shared" si="0"/>
        <v>426.14634037529106</v>
      </c>
      <c r="S19" s="59">
        <f ca="1">AVERAGE(OFFSET($R$3,0,0,'Données projet'!$E$9+1,1))-AVERAGE(OFFSET($H$3,0,0,'Données projet'!$E$9+1,1))</f>
        <v>422.10969295064359</v>
      </c>
      <c r="T19" s="59">
        <f t="shared" si="34"/>
        <v>184.04075143033037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7.2723529411764707</v>
      </c>
      <c r="AI19" s="13">
        <f>IF('Données projet'!$A$62&gt;35,AI18+AH19-AQ18,IF(A19&lt;'Données projet'!$A$62,$AF$205^A19,IF(A19='Données projet'!$A$62,'Données projet'!$B$62,AI18+AH19-AQ18)))</f>
        <v>93.123171702524758</v>
      </c>
      <c r="AJ19" s="13">
        <f>AI19*VLOOKUP('Données projet'!$B$10,Paramètres!$A$1:$I$89,3,0)*VLOOKUP('Données projet'!$B$10,Paramètres!$A$1:$I$89,5,0)</f>
        <v>55.687656678109811</v>
      </c>
      <c r="AK19" s="13">
        <f t="shared" si="35"/>
        <v>16.073285805897523</v>
      </c>
      <c r="AL19" s="20">
        <f t="shared" si="4"/>
        <v>124.98364149297942</v>
      </c>
      <c r="AM19" s="59">
        <f t="shared" si="5"/>
        <v>418.31697482631273</v>
      </c>
      <c r="AN19" s="59">
        <f ca="1">AVERAGE(OFFSET($AM$3,0,0,'Données projet'!$E$10+1,1))-AVERAGE(OFFSET($H$3,0,0,'Données projet'!$E$10+1,1))</f>
        <v>213.90220310357444</v>
      </c>
      <c r="AO19" s="59">
        <f t="shared" si="36"/>
        <v>209.61422409790703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6">
        <f t="shared" si="1"/>
        <v>328.50565300530388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4.0942857142857143</v>
      </c>
      <c r="N20" s="13">
        <f>IF('Données projet'!$A$36&gt;35,N19+M20-V19,IF(A20&lt;'Données projet'!$A$36,$K$205^A20,IF(A20='Données projet'!$A$36,'Données projet'!$B$36,N19+M20-V19)))</f>
        <v>69.602857142857175</v>
      </c>
      <c r="O20" s="13">
        <f>N20*VLOOKUP('Données projet'!$B$9,Paramètres!$A$1:$I$89,3,0)*VLOOKUP('Données projet'!$B$9,Paramètres!$A$1:$I$89,5,0)</f>
        <v>62.976665142857165</v>
      </c>
      <c r="P20" s="13">
        <f t="shared" si="33"/>
        <v>17.918729435240664</v>
      </c>
      <c r="Q20" s="20">
        <f t="shared" si="2"/>
        <v>140.89281222352039</v>
      </c>
      <c r="R20" s="59">
        <f t="shared" si="0"/>
        <v>434.22614555685368</v>
      </c>
      <c r="S20" s="59">
        <f ca="1">AVERAGE(OFFSET($R$3,0,0,'Données projet'!$E$9+1,1))-AVERAGE(OFFSET($H$3,0,0,'Données projet'!$E$9+1,1))</f>
        <v>422.10969295064359</v>
      </c>
      <c r="T20" s="59">
        <f t="shared" si="34"/>
        <v>184.04075143033037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>
        <f>VLOOKUP(A20,'Données projet'!$A$61:$I$81,2,0)</f>
        <v>123.63</v>
      </c>
      <c r="AG20" s="12">
        <f>VLOOKUP(A20,'Données projet'!$A$61:$I$81,9,0)</f>
        <v>7.2723529411764707</v>
      </c>
      <c r="AH20" s="12">
        <f t="array" ref="AH20">INDEX(AG:AG,MIN(IF(ISNUMBER(AG20:AG216),ROW(AG20:AG216),"")))</f>
        <v>7.2723529411764707</v>
      </c>
      <c r="AI20" s="13">
        <f>IF('Données projet'!$A$62&gt;35,AI19+AH20-AQ19,IF(A20&lt;'Données projet'!$A$62,$AF$205^A20,IF(A20='Données projet'!$A$62,'Données projet'!$B$62,AI19+AH20-AQ19)))</f>
        <v>123.63</v>
      </c>
      <c r="AJ20" s="13">
        <f>AI20*VLOOKUP('Données projet'!$B$10,Paramètres!$A$1:$I$89,3,0)*VLOOKUP('Données projet'!$B$10,Paramètres!$A$1:$I$89,5,0)</f>
        <v>73.93074</v>
      </c>
      <c r="AK20" s="13">
        <f t="shared" si="35"/>
        <v>20.646473443351134</v>
      </c>
      <c r="AL20" s="20">
        <f t="shared" si="4"/>
        <v>164.72198008050322</v>
      </c>
      <c r="AM20" s="59">
        <f t="shared" si="5"/>
        <v>458.05531341383653</v>
      </c>
      <c r="AN20" s="59">
        <f ca="1">AVERAGE(OFFSET($AM$3,0,0,'Données projet'!$E$10+1,1))-AVERAGE(OFFSET($H$3,0,0,'Données projet'!$E$10+1,1))</f>
        <v>213.90220310357444</v>
      </c>
      <c r="AO20" s="59">
        <f t="shared" si="36"/>
        <v>209.61422409790703</v>
      </c>
      <c r="AP20" s="15">
        <f>IF(ISNA(VLOOKUP(A20,'Données projet'!$A$61:$I$81,3,0)),0,VLOOKUP(A20,'Données projet'!$A$61:$I$81,3,0))</f>
        <v>1</v>
      </c>
      <c r="AQ20" s="15">
        <f>IF(ISNA(VLOOKUP(A20,'Données projet'!$A$61:$I$81,4,0)),0,VLOOKUP(A20,'Données projet'!$A$61:$I$81,4,0))</f>
        <v>41.179999999999993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0.22500000000000001</v>
      </c>
      <c r="AT20" s="16">
        <f>IF(ISNA(VLOOKUP(A20,'Données projet'!$A$61:$I$81,7,0)),0%,VLOOKUP(A20,'Données projet'!$A$61:$I$81,7,0))</f>
        <v>0.5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7.3212467235098906</v>
      </c>
      <c r="AW20" s="21">
        <f>EXP(-LN(2)/2)*AW19+(1-EXP(-LN(2)/2))/(LN(2)/2)*AQ20*AT20*VLOOKUP('Données projet'!$B$10,Paramètres!$A$1:$I$89,3,0)*0.475*44/12</f>
        <v>13.940972477629819</v>
      </c>
      <c r="AX20" s="21">
        <f t="shared" si="6"/>
        <v>21.262219201139708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6">
        <f t="shared" si="1"/>
        <v>330.51251314469152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4.0942857142857143</v>
      </c>
      <c r="N21" s="13">
        <f>IF('Données projet'!$A$36&gt;35,N20+M21-V20,IF(A21&lt;'Données projet'!$A$36,$K$205^A21,IF(A21='Données projet'!$A$36,'Données projet'!$B$36,N20+M21-V20)))</f>
        <v>73.697142857142893</v>
      </c>
      <c r="O21" s="13">
        <f>N21*VLOOKUP('Données projet'!$B$9,Paramètres!$A$1:$I$89,3,0)*VLOOKUP('Données projet'!$B$9,Paramètres!$A$1:$I$89,5,0)</f>
        <v>66.681174857142892</v>
      </c>
      <c r="P21" s="13">
        <f t="shared" si="33"/>
        <v>18.846960938055496</v>
      </c>
      <c r="Q21" s="20">
        <f t="shared" si="2"/>
        <v>148.96150317663719</v>
      </c>
      <c r="R21" s="59">
        <f t="shared" si="0"/>
        <v>442.29483650997054</v>
      </c>
      <c r="S21" s="59">
        <f ca="1">AVERAGE(OFFSET($R$3,0,0,'Données projet'!$E$9+1,1))-AVERAGE(OFFSET($H$3,0,0,'Données projet'!$E$9+1,1))</f>
        <v>422.10969295064359</v>
      </c>
      <c r="T21" s="59">
        <f t="shared" si="34"/>
        <v>184.04075143033037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17.793333333333333</v>
      </c>
      <c r="AI21" s="13">
        <f>IF('Données projet'!$A$62&gt;35,AI20+AH21-AQ20,IF(A21&lt;'Données projet'!$A$62,$AF$205^A21,IF(A21='Données projet'!$A$62,'Données projet'!$B$62,AI20+AH21-AQ20)))</f>
        <v>100.24333333333333</v>
      </c>
      <c r="AJ21" s="13">
        <f>AI21*VLOOKUP('Données projet'!$B$10,Paramètres!$A$1:$I$89,3,0)*VLOOKUP('Données projet'!$B$10,Paramètres!$A$1:$I$89,5,0)</f>
        <v>59.945513333333338</v>
      </c>
      <c r="AK21" s="13">
        <f t="shared" si="35"/>
        <v>17.15449234531231</v>
      </c>
      <c r="AL21" s="20">
        <f t="shared" si="4"/>
        <v>134.28250989030781</v>
      </c>
      <c r="AM21" s="59">
        <f t="shared" si="5"/>
        <v>427.61584322364115</v>
      </c>
      <c r="AN21" s="59">
        <f ca="1">AVERAGE(OFFSET($AM$3,0,0,'Données projet'!$E$10+1,1))-AVERAGE(OFFSET($H$3,0,0,'Données projet'!$E$10+1,1))</f>
        <v>213.90220310357444</v>
      </c>
      <c r="AO21" s="59">
        <f t="shared" si="36"/>
        <v>209.61422409790703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7.1210468468478805</v>
      </c>
      <c r="AW21" s="21">
        <f>EXP(-LN(2)/2)*AW20+(1-EXP(-LN(2)/2))/(LN(2)/2)*AQ21*AT21*VLOOKUP('Données projet'!$B$10,Paramètres!$A$1:$I$89,3,0)*0.475*44/12</f>
        <v>9.8577561752670704</v>
      </c>
      <c r="AX21" s="21">
        <f t="shared" si="6"/>
        <v>16.978803022114953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6">
        <f t="shared" si="1"/>
        <v>332.51641840525372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4.0942857142857143</v>
      </c>
      <c r="N22" s="13">
        <f>IF('Données projet'!$A$36&gt;35,N21+M22-V21,IF(A22&lt;'Données projet'!$A$36,$K$205^A22,IF(A22='Données projet'!$A$36,'Données projet'!$B$36,N21+M22-V21)))</f>
        <v>77.791428571428611</v>
      </c>
      <c r="O22" s="13">
        <f>N22*VLOOKUP('Données projet'!$B$9,Paramètres!$A$1:$I$89,3,0)*VLOOKUP('Données projet'!$B$9,Paramètres!$A$1:$I$89,5,0)</f>
        <v>70.385684571428612</v>
      </c>
      <c r="P22" s="13">
        <f t="shared" si="33"/>
        <v>19.769205993092573</v>
      </c>
      <c r="Q22" s="20">
        <f t="shared" si="2"/>
        <v>157.01976773320771</v>
      </c>
      <c r="R22" s="59">
        <f t="shared" si="0"/>
        <v>450.35310106654106</v>
      </c>
      <c r="S22" s="59">
        <f ca="1">AVERAGE(OFFSET($R$3,0,0,'Données projet'!$E$9+1,1))-AVERAGE(OFFSET($H$3,0,0,'Données projet'!$E$9+1,1))</f>
        <v>422.10969295064359</v>
      </c>
      <c r="T22" s="59">
        <f t="shared" si="34"/>
        <v>184.04075143033037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17.793333333333333</v>
      </c>
      <c r="AI22" s="13">
        <f>IF('Données projet'!$A$62&gt;35,AI21+AH22-AQ21,IF(A22&lt;'Données projet'!$A$62,$AF$205^A22,IF(A22='Données projet'!$A$62,'Données projet'!$B$62,AI21+AH22-AQ21)))</f>
        <v>118.03666666666666</v>
      </c>
      <c r="AJ22" s="13">
        <f>AI22*VLOOKUP('Données projet'!$B$10,Paramètres!$A$1:$I$89,3,0)*VLOOKUP('Données projet'!$B$10,Paramètres!$A$1:$I$89,5,0)</f>
        <v>70.585926666666666</v>
      </c>
      <c r="AK22" s="13">
        <f t="shared" si="35"/>
        <v>19.818893148924182</v>
      </c>
      <c r="AL22" s="20">
        <f t="shared" si="4"/>
        <v>157.45506117882073</v>
      </c>
      <c r="AM22" s="59">
        <f t="shared" si="5"/>
        <v>450.78839451215401</v>
      </c>
      <c r="AN22" s="59">
        <f ca="1">AVERAGE(OFFSET($AM$3,0,0,'Données projet'!$E$10+1,1))-AVERAGE(OFFSET($H$3,0,0,'Données projet'!$E$10+1,1))</f>
        <v>213.90220310357444</v>
      </c>
      <c r="AO22" s="59">
        <f t="shared" si="36"/>
        <v>209.61422409790703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6.9263214463412472</v>
      </c>
      <c r="AW22" s="21">
        <f>EXP(-LN(2)/2)*AW21+(1-EXP(-LN(2)/2))/(LN(2)/2)*AQ22*AT22*VLOOKUP('Données projet'!$B$10,Paramètres!$A$1:$I$89,3,0)*0.475*44/12</f>
        <v>6.9704862388149103</v>
      </c>
      <c r="AX22" s="21">
        <f t="shared" si="6"/>
        <v>13.896807685156158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6">
        <f t="shared" si="1"/>
        <v>334.51754204275585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4.0942857142857143</v>
      </c>
      <c r="N23" s="13">
        <f>IF('Données projet'!$A$36&gt;35,N22+M23-V22,IF(A23&lt;'Données projet'!$A$36,$K$205^A23,IF(A23='Données projet'!$A$36,'Données projet'!$B$36,N22+M23-V22)))</f>
        <v>81.885714285714329</v>
      </c>
      <c r="O23" s="13">
        <f>N23*VLOOKUP('Données projet'!$B$9,Paramètres!$A$1:$I$89,3,0)*VLOOKUP('Données projet'!$B$9,Paramètres!$A$1:$I$89,5,0)</f>
        <v>74.090194285714318</v>
      </c>
      <c r="P23" s="13">
        <f t="shared" si="33"/>
        <v>20.685815608516002</v>
      </c>
      <c r="Q23" s="20">
        <f t="shared" si="2"/>
        <v>165.06821723245113</v>
      </c>
      <c r="R23" s="59">
        <f t="shared" si="0"/>
        <v>458.40155056578442</v>
      </c>
      <c r="S23" s="59">
        <f ca="1">AVERAGE(OFFSET($R$3,0,0,'Données projet'!$E$9+1,1))-AVERAGE(OFFSET($H$3,0,0,'Données projet'!$E$9+1,1))</f>
        <v>422.10969295064359</v>
      </c>
      <c r="T23" s="59">
        <f t="shared" si="34"/>
        <v>184.04075143033037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17.793333333333333</v>
      </c>
      <c r="AI23" s="13">
        <f>IF('Données projet'!$A$62&gt;35,AI22+AH23-AQ22,IF(A23&lt;'Données projet'!$A$62,$AF$205^A23,IF(A23='Données projet'!$A$62,'Données projet'!$B$62,AI22+AH23-AQ22)))</f>
        <v>135.82999999999998</v>
      </c>
      <c r="AJ23" s="13">
        <f>AI23*VLOOKUP('Données projet'!$B$10,Paramètres!$A$1:$I$89,3,0)*VLOOKUP('Données projet'!$B$10,Paramètres!$A$1:$I$89,5,0)</f>
        <v>81.226339999999993</v>
      </c>
      <c r="AK23" s="13">
        <f t="shared" si="35"/>
        <v>22.43676463604092</v>
      </c>
      <c r="AL23" s="20">
        <f t="shared" si="4"/>
        <v>180.54657390777126</v>
      </c>
      <c r="AM23" s="59">
        <f t="shared" si="5"/>
        <v>473.87990724110455</v>
      </c>
      <c r="AN23" s="59">
        <f ca="1">AVERAGE(OFFSET($AM$3,0,0,'Données projet'!$E$10+1,1))-AVERAGE(OFFSET($H$3,0,0,'Données projet'!$E$10+1,1))</f>
        <v>213.90220310357444</v>
      </c>
      <c r="AO23" s="59">
        <f t="shared" si="36"/>
        <v>209.61422409790703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6.7369208221516317</v>
      </c>
      <c r="AW23" s="21">
        <f>EXP(-LN(2)/2)*AW22+(1-EXP(-LN(2)/2))/(LN(2)/2)*AQ23*AT23*VLOOKUP('Données projet'!$B$10,Paramètres!$A$1:$I$89,3,0)*0.475*44/12</f>
        <v>4.9288780876335361</v>
      </c>
      <c r="AX23" s="21">
        <f t="shared" si="6"/>
        <v>11.665798909785167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6">
        <f t="shared" si="1"/>
        <v>336.51603900867377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4.0942857142857143</v>
      </c>
      <c r="N24" s="13">
        <f>IF('Données projet'!$A$36&gt;35,N23+M24-V23,IF(A24&lt;'Données projet'!$A$36,$K$205^A24,IF(A24='Données projet'!$A$36,'Données projet'!$B$36,N23+M24-V23)))</f>
        <v>85.980000000000047</v>
      </c>
      <c r="O24" s="13">
        <f>N24*VLOOKUP('Données projet'!$B$9,Paramètres!$A$1:$I$89,3,0)*VLOOKUP('Données projet'!$B$9,Paramètres!$A$1:$I$89,5,0)</f>
        <v>77.794704000000038</v>
      </c>
      <c r="P24" s="13">
        <f t="shared" si="33"/>
        <v>21.597103708846074</v>
      </c>
      <c r="Q24" s="20">
        <f t="shared" si="2"/>
        <v>173.10739842624028</v>
      </c>
      <c r="R24" s="59">
        <f t="shared" si="0"/>
        <v>466.44073175957362</v>
      </c>
      <c r="S24" s="59">
        <f ca="1">AVERAGE(OFFSET($R$3,0,0,'Données projet'!$E$9+1,1))-AVERAGE(OFFSET($H$3,0,0,'Données projet'!$E$9+1,1))</f>
        <v>422.10969295064359</v>
      </c>
      <c r="T24" s="59">
        <f t="shared" si="34"/>
        <v>184.04075143033037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17.793333333333333</v>
      </c>
      <c r="AI24" s="13">
        <f>IF('Données projet'!$A$62&gt;35,AI23+AH24-AQ23,IF(A24&lt;'Données projet'!$A$62,$AF$205^A24,IF(A24='Données projet'!$A$62,'Données projet'!$B$62,AI23+AH24-AQ23)))</f>
        <v>153.62333333333331</v>
      </c>
      <c r="AJ24" s="13">
        <f>AI24*VLOOKUP('Données projet'!$B$10,Paramètres!$A$1:$I$89,3,0)*VLOOKUP('Données projet'!$B$10,Paramètres!$A$1:$I$89,5,0)</f>
        <v>91.866753333333321</v>
      </c>
      <c r="AK24" s="13">
        <f t="shared" si="35"/>
        <v>25.014901610216608</v>
      </c>
      <c r="AL24" s="20">
        <f t="shared" si="4"/>
        <v>203.56888236001612</v>
      </c>
      <c r="AM24" s="59">
        <f t="shared" si="5"/>
        <v>496.90221569334943</v>
      </c>
      <c r="AN24" s="59">
        <f ca="1">AVERAGE(OFFSET($AM$3,0,0,'Données projet'!$E$10+1,1))-AVERAGE(OFFSET($H$3,0,0,'Données projet'!$E$10+1,1))</f>
        <v>213.90220310357444</v>
      </c>
      <c r="AO24" s="59">
        <f t="shared" si="36"/>
        <v>209.61422409790703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6.5526993679906269</v>
      </c>
      <c r="AW24" s="21">
        <f>EXP(-LN(2)/2)*AW23+(1-EXP(-LN(2)/2))/(LN(2)/2)*AQ24*AT24*VLOOKUP('Données projet'!$B$10,Paramètres!$A$1:$I$89,3,0)*0.475*44/12</f>
        <v>3.485243119407456</v>
      </c>
      <c r="AX24" s="21">
        <f t="shared" si="6"/>
        <v>10.037942487398084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6">
        <f t="shared" si="1"/>
        <v>338.51204866333012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4.0942857142857143</v>
      </c>
      <c r="N25" s="13">
        <f>IF('Données projet'!$A$36&gt;35,N24+M25-V24,IF(A25&lt;'Données projet'!$A$36,$K$205^A25,IF(A25='Données projet'!$A$36,'Données projet'!$B$36,N24+M25-V24)))</f>
        <v>90.074285714285764</v>
      </c>
      <c r="O25" s="13">
        <f>N25*VLOOKUP('Données projet'!$B$9,Paramètres!$A$1:$I$89,3,0)*VLOOKUP('Données projet'!$B$9,Paramètres!$A$1:$I$89,5,0)</f>
        <v>81.499213714285759</v>
      </c>
      <c r="P25" s="13">
        <f t="shared" si="33"/>
        <v>22.503352631648468</v>
      </c>
      <c r="Q25" s="20">
        <f t="shared" si="2"/>
        <v>181.13780305250211</v>
      </c>
      <c r="R25" s="59">
        <f t="shared" si="0"/>
        <v>474.47113638583539</v>
      </c>
      <c r="S25" s="59">
        <f ca="1">AVERAGE(OFFSET($R$3,0,0,'Données projet'!$E$9+1,1))-AVERAGE(OFFSET($H$3,0,0,'Données projet'!$E$9+1,1))</f>
        <v>422.10969295064359</v>
      </c>
      <c r="T25" s="59">
        <f t="shared" si="34"/>
        <v>184.04075143033037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17.793333333333333</v>
      </c>
      <c r="AI25" s="13">
        <f>IF('Données projet'!$A$62&gt;35,AI24+AH25-AQ24,IF(A25&lt;'Données projet'!$A$62,$AF$205^A25,IF(A25='Données projet'!$A$62,'Données projet'!$B$62,AI24+AH25-AQ24)))</f>
        <v>171.41666666666663</v>
      </c>
      <c r="AJ25" s="13">
        <f>AI25*VLOOKUP('Données projet'!$B$10,Paramètres!$A$1:$I$89,3,0)*VLOOKUP('Données projet'!$B$10,Paramètres!$A$1:$I$89,5,0)</f>
        <v>102.50716666666666</v>
      </c>
      <c r="AK25" s="13">
        <f t="shared" si="35"/>
        <v>27.558431899391174</v>
      </c>
      <c r="AL25" s="20">
        <f t="shared" si="4"/>
        <v>226.53091750255075</v>
      </c>
      <c r="AM25" s="59">
        <f t="shared" si="5"/>
        <v>519.86425083588404</v>
      </c>
      <c r="AN25" s="59">
        <f ca="1">AVERAGE(OFFSET($AM$3,0,0,'Données projet'!$E$10+1,1))-AVERAGE(OFFSET($H$3,0,0,'Données projet'!$E$10+1,1))</f>
        <v>213.90220310357444</v>
      </c>
      <c r="AO25" s="59">
        <f t="shared" si="36"/>
        <v>209.61422409790703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6.3735154591814398</v>
      </c>
      <c r="AW25" s="21">
        <f>EXP(-LN(2)/2)*AW24+(1-EXP(-LN(2)/2))/(LN(2)/2)*AQ25*AT25*VLOOKUP('Données projet'!$B$10,Paramètres!$A$1:$I$89,3,0)*0.475*44/12</f>
        <v>2.4644390438167685</v>
      </c>
      <c r="AX25" s="21">
        <f t="shared" si="6"/>
        <v>8.8379545029982083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6">
        <f t="shared" si="1"/>
        <v>340.5056969817893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4.0942857142857143</v>
      </c>
      <c r="N26" s="13">
        <f>IF('Données projet'!$A$36&gt;35,N25+M26-V25,IF(A26&lt;'Données projet'!$A$36,$K$205^A26,IF(A26='Données projet'!$A$36,'Données projet'!$B$36,N25+M26-V25)))</f>
        <v>94.168571428571482</v>
      </c>
      <c r="O26" s="13">
        <f>N26*VLOOKUP('Données projet'!$B$9,Paramètres!$A$1:$I$89,3,0)*VLOOKUP('Données projet'!$B$9,Paramètres!$A$1:$I$89,5,0)</f>
        <v>85.203723428571479</v>
      </c>
      <c r="P26" s="13">
        <f t="shared" si="33"/>
        <v>23.404817596574706</v>
      </c>
      <c r="Q26" s="20">
        <f t="shared" si="2"/>
        <v>189.15987561879626</v>
      </c>
      <c r="R26" s="59">
        <f t="shared" si="0"/>
        <v>482.49320895212958</v>
      </c>
      <c r="S26" s="59">
        <f ca="1">AVERAGE(OFFSET($R$3,0,0,'Données projet'!$E$9+1,1))-AVERAGE(OFFSET($H$3,0,0,'Données projet'!$E$9+1,1))</f>
        <v>422.10969295064359</v>
      </c>
      <c r="T26" s="59">
        <f t="shared" si="34"/>
        <v>184.04075143033037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>
        <f>VLOOKUP(A26,'Données projet'!$A$61:$I$81,2,0)</f>
        <v>189.21</v>
      </c>
      <c r="AG26" s="12">
        <f>VLOOKUP(A26,'Données projet'!$A$61:$I$81,9,0)</f>
        <v>17.793333333333333</v>
      </c>
      <c r="AH26" s="12">
        <f t="array" ref="AH26">INDEX(AG:AG,MIN(IF(ISNUMBER(AG26:AG222),ROW(AG26:AG222),"")))</f>
        <v>17.793333333333333</v>
      </c>
      <c r="AI26" s="13">
        <f>IF('Données projet'!$A$62&gt;35,AI25+AH26-AQ25,IF(A26&lt;'Données projet'!$A$62,$AF$205^A26,IF(A26='Données projet'!$A$62,'Données projet'!$B$62,AI25+AH26-AQ25)))</f>
        <v>189.20999999999995</v>
      </c>
      <c r="AJ26" s="13">
        <f>AI26*VLOOKUP('Données projet'!$B$10,Paramètres!$A$1:$I$89,3,0)*VLOOKUP('Données projet'!$B$10,Paramètres!$A$1:$I$89,5,0)</f>
        <v>113.14757999999998</v>
      </c>
      <c r="AK26" s="13">
        <f t="shared" si="35"/>
        <v>30.071356907423628</v>
      </c>
      <c r="AL26" s="20">
        <f t="shared" si="4"/>
        <v>249.43964844709606</v>
      </c>
      <c r="AM26" s="59">
        <f t="shared" si="5"/>
        <v>542.7729817804294</v>
      </c>
      <c r="AN26" s="59">
        <f ca="1">AVERAGE(OFFSET($AM$3,0,0,'Données projet'!$E$10+1,1))-AVERAGE(OFFSET($H$3,0,0,'Données projet'!$E$10+1,1))</f>
        <v>213.90220310357444</v>
      </c>
      <c r="AO26" s="59">
        <f t="shared" si="36"/>
        <v>209.61422409790703</v>
      </c>
      <c r="AP26" s="15">
        <f>IF(ISNA(VLOOKUP(A26,'Données projet'!$A$61:$I$81,3,0)),0,VLOOKUP(A26,'Données projet'!$A$61:$I$81,3,0))</f>
        <v>2</v>
      </c>
      <c r="AQ26" s="15">
        <f>IF(ISNA(VLOOKUP(A26,'Données projet'!$A$61:$I$81,4,0)),0,VLOOKUP(A26,'Données projet'!$A$61:$I$81,4,0))</f>
        <v>58.370000000000005</v>
      </c>
      <c r="AR26" s="16">
        <f>IF(ISNA(VLOOKUP(A26,'Données projet'!$A$61:$I$81,5,0)),0%,VLOOKUP(A26,'Données projet'!$A$61:$I$81,5,0)*VLOOKUP('Données projet'!$B$10,Paramètres!$A$1:$I$89,7,0))</f>
        <v>0.1125</v>
      </c>
      <c r="AS26" s="16">
        <f>IF(ISNA(VLOOKUP(A26,'Données projet'!$A$61:$I$81,6,0)),0%,VLOOKUP(A26,'Données projet'!$A$61:$I$81,6,0)*VLOOKUP('Données projet'!$B$10,Paramètres!$A$1:$I$89,7,0))</f>
        <v>0.16650000000000001</v>
      </c>
      <c r="AT26" s="16">
        <f>IF(ISNA(VLOOKUP(A26,'Données projet'!$A$61:$I$81,7,0)),0%,VLOOKUP(A26,'Données projet'!$A$61:$I$81,7,0))</f>
        <v>0.38</v>
      </c>
      <c r="AU26" s="21">
        <f>EXP(-LN(2)/35)*AU25+(1-EXP(-LN(2)/35))/(LN(2)/35)*AQ26*AR26*VLOOKUP('Données projet'!$B$10,Paramètres!$A$1:$I$89,3,0)*0.475*44/12</f>
        <v>5.2092086876860018</v>
      </c>
      <c r="AV26" s="21">
        <f>EXP(-LN(2)/25)*AV25+(1-EXP(-LN(2)/25))/(LN(2)/25)*Calculateur!AQ26*Calculateur!AS26*VLOOKUP('Données projet'!$B$10,Paramètres!$A$1:$I$89,3,0)*0.475*44/12</f>
        <v>13.878504455144835</v>
      </c>
      <c r="AW26" s="21">
        <f>EXP(-LN(2)/2)*AW25+(1-EXP(-LN(2)/2))/(LN(2)/2)*AQ26*AT26*VLOOKUP('Données projet'!$B$10,Paramètres!$A$1:$I$89,3,0)*0.475*44/12</f>
        <v>16.760549395416017</v>
      </c>
      <c r="AX26" s="21">
        <f t="shared" si="6"/>
        <v>35.848262538246857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6">
        <f t="shared" si="1"/>
        <v>342.49709836529308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4.0942857142857143</v>
      </c>
      <c r="N27" s="13">
        <f>IF('Données projet'!$A$36&gt;35,N26+M27-V26,IF(A27&lt;'Données projet'!$A$36,$K$205^A27,IF(A27='Données projet'!$A$36,'Données projet'!$B$36,N26+M27-V26)))</f>
        <v>98.2628571428572</v>
      </c>
      <c r="O27" s="13">
        <f>N27*VLOOKUP('Données projet'!$B$9,Paramètres!$A$1:$I$89,3,0)*VLOOKUP('Données projet'!$B$9,Paramètres!$A$1:$I$89,5,0)</f>
        <v>88.908233142857185</v>
      </c>
      <c r="P27" s="13">
        <f t="shared" si="33"/>
        <v>24.301730375247274</v>
      </c>
      <c r="Q27" s="20">
        <f t="shared" si="2"/>
        <v>197.17401979403192</v>
      </c>
      <c r="R27" s="59">
        <f t="shared" si="0"/>
        <v>490.50735312736526</v>
      </c>
      <c r="S27" s="59">
        <f ca="1">AVERAGE(OFFSET($R$3,0,0,'Données projet'!$E$9+1,1))-AVERAGE(OFFSET($H$3,0,0,'Données projet'!$E$9+1,1))</f>
        <v>422.10969295064359</v>
      </c>
      <c r="T27" s="59">
        <f t="shared" si="34"/>
        <v>184.04075143033037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18.678333333333331</v>
      </c>
      <c r="AI27" s="13">
        <f>IF('Données projet'!$A$62&gt;35,AI26+AH27-AQ26,IF(A27&lt;'Données projet'!$A$62,$AF$205^A27,IF(A27='Données projet'!$A$62,'Données projet'!$B$62,AI26+AH27-AQ26)))</f>
        <v>149.51833333333329</v>
      </c>
      <c r="AJ27" s="13">
        <f>AI27*VLOOKUP('Données projet'!$B$10,Paramètres!$A$1:$I$89,3,0)*VLOOKUP('Données projet'!$B$10,Paramètres!$A$1:$I$89,5,0)</f>
        <v>89.411963333333304</v>
      </c>
      <c r="AK27" s="13">
        <f t="shared" si="35"/>
        <v>24.423350649115033</v>
      </c>
      <c r="AL27" s="20">
        <f t="shared" si="4"/>
        <v>198.2631718527642</v>
      </c>
      <c r="AM27" s="59">
        <f t="shared" si="5"/>
        <v>491.59650518609749</v>
      </c>
      <c r="AN27" s="59">
        <f ca="1">AVERAGE(OFFSET($AM$3,0,0,'Données projet'!$E$10+1,1))-AVERAGE(OFFSET($H$3,0,0,'Données projet'!$E$10+1,1))</f>
        <v>213.90220310357444</v>
      </c>
      <c r="AO27" s="59">
        <f t="shared" si="36"/>
        <v>209.61422409790703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5.1070592826240464</v>
      </c>
      <c r="AV27" s="21">
        <f>EXP(-LN(2)/25)*AV26+(1-EXP(-LN(2)/25))/(LN(2)/25)*Calculateur!AQ27*Calculateur!AS27*VLOOKUP('Données projet'!$B$10,Paramètres!$A$1:$I$89,3,0)*0.475*44/12</f>
        <v>13.498996020980069</v>
      </c>
      <c r="AW27" s="21">
        <f>EXP(-LN(2)/2)*AW26+(1-EXP(-LN(2)/2))/(LN(2)/2)*AQ27*AT27*VLOOKUP('Données projet'!$B$10,Paramètres!$A$1:$I$89,3,0)*0.475*44/12</f>
        <v>11.851498133910756</v>
      </c>
      <c r="AX27" s="21">
        <f t="shared" si="6"/>
        <v>30.457553437514871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6">
        <f t="shared" si="1"/>
        <v>344.4863571422834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4.0942857142857143</v>
      </c>
      <c r="N28" s="13">
        <f>IF('Données projet'!$A$36&gt;35,N27+M28-V27,IF(A28&lt;'Données projet'!$A$36,$K$205^A28,IF(A28='Données projet'!$A$36,'Données projet'!$B$36,N27+M28-V27)))</f>
        <v>102.35714285714292</v>
      </c>
      <c r="O28" s="13">
        <f>N28*VLOOKUP('Données projet'!$B$9,Paramètres!$A$1:$I$89,3,0)*VLOOKUP('Données projet'!$B$9,Paramètres!$A$1:$I$89,5,0)</f>
        <v>92.612742857142905</v>
      </c>
      <c r="P28" s="13">
        <f t="shared" si="33"/>
        <v>25.194302332262133</v>
      </c>
      <c r="Q28" s="20">
        <f t="shared" si="2"/>
        <v>205.18060370488044</v>
      </c>
      <c r="R28" s="59">
        <f t="shared" si="0"/>
        <v>498.51393703821373</v>
      </c>
      <c r="S28" s="59">
        <f ca="1">AVERAGE(OFFSET($R$3,0,0,'Données projet'!$E$9+1,1))-AVERAGE(OFFSET($H$3,0,0,'Données projet'!$E$9+1,1))</f>
        <v>422.10969295064359</v>
      </c>
      <c r="T28" s="59">
        <f t="shared" si="34"/>
        <v>184.04075143033037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18.678333333333331</v>
      </c>
      <c r="AI28" s="13">
        <f>IF('Données projet'!$A$62&gt;35,AI27+AH28-AQ27,IF(A28&lt;'Données projet'!$A$62,$AF$205^A28,IF(A28='Données projet'!$A$62,'Données projet'!$B$62,AI27+AH28-AQ27)))</f>
        <v>168.19666666666663</v>
      </c>
      <c r="AJ28" s="13">
        <f>AI28*VLOOKUP('Données projet'!$B$10,Paramètres!$A$1:$I$89,3,0)*VLOOKUP('Données projet'!$B$10,Paramètres!$A$1:$I$89,5,0)</f>
        <v>100.58160666666666</v>
      </c>
      <c r="AK28" s="13">
        <f t="shared" si="35"/>
        <v>27.100510515925464</v>
      </c>
      <c r="AL28" s="20">
        <f t="shared" si="4"/>
        <v>222.37968742634794</v>
      </c>
      <c r="AM28" s="59">
        <f t="shared" si="5"/>
        <v>515.71302075968129</v>
      </c>
      <c r="AN28" s="59">
        <f ca="1">AVERAGE(OFFSET($AM$3,0,0,'Données projet'!$E$10+1,1))-AVERAGE(OFFSET($H$3,0,0,'Données projet'!$E$10+1,1))</f>
        <v>213.90220310357444</v>
      </c>
      <c r="AO28" s="59">
        <f t="shared" si="36"/>
        <v>209.61422409790703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5.006912965090371</v>
      </c>
      <c r="AV28" s="21">
        <f>EXP(-LN(2)/25)*AV27+(1-EXP(-LN(2)/25))/(LN(2)/25)*Calculateur!AQ28*Calculateur!AS28*VLOOKUP('Données projet'!$B$10,Paramètres!$A$1:$I$89,3,0)*0.475*44/12</f>
        <v>13.129865264905021</v>
      </c>
      <c r="AW28" s="21">
        <f>EXP(-LN(2)/2)*AW27+(1-EXP(-LN(2)/2))/(LN(2)/2)*AQ28*AT28*VLOOKUP('Données projet'!$B$10,Paramètres!$A$1:$I$89,3,0)*0.475*44/12</f>
        <v>8.3802746977080105</v>
      </c>
      <c r="AX28" s="21">
        <f t="shared" si="6"/>
        <v>26.517052927703403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6">
        <f t="shared" si="1"/>
        <v>346.47356882250091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4.0942857142857143</v>
      </c>
      <c r="N29" s="13">
        <f>IF('Données projet'!$A$36&gt;35,N28+M29-V28,IF(A29&lt;'Données projet'!$A$36,$K$205^A29,IF(A29='Données projet'!$A$36,'Données projet'!$B$36,N28+M29-V28)))</f>
        <v>106.45142857142864</v>
      </c>
      <c r="O29" s="13">
        <f>N29*VLOOKUP('Données projet'!$B$9,Paramètres!$A$1:$I$89,3,0)*VLOOKUP('Données projet'!$B$9,Paramètres!$A$1:$I$89,5,0)</f>
        <v>96.317252571428625</v>
      </c>
      <c r="P29" s="13">
        <f t="shared" si="33"/>
        <v>26.082726965934707</v>
      </c>
      <c r="Q29" s="20">
        <f t="shared" si="2"/>
        <v>213.1799643609078</v>
      </c>
      <c r="R29" s="59">
        <f t="shared" si="0"/>
        <v>506.51329769424115</v>
      </c>
      <c r="S29" s="59">
        <f ca="1">AVERAGE(OFFSET($R$3,0,0,'Données projet'!$E$9+1,1))-AVERAGE(OFFSET($H$3,0,0,'Données projet'!$E$9+1,1))</f>
        <v>422.10969295064359</v>
      </c>
      <c r="T29" s="59">
        <f t="shared" si="34"/>
        <v>184.04075143033037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18.678333333333331</v>
      </c>
      <c r="AI29" s="13">
        <f>IF('Données projet'!$A$62&gt;35,AI28+AH29-AQ28,IF(A29&lt;'Données projet'!$A$62,$AF$205^A29,IF(A29='Données projet'!$A$62,'Données projet'!$B$62,AI28+AH29-AQ28)))</f>
        <v>186.87499999999997</v>
      </c>
      <c r="AJ29" s="13">
        <f>AI29*VLOOKUP('Données projet'!$B$10,Paramètres!$A$1:$I$89,3,0)*VLOOKUP('Données projet'!$B$10,Paramètres!$A$1:$I$89,5,0)</f>
        <v>111.75125</v>
      </c>
      <c r="AK29" s="13">
        <f t="shared" si="35"/>
        <v>29.743212667393731</v>
      </c>
      <c r="AL29" s="20">
        <f t="shared" si="4"/>
        <v>246.4361891457107</v>
      </c>
      <c r="AM29" s="59">
        <f t="shared" si="5"/>
        <v>539.76952247904399</v>
      </c>
      <c r="AN29" s="59">
        <f ca="1">AVERAGE(OFFSET($AM$3,0,0,'Données projet'!$E$10+1,1))-AVERAGE(OFFSET($H$3,0,0,'Données projet'!$E$10+1,1))</f>
        <v>213.90220310357444</v>
      </c>
      <c r="AO29" s="59">
        <f t="shared" si="36"/>
        <v>209.61422409790703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4.908730455760308</v>
      </c>
      <c r="AV29" s="21">
        <f>EXP(-LN(2)/25)*AV28+(1-EXP(-LN(2)/25))/(LN(2)/25)*Calculateur!AQ29*Calculateur!AS29*VLOOKUP('Données projet'!$B$10,Paramètres!$A$1:$I$89,3,0)*0.475*44/12</f>
        <v>12.770828408766588</v>
      </c>
      <c r="AW29" s="21">
        <f>EXP(-LN(2)/2)*AW28+(1-EXP(-LN(2)/2))/(LN(2)/2)*AQ29*AT29*VLOOKUP('Données projet'!$B$10,Paramètres!$A$1:$I$89,3,0)*0.475*44/12</f>
        <v>5.9257490669553796</v>
      </c>
      <c r="AX29" s="21">
        <f t="shared" si="6"/>
        <v>23.605307931482276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6">
        <f t="shared" si="1"/>
        <v>348.45882115271871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4.0942857142857143</v>
      </c>
      <c r="N30" s="13">
        <f>IF('Données projet'!$A$36&gt;35,N29+M30-V29,IF(A30&lt;'Données projet'!$A$36,$K$205^A30,IF(A30='Données projet'!$A$36,'Données projet'!$B$36,N29+M30-V29)))</f>
        <v>110.54571428571435</v>
      </c>
      <c r="O30" s="13">
        <f>N30*VLOOKUP('Données projet'!$B$9,Paramètres!$A$1:$I$89,3,0)*VLOOKUP('Données projet'!$B$9,Paramètres!$A$1:$I$89,5,0)</f>
        <v>100.02176228571433</v>
      </c>
      <c r="P30" s="13">
        <f t="shared" si="33"/>
        <v>26.967182047167292</v>
      </c>
      <c r="Q30" s="20">
        <f t="shared" si="2"/>
        <v>221.17241137976885</v>
      </c>
      <c r="R30" s="59">
        <f t="shared" si="0"/>
        <v>514.5057447131021</v>
      </c>
      <c r="S30" s="59">
        <f ca="1">AVERAGE(OFFSET($R$3,0,0,'Données projet'!$E$9+1,1))-AVERAGE(OFFSET($H$3,0,0,'Données projet'!$E$9+1,1))</f>
        <v>422.10969295064359</v>
      </c>
      <c r="T30" s="59">
        <f t="shared" si="34"/>
        <v>184.04075143033037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18.678333333333331</v>
      </c>
      <c r="AI30" s="13">
        <f>IF('Données projet'!$A$62&gt;35,AI29+AH30-AQ29,IF(A30&lt;'Données projet'!$A$62,$AF$205^A30,IF(A30='Données projet'!$A$62,'Données projet'!$B$62,AI29+AH30-AQ29)))</f>
        <v>205.55333333333331</v>
      </c>
      <c r="AJ30" s="13">
        <f>AI30*VLOOKUP('Données projet'!$B$10,Paramètres!$A$1:$I$89,3,0)*VLOOKUP('Données projet'!$B$10,Paramètres!$A$1:$I$89,5,0)</f>
        <v>122.92089333333332</v>
      </c>
      <c r="AK30" s="13">
        <f t="shared" si="35"/>
        <v>32.355293246449399</v>
      </c>
      <c r="AL30" s="20">
        <f t="shared" si="4"/>
        <v>270.43935829312153</v>
      </c>
      <c r="AM30" s="59">
        <f t="shared" si="5"/>
        <v>563.77269162645484</v>
      </c>
      <c r="AN30" s="59">
        <f ca="1">AVERAGE(OFFSET($AM$3,0,0,'Données projet'!$E$10+1,1))-AVERAGE(OFFSET($H$3,0,0,'Données projet'!$E$10+1,1))</f>
        <v>213.90220310357444</v>
      </c>
      <c r="AO30" s="59">
        <f t="shared" si="36"/>
        <v>209.61422409790703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4.8124732455527903</v>
      </c>
      <c r="AV30" s="21">
        <f>EXP(-LN(2)/25)*AV29+(1-EXP(-LN(2)/25))/(LN(2)/25)*Calculateur!AQ30*Calculateur!AS30*VLOOKUP('Données projet'!$B$10,Paramètres!$A$1:$I$89,3,0)*0.475*44/12</f>
        <v>12.421609434340189</v>
      </c>
      <c r="AW30" s="21">
        <f>EXP(-LN(2)/2)*AW29+(1-EXP(-LN(2)/2))/(LN(2)/2)*AQ30*AT30*VLOOKUP('Données projet'!$B$10,Paramètres!$A$1:$I$89,3,0)*0.475*44/12</f>
        <v>4.1901373488540061</v>
      </c>
      <c r="AX30" s="21">
        <f t="shared" si="6"/>
        <v>21.424220028746984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6">
        <f t="shared" si="1"/>
        <v>350.44219501167436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4.0942857142857143</v>
      </c>
      <c r="N31" s="13">
        <f>IF('Données projet'!$A$36&gt;35,N30+M31-V30,IF(A31&lt;'Données projet'!$A$36,$K$205^A31,IF(A31='Données projet'!$A$36,'Données projet'!$B$36,N30+M31-V30)))</f>
        <v>114.64000000000007</v>
      </c>
      <c r="O31" s="13">
        <f>N31*VLOOKUP('Données projet'!$B$9,Paramètres!$A$1:$I$89,3,0)*VLOOKUP('Données projet'!$B$9,Paramètres!$A$1:$I$89,5,0)</f>
        <v>103.72627200000005</v>
      </c>
      <c r="P31" s="13">
        <f t="shared" si="33"/>
        <v>27.847831432539717</v>
      </c>
      <c r="Q31" s="20">
        <f t="shared" si="2"/>
        <v>229.15823014500677</v>
      </c>
      <c r="R31" s="59">
        <f t="shared" si="0"/>
        <v>522.49156347834014</v>
      </c>
      <c r="S31" s="59">
        <f ca="1">AVERAGE(OFFSET($R$3,0,0,'Données projet'!$E$9+1,1))-AVERAGE(OFFSET($H$3,0,0,'Données projet'!$E$9+1,1))</f>
        <v>422.10969295064359</v>
      </c>
      <c r="T31" s="59">
        <f t="shared" si="34"/>
        <v>184.04075143033037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18.678333333333331</v>
      </c>
      <c r="AI31" s="13">
        <f>IF('Données projet'!$A$62&gt;35,AI30+AH31-AQ30,IF(A31&lt;'Données projet'!$A$62,$AF$205^A31,IF(A31='Données projet'!$A$62,'Données projet'!$B$62,AI30+AH31-AQ30)))</f>
        <v>224.23166666666665</v>
      </c>
      <c r="AJ31" s="13">
        <f>AI31*VLOOKUP('Données projet'!$B$10,Paramètres!$A$1:$I$89,3,0)*VLOOKUP('Données projet'!$B$10,Paramètres!$A$1:$I$89,5,0)</f>
        <v>134.09053666666668</v>
      </c>
      <c r="AK31" s="13">
        <f t="shared" si="35"/>
        <v>34.93985124057766</v>
      </c>
      <c r="AL31" s="20">
        <f t="shared" si="4"/>
        <v>294.39459227178389</v>
      </c>
      <c r="AM31" s="59">
        <f t="shared" si="5"/>
        <v>587.72792560511721</v>
      </c>
      <c r="AN31" s="59">
        <f ca="1">AVERAGE(OFFSET($AM$3,0,0,'Données projet'!$E$10+1,1))-AVERAGE(OFFSET($H$3,0,0,'Données projet'!$E$10+1,1))</f>
        <v>213.90220310357444</v>
      </c>
      <c r="AO31" s="59">
        <f t="shared" si="36"/>
        <v>209.61422409790703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4.7181035805263409</v>
      </c>
      <c r="AV31" s="21">
        <f>EXP(-LN(2)/25)*AV30+(1-EXP(-LN(2)/25))/(LN(2)/25)*Calculateur!AQ31*Calculateur!AS31*VLOOKUP('Données projet'!$B$10,Paramètres!$A$1:$I$89,3,0)*0.475*44/12</f>
        <v>12.081939871134106</v>
      </c>
      <c r="AW31" s="21">
        <f>EXP(-LN(2)/2)*AW30+(1-EXP(-LN(2)/2))/(LN(2)/2)*AQ31*AT31*VLOOKUP('Données projet'!$B$10,Paramètres!$A$1:$I$89,3,0)*0.475*44/12</f>
        <v>2.9628745334776903</v>
      </c>
      <c r="AX31" s="21">
        <f t="shared" si="6"/>
        <v>19.762917985138138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6">
        <f t="shared" si="1"/>
        <v>352.42376517356132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4.0942857142857143</v>
      </c>
      <c r="N32" s="13">
        <f>IF('Données projet'!$A$36&gt;35,N31+M32-V31,IF(A32&lt;'Données projet'!$A$36,$K$205^A32,IF(A32='Données projet'!$A$36,'Données projet'!$B$36,N31+M32-V31)))</f>
        <v>118.73428571428579</v>
      </c>
      <c r="O32" s="13">
        <f>N32*VLOOKUP('Données projet'!$B$9,Paramètres!$A$1:$I$89,3,0)*VLOOKUP('Données projet'!$B$9,Paramètres!$A$1:$I$89,5,0)</f>
        <v>107.43078171428577</v>
      </c>
      <c r="P32" s="13">
        <f t="shared" si="33"/>
        <v>28.724826611108305</v>
      </c>
      <c r="Q32" s="20">
        <f t="shared" si="2"/>
        <v>237.13768450006134</v>
      </c>
      <c r="R32" s="59">
        <f t="shared" si="0"/>
        <v>530.47101783339463</v>
      </c>
      <c r="S32" s="59">
        <f ca="1">AVERAGE(OFFSET($R$3,0,0,'Données projet'!$E$9+1,1))-AVERAGE(OFFSET($H$3,0,0,'Données projet'!$E$9+1,1))</f>
        <v>422.10969295064359</v>
      </c>
      <c r="T32" s="59">
        <f t="shared" si="34"/>
        <v>184.04075143033037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>
        <f>VLOOKUP(A32,'Données projet'!$A$61:$I$81,2,0)</f>
        <v>242.91</v>
      </c>
      <c r="AG32" s="12">
        <f>VLOOKUP(A32,'Données projet'!$A$61:$I$81,9,0)</f>
        <v>18.678333333333331</v>
      </c>
      <c r="AH32" s="12">
        <f t="array" ref="AH32">INDEX(AG:AG,MIN(IF(ISNUMBER(AG32:AG228),ROW(AG32:AG228),"")))</f>
        <v>18.678333333333331</v>
      </c>
      <c r="AI32" s="13">
        <f>IF('Données projet'!$A$62&gt;35,AI31+AH32-AQ31,IF(A32&lt;'Données projet'!$A$62,$AF$205^A32,IF(A32='Données projet'!$A$62,'Données projet'!$B$62,AI31+AH32-AQ31)))</f>
        <v>242.91</v>
      </c>
      <c r="AJ32" s="13">
        <f>AI32*VLOOKUP('Données projet'!$B$10,Paramètres!$A$1:$I$89,3,0)*VLOOKUP('Données projet'!$B$10,Paramètres!$A$1:$I$89,5,0)</f>
        <v>145.26018000000002</v>
      </c>
      <c r="AK32" s="13">
        <f t="shared" si="35"/>
        <v>37.499439910321911</v>
      </c>
      <c r="AL32" s="20">
        <f t="shared" si="4"/>
        <v>318.30633801047736</v>
      </c>
      <c r="AM32" s="59">
        <f t="shared" si="5"/>
        <v>611.63967134381073</v>
      </c>
      <c r="AN32" s="59">
        <f ca="1">AVERAGE(OFFSET($AM$3,0,0,'Données projet'!$E$10+1,1))-AVERAGE(OFFSET($H$3,0,0,'Données projet'!$E$10+1,1))</f>
        <v>213.90220310357444</v>
      </c>
      <c r="AO32" s="59">
        <f t="shared" si="36"/>
        <v>209.61422409790703</v>
      </c>
      <c r="AP32" s="15">
        <f>IF(ISNA(VLOOKUP(A32,'Données projet'!$A$61:$I$81,3,0)),0,VLOOKUP(A32,'Données projet'!$A$61:$I$81,3,0))</f>
        <v>3</v>
      </c>
      <c r="AQ32" s="15">
        <f>IF(ISNA(VLOOKUP(A32,'Données projet'!$A$61:$I$81,4,0)),0,VLOOKUP(A32,'Données projet'!$A$61:$I$81,4,0))</f>
        <v>54.97</v>
      </c>
      <c r="AR32" s="16">
        <f>IF(ISNA(VLOOKUP(A32,'Données projet'!$A$61:$I$81,5,0)),0%,VLOOKUP(A32,'Données projet'!$A$61:$I$81,5,0)*VLOOKUP('Données projet'!$B$10,Paramètres!$A$1:$I$89,7,0))</f>
        <v>0.27</v>
      </c>
      <c r="AS32" s="16">
        <f>IF(ISNA(VLOOKUP(A32,'Données projet'!$A$61:$I$81,6,0)),0%,VLOOKUP(A32,'Données projet'!$A$61:$I$81,6,0)*VLOOKUP('Données projet'!$B$10,Paramètres!$A$1:$I$89,7,0))</f>
        <v>9.0000000000000011E-2</v>
      </c>
      <c r="AT32" s="16">
        <f>IF(ISNA(VLOOKUP(A32,'Données projet'!$A$61:$I$81,7,0)),0%,VLOOKUP(A32,'Données projet'!$A$61:$I$81,7,0))</f>
        <v>0.2</v>
      </c>
      <c r="AU32" s="21">
        <f>EXP(-LN(2)/35)*AU31+(1-EXP(-LN(2)/35))/(LN(2)/35)*AQ32*AR32*VLOOKUP('Données projet'!$B$10,Paramètres!$A$1:$I$89,3,0)*0.475*44/12</f>
        <v>16.399449167801741</v>
      </c>
      <c r="AV32" s="21">
        <f>EXP(-LN(2)/25)*AV31+(1-EXP(-LN(2)/25))/(LN(2)/25)*Calculateur!AQ32*Calculateur!AS32*VLOOKUP('Données projet'!$B$10,Paramètres!$A$1:$I$89,3,0)*0.475*44/12</f>
        <v>15.66072743303994</v>
      </c>
      <c r="AW32" s="21">
        <f>EXP(-LN(2)/2)*AW31+(1-EXP(-LN(2)/2))/(LN(2)/2)*AQ32*AT32*VLOOKUP('Données projet'!$B$10,Paramètres!$A$1:$I$89,3,0)*0.475*44/12</f>
        <v>9.5388302780725702</v>
      </c>
      <c r="AX32" s="21">
        <f t="shared" si="6"/>
        <v>41.599006878914253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6">
        <f t="shared" si="1"/>
        <v>354.40360096325321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4.0942857142857143</v>
      </c>
      <c r="N33" s="13">
        <f>IF('Données projet'!$A$36&gt;35,N32+M33-V32,IF(A33&lt;'Données projet'!$A$36,$K$205^A33,IF(A33='Données projet'!$A$36,'Données projet'!$B$36,N32+M33-V32)))</f>
        <v>122.82857142857151</v>
      </c>
      <c r="O33" s="13">
        <f>N33*VLOOKUP('Données projet'!$B$9,Paramètres!$A$1:$I$89,3,0)*VLOOKUP('Données projet'!$B$9,Paramètres!$A$1:$I$89,5,0)</f>
        <v>111.13529142857149</v>
      </c>
      <c r="P33" s="13">
        <f t="shared" si="33"/>
        <v>29.598308031859261</v>
      </c>
      <c r="Q33" s="20">
        <f t="shared" si="2"/>
        <v>245.11101906025024</v>
      </c>
      <c r="R33" s="59">
        <f t="shared" si="0"/>
        <v>538.44435239358359</v>
      </c>
      <c r="S33" s="59">
        <f ca="1">AVERAGE(OFFSET($R$3,0,0,'Données projet'!$E$9+1,1))-AVERAGE(OFFSET($H$3,0,0,'Données projet'!$E$9+1,1))</f>
        <v>422.10969295064359</v>
      </c>
      <c r="T33" s="59">
        <f t="shared" si="34"/>
        <v>184.04075143033037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17.804285714285715</v>
      </c>
      <c r="AI33" s="13">
        <f>IF('Données projet'!$A$62&gt;35,AI32+AH33-AQ32,IF(A33&lt;'Données projet'!$A$62,$AF$205^A33,IF(A33='Données projet'!$A$62,'Données projet'!$B$62,AI32+AH33-AQ32)))</f>
        <v>205.74428571428572</v>
      </c>
      <c r="AJ33" s="13">
        <f>AI33*VLOOKUP('Données projet'!$B$10,Paramètres!$A$1:$I$89,3,0)*VLOOKUP('Données projet'!$B$10,Paramètres!$A$1:$I$89,5,0)</f>
        <v>123.03508285714287</v>
      </c>
      <c r="AK33" s="13">
        <f t="shared" si="35"/>
        <v>32.381850192327164</v>
      </c>
      <c r="AL33" s="20">
        <f t="shared" si="4"/>
        <v>270.68449172782698</v>
      </c>
      <c r="AM33" s="59">
        <f t="shared" si="5"/>
        <v>564.01782506116024</v>
      </c>
      <c r="AN33" s="59">
        <f ca="1">AVERAGE(OFFSET($AM$3,0,0,'Données projet'!$E$10+1,1))-AVERAGE(OFFSET($H$3,0,0,'Données projet'!$E$10+1,1))</f>
        <v>213.90220310357444</v>
      </c>
      <c r="AO33" s="59">
        <f t="shared" si="36"/>
        <v>209.61422409790703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16.07786597229746</v>
      </c>
      <c r="AV33" s="21">
        <f>EXP(-LN(2)/25)*AV32+(1-EXP(-LN(2)/25))/(LN(2)/25)*Calculateur!AQ33*Calculateur!AS33*VLOOKUP('Données projet'!$B$10,Paramètres!$A$1:$I$89,3,0)*0.475*44/12</f>
        <v>15.2324840178216</v>
      </c>
      <c r="AW33" s="21">
        <f>EXP(-LN(2)/2)*AW32+(1-EXP(-LN(2)/2))/(LN(2)/2)*AQ33*AT33*VLOOKUP('Données projet'!$B$10,Paramètres!$A$1:$I$89,3,0)*0.475*44/12</f>
        <v>6.7449715742126752</v>
      </c>
      <c r="AX33" s="21">
        <f t="shared" si="6"/>
        <v>38.055321564331734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6">
        <f t="shared" si="1"/>
        <v>356.38176682171019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4.0942857142857143</v>
      </c>
      <c r="N34" s="13">
        <f>IF('Données projet'!$A$36&gt;35,N33+M34-V33,IF(A34&lt;'Données projet'!$A$36,$K$205^A34,IF(A34='Données projet'!$A$36,'Données projet'!$B$36,N33+M34-V33)))</f>
        <v>126.92285714285723</v>
      </c>
      <c r="O34" s="13">
        <f>N34*VLOOKUP('Données projet'!$B$9,Paramètres!$A$1:$I$89,3,0)*VLOOKUP('Données projet'!$B$9,Paramètres!$A$1:$I$89,5,0)</f>
        <v>114.83980114285721</v>
      </c>
      <c r="P34" s="13">
        <f t="shared" si="33"/>
        <v>30.468406249196239</v>
      </c>
      <c r="Q34" s="20">
        <f t="shared" si="2"/>
        <v>253.07846120782642</v>
      </c>
      <c r="R34" s="59">
        <f t="shared" si="0"/>
        <v>546.41179454115968</v>
      </c>
      <c r="S34" s="59">
        <f ca="1">AVERAGE(OFFSET($R$3,0,0,'Données projet'!$E$9+1,1))-AVERAGE(OFFSET($H$3,0,0,'Données projet'!$E$9+1,1))</f>
        <v>422.10969295064359</v>
      </c>
      <c r="T34" s="59">
        <f t="shared" si="34"/>
        <v>184.04075143033037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17.804285714285715</v>
      </c>
      <c r="AI34" s="13">
        <f>IF('Données projet'!$A$62&gt;35,AI33+AH34-AQ33,IF(A34&lt;'Données projet'!$A$62,$AF$205^A34,IF(A34='Données projet'!$A$62,'Données projet'!$B$62,AI33+AH34-AQ33)))</f>
        <v>223.54857142857145</v>
      </c>
      <c r="AJ34" s="13">
        <f>AI34*VLOOKUP('Données projet'!$B$10,Paramètres!$A$1:$I$89,3,0)*VLOOKUP('Données projet'!$B$10,Paramètres!$A$1:$I$89,5,0)</f>
        <v>133.68204571428575</v>
      </c>
      <c r="AK34" s="13">
        <f t="shared" si="35"/>
        <v>34.84578405456601</v>
      </c>
      <c r="AL34" s="20">
        <f t="shared" si="4"/>
        <v>293.51930351408345</v>
      </c>
      <c r="AM34" s="59">
        <f t="shared" si="5"/>
        <v>586.85263684741676</v>
      </c>
      <c r="AN34" s="59">
        <f ca="1">AVERAGE(OFFSET($AM$3,0,0,'Données projet'!$E$10+1,1))-AVERAGE(OFFSET($H$3,0,0,'Données projet'!$E$10+1,1))</f>
        <v>213.90220310357444</v>
      </c>
      <c r="AO34" s="59">
        <f t="shared" si="36"/>
        <v>209.61422409790703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15.762588827110635</v>
      </c>
      <c r="AV34" s="21">
        <f>EXP(-LN(2)/25)*AV33+(1-EXP(-LN(2)/25))/(LN(2)/25)*Calculateur!AQ34*Calculateur!AS34*VLOOKUP('Données projet'!$B$10,Paramètres!$A$1:$I$89,3,0)*0.475*44/12</f>
        <v>14.815950941312748</v>
      </c>
      <c r="AW34" s="21">
        <f>EXP(-LN(2)/2)*AW33+(1-EXP(-LN(2)/2))/(LN(2)/2)*AQ34*AT34*VLOOKUP('Données projet'!$B$10,Paramètres!$A$1:$I$89,3,0)*0.475*44/12</f>
        <v>4.7694151390362851</v>
      </c>
      <c r="AX34" s="21">
        <f t="shared" si="6"/>
        <v>35.347954907459666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6">
        <f t="shared" si="1"/>
        <v>358.35832279638072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4.0942857142857143</v>
      </c>
      <c r="N35" s="13">
        <f>IF('Données projet'!$A$36&gt;35,N34+M35-V34,IF(A35&lt;'Données projet'!$A$36,$K$205^A35,IF(A35='Données projet'!$A$36,'Données projet'!$B$36,N34+M35-V34)))</f>
        <v>131.01714285714294</v>
      </c>
      <c r="O35" s="13">
        <f>N35*VLOOKUP('Données projet'!$B$9,Paramètres!$A$1:$I$89,3,0)*VLOOKUP('Données projet'!$B$9,Paramètres!$A$1:$I$89,5,0)</f>
        <v>118.54431085714293</v>
      </c>
      <c r="P35" s="13">
        <f t="shared" si="33"/>
        <v>31.335242916471387</v>
      </c>
      <c r="Q35" s="20">
        <f t="shared" ref="Q35:Q66" si="53">(O35+P35)*0.475*44/12</f>
        <v>261.04022282237821</v>
      </c>
      <c r="R35" s="59">
        <f t="shared" si="0"/>
        <v>554.37355615571153</v>
      </c>
      <c r="S35" s="59">
        <f ca="1">AVERAGE(OFFSET($R$3,0,0,'Données projet'!$E$9+1,1))-AVERAGE(OFFSET($H$3,0,0,'Données projet'!$E$9+1,1))</f>
        <v>422.10969295064359</v>
      </c>
      <c r="T35" s="59">
        <f t="shared" si="34"/>
        <v>184.04075143033037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17.804285714285715</v>
      </c>
      <c r="AI35" s="13">
        <f>IF('Données projet'!$A$62&gt;35,AI34+AH35-AQ34,IF(A35&lt;'Données projet'!$A$62,$AF$205^A35,IF(A35='Données projet'!$A$62,'Données projet'!$B$62,AI34+AH35-AQ34)))</f>
        <v>241.35285714285718</v>
      </c>
      <c r="AJ35" s="13">
        <f>AI35*VLOOKUP('Données projet'!$B$10,Paramètres!$A$1:$I$89,3,0)*VLOOKUP('Données projet'!$B$10,Paramètres!$A$1:$I$89,5,0)</f>
        <v>144.3290085714286</v>
      </c>
      <c r="AK35" s="13">
        <f t="shared" si="35"/>
        <v>37.286956054873187</v>
      </c>
      <c r="AL35" s="20">
        <f t="shared" si="4"/>
        <v>316.31447172414227</v>
      </c>
      <c r="AM35" s="59">
        <f t="shared" si="5"/>
        <v>609.64780505747558</v>
      </c>
      <c r="AN35" s="59">
        <f ca="1">AVERAGE(OFFSET($AM$3,0,0,'Données projet'!$E$10+1,1))-AVERAGE(OFFSET($H$3,0,0,'Données projet'!$E$10+1,1))</f>
        <v>213.90220310357444</v>
      </c>
      <c r="AO35" s="59">
        <f t="shared" si="36"/>
        <v>209.61422409790703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15.453494074440854</v>
      </c>
      <c r="AV35" s="21">
        <f>EXP(-LN(2)/25)*AV34+(1-EXP(-LN(2)/25))/(LN(2)/25)*Calculateur!AQ35*Calculateur!AS35*VLOOKUP('Données projet'!$B$10,Paramètres!$A$1:$I$89,3,0)*0.475*44/12</f>
        <v>14.410807983685553</v>
      </c>
      <c r="AW35" s="21">
        <f>EXP(-LN(2)/2)*AW34+(1-EXP(-LN(2)/2))/(LN(2)/2)*AQ35*AT35*VLOOKUP('Données projet'!$B$10,Paramètres!$A$1:$I$89,3,0)*0.475*44/12</f>
        <v>3.3724857871063376</v>
      </c>
      <c r="AX35" s="21">
        <f t="shared" si="6"/>
        <v>33.23678784523274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6">
        <f t="shared" si="1"/>
        <v>360.33332496858065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4.0942857142857143</v>
      </c>
      <c r="N36" s="13">
        <f>IF('Données projet'!$A$36&gt;35,N35+M36-V35,IF(A36&lt;'Données projet'!$A$36,$K$205^A36,IF(A36='Données projet'!$A$36,'Données projet'!$B$36,N35+M36-V35)))</f>
        <v>135.11142857142866</v>
      </c>
      <c r="O36" s="13">
        <f>N36*VLOOKUP('Données projet'!$B$9,Paramètres!$A$1:$I$89,3,0)*VLOOKUP('Données projet'!$B$9,Paramètres!$A$1:$I$89,5,0)</f>
        <v>122.24882057142865</v>
      </c>
      <c r="P36" s="13">
        <f t="shared" si="33"/>
        <v>32.198931651835657</v>
      </c>
      <c r="Q36" s="20">
        <f t="shared" si="53"/>
        <v>268.99650178885196</v>
      </c>
      <c r="R36" s="59">
        <f t="shared" si="0"/>
        <v>562.32983512218527</v>
      </c>
      <c r="S36" s="59">
        <f ca="1">AVERAGE(OFFSET($R$3,0,0,'Données projet'!$E$9+1,1))-AVERAGE(OFFSET($H$3,0,0,'Données projet'!$E$9+1,1))</f>
        <v>422.10969295064359</v>
      </c>
      <c r="T36" s="59">
        <f t="shared" si="34"/>
        <v>184.04075143033037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17.804285714285715</v>
      </c>
      <c r="AI36" s="13">
        <f>IF('Données projet'!$A$62&gt;35,AI35+AH36-AQ35,IF(A36&lt;'Données projet'!$A$62,$AF$205^A36,IF(A36='Données projet'!$A$62,'Données projet'!$B$62,AI35+AH36-AQ35)))</f>
        <v>259.1571428571429</v>
      </c>
      <c r="AJ36" s="13">
        <f>AI36*VLOOKUP('Données projet'!$B$10,Paramètres!$A$1:$I$89,3,0)*VLOOKUP('Données projet'!$B$10,Paramètres!$A$1:$I$89,5,0)</f>
        <v>154.97597142857146</v>
      </c>
      <c r="AK36" s="13">
        <f t="shared" si="35"/>
        <v>39.70723624796571</v>
      </c>
      <c r="AL36" s="20">
        <f t="shared" si="4"/>
        <v>339.07325336996888</v>
      </c>
      <c r="AM36" s="59">
        <f t="shared" si="5"/>
        <v>632.4065867033022</v>
      </c>
      <c r="AN36" s="59">
        <f ca="1">AVERAGE(OFFSET($AM$3,0,0,'Données projet'!$E$10+1,1))-AVERAGE(OFFSET($H$3,0,0,'Données projet'!$E$10+1,1))</f>
        <v>213.90220310357444</v>
      </c>
      <c r="AO36" s="59">
        <f t="shared" si="36"/>
        <v>209.61422409790703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15.150460481341744</v>
      </c>
      <c r="AV36" s="21">
        <f>EXP(-LN(2)/25)*AV35+(1-EXP(-LN(2)/25))/(LN(2)/25)*Calculateur!AQ36*Calculateur!AS36*VLOOKUP('Données projet'!$B$10,Paramètres!$A$1:$I$89,3,0)*0.475*44/12</f>
        <v>14.016743681540216</v>
      </c>
      <c r="AW36" s="21">
        <f>EXP(-LN(2)/2)*AW35+(1-EXP(-LN(2)/2))/(LN(2)/2)*AQ36*AT36*VLOOKUP('Données projet'!$B$10,Paramètres!$A$1:$I$89,3,0)*0.475*44/12</f>
        <v>2.3847075695181426</v>
      </c>
      <c r="AX36" s="21">
        <f t="shared" si="6"/>
        <v>31.5519117324001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6">
        <f t="shared" si="1"/>
        <v>362.30682582761347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4.0942857142857143</v>
      </c>
      <c r="N37" s="13">
        <f>IF('Données projet'!$A$36&gt;35,N36+M37-V36,IF(A37&lt;'Données projet'!$A$36,$K$205^A37,IF(A37='Données projet'!$A$36,'Données projet'!$B$36,N36+M37-V36)))</f>
        <v>139.20571428571438</v>
      </c>
      <c r="O37" s="13">
        <f>N37*VLOOKUP('Données projet'!$B$9,Paramètres!$A$1:$I$89,3,0)*VLOOKUP('Données projet'!$B$9,Paramètres!$A$1:$I$89,5,0)</f>
        <v>125.95333028571436</v>
      </c>
      <c r="P37" s="13">
        <f t="shared" si="33"/>
        <v>33.059578796189285</v>
      </c>
      <c r="Q37" s="20">
        <f t="shared" si="53"/>
        <v>276.94748331764885</v>
      </c>
      <c r="R37" s="59">
        <f t="shared" si="0"/>
        <v>570.28081665098216</v>
      </c>
      <c r="S37" s="59">
        <f ca="1">AVERAGE(OFFSET($R$3,0,0,'Données projet'!$E$9+1,1))-AVERAGE(OFFSET($H$3,0,0,'Données projet'!$E$9+1,1))</f>
        <v>422.10969295064359</v>
      </c>
      <c r="T37" s="59">
        <f t="shared" si="34"/>
        <v>184.04075143033037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17.804285714285715</v>
      </c>
      <c r="AI37" s="13">
        <f>IF('Données projet'!$A$62&gt;35,AI36+AH37-AQ36,IF(A37&lt;'Données projet'!$A$62,$AF$205^A37,IF(A37='Données projet'!$A$62,'Données projet'!$B$62,AI36+AH37-AQ36)))</f>
        <v>276.9614285714286</v>
      </c>
      <c r="AJ37" s="13">
        <f>AI37*VLOOKUP('Données projet'!$B$10,Paramètres!$A$1:$I$89,3,0)*VLOOKUP('Données projet'!$B$10,Paramètres!$A$1:$I$89,5,0)</f>
        <v>165.62293428571431</v>
      </c>
      <c r="AK37" s="13">
        <f t="shared" si="35"/>
        <v>42.108223194605671</v>
      </c>
      <c r="AL37" s="20">
        <f t="shared" si="4"/>
        <v>361.7984326115573</v>
      </c>
      <c r="AM37" s="59">
        <f t="shared" si="5"/>
        <v>655.13176594489062</v>
      </c>
      <c r="AN37" s="59">
        <f ca="1">AVERAGE(OFFSET($AM$3,0,0,'Données projet'!$E$10+1,1))-AVERAGE(OFFSET($H$3,0,0,'Données projet'!$E$10+1,1))</f>
        <v>213.90220310357444</v>
      </c>
      <c r="AO37" s="59">
        <f t="shared" si="36"/>
        <v>209.61422409790703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14.853369192171066</v>
      </c>
      <c r="AV37" s="21">
        <f>EXP(-LN(2)/25)*AV36+(1-EXP(-LN(2)/25))/(LN(2)/25)*Calculateur!AQ37*Calculateur!AS37*VLOOKUP('Données projet'!$B$10,Paramètres!$A$1:$I$89,3,0)*0.475*44/12</f>
        <v>13.633455088459984</v>
      </c>
      <c r="AW37" s="21">
        <f>EXP(-LN(2)/2)*AW36+(1-EXP(-LN(2)/2))/(LN(2)/2)*AQ37*AT37*VLOOKUP('Données projet'!$B$10,Paramètres!$A$1:$I$89,3,0)*0.475*44/12</f>
        <v>1.6862428935531688</v>
      </c>
      <c r="AX37" s="21">
        <f t="shared" si="6"/>
        <v>30.173067174184215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6">
        <f t="shared" si="1"/>
        <v>364.27887459963966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4.0942857142857143</v>
      </c>
      <c r="N38" s="13">
        <f>IF('Données projet'!$A$36&gt;35,N37+M38-V37,IF(A38&lt;'Données projet'!$A$36,$K$205^A38,IF(A38='Données projet'!$A$36,'Données projet'!$B$36,N37+M38-V37)))</f>
        <v>143.3000000000001</v>
      </c>
      <c r="O38" s="13">
        <f>N38*VLOOKUP('Données projet'!$B$9,Paramètres!$A$1:$I$89,3,0)*VLOOKUP('Données projet'!$B$9,Paramètres!$A$1:$I$89,5,0)</f>
        <v>129.65784000000008</v>
      </c>
      <c r="P38" s="13">
        <f t="shared" si="33"/>
        <v>33.917284079455818</v>
      </c>
      <c r="Q38" s="20">
        <f t="shared" si="53"/>
        <v>284.89334110505234</v>
      </c>
      <c r="R38" s="59">
        <f t="shared" si="0"/>
        <v>578.22667443838566</v>
      </c>
      <c r="S38" s="59">
        <f ca="1">AVERAGE(OFFSET($R$3,0,0,'Données projet'!$E$9+1,1))-AVERAGE(OFFSET($H$3,0,0,'Données projet'!$E$9+1,1))</f>
        <v>422.10969295064359</v>
      </c>
      <c r="T38" s="59">
        <f t="shared" si="34"/>
        <v>184.04075143033037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17.804285714285715</v>
      </c>
      <c r="AI38" s="13">
        <f>IF('Données projet'!$A$62&gt;35,AI37+AH38-AQ37,IF(A38&lt;'Données projet'!$A$62,$AF$205^A38,IF(A38='Données projet'!$A$62,'Données projet'!$B$62,AI37+AH38-AQ37)))</f>
        <v>294.7657142857143</v>
      </c>
      <c r="AJ38" s="13">
        <f>AI38*VLOOKUP('Données projet'!$B$10,Paramètres!$A$1:$I$89,3,0)*VLOOKUP('Données projet'!$B$10,Paramètres!$A$1:$I$89,5,0)</f>
        <v>176.26989714285719</v>
      </c>
      <c r="AK38" s="13">
        <f t="shared" si="35"/>
        <v>44.491298310145091</v>
      </c>
      <c r="AL38" s="20">
        <f t="shared" si="4"/>
        <v>384.49241541397896</v>
      </c>
      <c r="AM38" s="59">
        <f t="shared" si="5"/>
        <v>677.82574874731222</v>
      </c>
      <c r="AN38" s="59">
        <f ca="1">AVERAGE(OFFSET($AM$3,0,0,'Données projet'!$E$10+1,1))-AVERAGE(OFFSET($H$3,0,0,'Données projet'!$E$10+1,1))</f>
        <v>213.90220310357444</v>
      </c>
      <c r="AO38" s="59">
        <f t="shared" si="36"/>
        <v>209.61422409790703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14.56210368197323</v>
      </c>
      <c r="AV38" s="21">
        <f>EXP(-LN(2)/25)*AV37+(1-EXP(-LN(2)/25))/(LN(2)/25)*Calculateur!AQ38*Calculateur!AS38*VLOOKUP('Données projet'!$B$10,Paramètres!$A$1:$I$89,3,0)*0.475*44/12</f>
        <v>13.260647542113801</v>
      </c>
      <c r="AW38" s="21">
        <f>EXP(-LN(2)/2)*AW37+(1-EXP(-LN(2)/2))/(LN(2)/2)*AQ38*AT38*VLOOKUP('Données projet'!$B$10,Paramètres!$A$1:$I$89,3,0)*0.475*44/12</f>
        <v>1.1923537847590713</v>
      </c>
      <c r="AX38" s="21">
        <f t="shared" si="6"/>
        <v>29.015105008846103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6">
        <f t="shared" si="1"/>
        <v>366.24951753790458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4.0942857142857143</v>
      </c>
      <c r="N39" s="13">
        <f>IF('Données projet'!$A$36&gt;35,N38+M39-V38,IF(A39&lt;'Données projet'!$A$36,$K$205^A39,IF(A39='Données projet'!$A$36,'Données projet'!$B$36,N38+M39-V38)))</f>
        <v>147.39428571428581</v>
      </c>
      <c r="O39" s="13">
        <f>N39*VLOOKUP('Données projet'!$B$9,Paramètres!$A$1:$I$89,3,0)*VLOOKUP('Données projet'!$B$9,Paramètres!$A$1:$I$89,5,0)</f>
        <v>133.36234971428578</v>
      </c>
      <c r="P39" s="13">
        <f t="shared" si="33"/>
        <v>34.772141208569977</v>
      </c>
      <c r="Q39" s="20">
        <f t="shared" si="53"/>
        <v>292.83423835730713</v>
      </c>
      <c r="R39" s="59">
        <f t="shared" si="0"/>
        <v>586.16757169064044</v>
      </c>
      <c r="S39" s="59">
        <f ca="1">AVERAGE(OFFSET($R$3,0,0,'Données projet'!$E$9+1,1))-AVERAGE(OFFSET($H$3,0,0,'Données projet'!$E$9+1,1))</f>
        <v>422.10969295064359</v>
      </c>
      <c r="T39" s="59">
        <f t="shared" si="34"/>
        <v>184.04075143033037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312.57</v>
      </c>
      <c r="AG39" s="12">
        <f>VLOOKUP(A39,'Données projet'!$A$61:$I$81,9,0)</f>
        <v>17.804285714285715</v>
      </c>
      <c r="AH39" s="12">
        <f t="array" ref="AH39">INDEX(AG:AG,MIN(IF(ISNUMBER(AG39:AG235),ROW(AG39:AG235),"")))</f>
        <v>17.804285714285715</v>
      </c>
      <c r="AI39" s="13">
        <f>IF('Données projet'!$A$62&gt;35,AI38+AH39-AQ38,IF(A39&lt;'Données projet'!$A$62,$AF$205^A39,IF(A39='Données projet'!$A$62,'Données projet'!$B$62,AI38+AH39-AQ38)))</f>
        <v>312.57</v>
      </c>
      <c r="AJ39" s="13">
        <f>AI39*VLOOKUP('Données projet'!$B$10,Paramètres!$A$1:$I$89,3,0)*VLOOKUP('Données projet'!$B$10,Paramètres!$A$1:$I$89,5,0)</f>
        <v>186.91685999999999</v>
      </c>
      <c r="AK39" s="13">
        <f t="shared" si="35"/>
        <v>46.857666701992478</v>
      </c>
      <c r="AL39" s="20">
        <f t="shared" si="4"/>
        <v>407.15730067263689</v>
      </c>
      <c r="AM39" s="59">
        <f t="shared" si="5"/>
        <v>700.49063400597015</v>
      </c>
      <c r="AN39" s="59">
        <f ca="1">AVERAGE(OFFSET($AM$3,0,0,'Données projet'!$E$10+1,1))-AVERAGE(OFFSET($H$3,0,0,'Données projet'!$E$10+1,1))</f>
        <v>213.90220310357444</v>
      </c>
      <c r="AO39" s="59">
        <f t="shared" si="36"/>
        <v>209.61422409790703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76.509999999999991</v>
      </c>
      <c r="AR39" s="16">
        <f>IF(ISNA(VLOOKUP(A39,'Données projet'!$A$61:$I$81,5,0)),0%,VLOOKUP(A39,'Données projet'!$A$61:$I$81,5,0)*VLOOKUP('Données projet'!$B$10,Paramètres!$A$1:$I$89,7,0))</f>
        <v>0.27</v>
      </c>
      <c r="AS39" s="16">
        <f>IF(ISNA(VLOOKUP(A39,'Données projet'!$A$61:$I$81,6,0)),0%,VLOOKUP(A39,'Données projet'!$A$61:$I$81,6,0)*VLOOKUP('Données projet'!$B$10,Paramètres!$A$1:$I$89,7,0))</f>
        <v>9.0000000000000011E-2</v>
      </c>
      <c r="AT39" s="16">
        <f>IF(ISNA(VLOOKUP(A39,'Données projet'!$A$61:$I$81,7,0)),0%,VLOOKUP(A39,'Données projet'!$A$61:$I$81,7,0))</f>
        <v>0.2</v>
      </c>
      <c r="AU39" s="21">
        <f>EXP(-LN(2)/35)*AU38+(1-EXP(-LN(2)/35))/(LN(2)/35)*AQ39*AR39*VLOOKUP('Données projet'!$B$10,Paramètres!$A$1:$I$89,3,0)*0.475*44/12</f>
        <v>30.66400450035372</v>
      </c>
      <c r="AV39" s="21">
        <f>EXP(-LN(2)/25)*AV38+(1-EXP(-LN(2)/25))/(LN(2)/25)*Calculateur!AQ39*Calculateur!AS39*VLOOKUP('Données projet'!$B$10,Paramètres!$A$1:$I$89,3,0)*0.475*44/12</f>
        <v>18.339011483048019</v>
      </c>
      <c r="AW39" s="21">
        <f>EXP(-LN(2)/2)*AW38+(1-EXP(-LN(2)/2))/(LN(2)/2)*AQ39*AT39*VLOOKUP('Données projet'!$B$10,Paramètres!$A$1:$I$89,3,0)*0.475*44/12</f>
        <v>11.203721779593071</v>
      </c>
      <c r="AX39" s="21">
        <f t="shared" si="6"/>
        <v>60.206737762994806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6">
        <f t="shared" si="1"/>
        <v>368.21879817981187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4.0942857142857143</v>
      </c>
      <c r="N40" s="13">
        <f>IF('Données projet'!$A$36&gt;35,N39+M40-V39,IF(A40&lt;'Données projet'!$A$36,$K$205^A40,IF(A40='Données projet'!$A$36,'Données projet'!$B$36,N39+M40-V39)))</f>
        <v>151.48857142857153</v>
      </c>
      <c r="O40" s="13">
        <f>N40*VLOOKUP('Données projet'!$B$9,Paramètres!$A$1:$I$89,3,0)*VLOOKUP('Données projet'!$B$9,Paramètres!$A$1:$I$89,5,0)</f>
        <v>137.06685942857152</v>
      </c>
      <c r="P40" s="13">
        <f t="shared" si="33"/>
        <v>35.624238388297236</v>
      </c>
      <c r="Q40" s="20">
        <f t="shared" si="53"/>
        <v>300.77032869771307</v>
      </c>
      <c r="R40" s="59">
        <f t="shared" si="0"/>
        <v>594.10366203104638</v>
      </c>
      <c r="S40" s="59">
        <f ca="1">AVERAGE(OFFSET($R$3,0,0,'Données projet'!$E$9+1,1))-AVERAGE(OFFSET($H$3,0,0,'Données projet'!$E$9+1,1))</f>
        <v>422.10969295064359</v>
      </c>
      <c r="T40" s="59">
        <f t="shared" si="34"/>
        <v>184.04075143033037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16.583750000000002</v>
      </c>
      <c r="AI40" s="13">
        <f>IF('Données projet'!$A$62&gt;35,AI39+AH40-AQ39,IF(A40&lt;'Données projet'!$A$62,$AF$205^A40,IF(A40='Données projet'!$A$62,'Données projet'!$B$62,AI39+AH40-AQ39)))</f>
        <v>252.64375000000001</v>
      </c>
      <c r="AJ40" s="13">
        <f>AI40*VLOOKUP('Données projet'!$B$10,Paramètres!$A$1:$I$89,3,0)*VLOOKUP('Données projet'!$B$10,Paramètres!$A$1:$I$89,5,0)</f>
        <v>151.0809625</v>
      </c>
      <c r="AK40" s="13">
        <f t="shared" si="35"/>
        <v>38.824135473109777</v>
      </c>
      <c r="AL40" s="20">
        <f t="shared" si="4"/>
        <v>330.75137896983284</v>
      </c>
      <c r="AM40" s="59">
        <f t="shared" si="5"/>
        <v>624.08471230316616</v>
      </c>
      <c r="AN40" s="59">
        <f ca="1">AVERAGE(OFFSET($AM$3,0,0,'Données projet'!$E$10+1,1))-AVERAGE(OFFSET($H$3,0,0,'Données projet'!$E$10+1,1))</f>
        <v>213.90220310357444</v>
      </c>
      <c r="AO40" s="59">
        <f t="shared" si="36"/>
        <v>209.61422409790703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30.062702075297739</v>
      </c>
      <c r="AV40" s="21">
        <f>EXP(-LN(2)/25)*AV39+(1-EXP(-LN(2)/25))/(LN(2)/25)*Calculateur!AQ40*Calculateur!AS40*VLOOKUP('Données projet'!$B$10,Paramètres!$A$1:$I$89,3,0)*0.475*44/12</f>
        <v>17.837530249637371</v>
      </c>
      <c r="AW40" s="21">
        <f>EXP(-LN(2)/2)*AW39+(1-EXP(-LN(2)/2))/(LN(2)/2)*AQ40*AT40*VLOOKUP('Données projet'!$B$10,Paramètres!$A$1:$I$89,3,0)*0.475*44/12</f>
        <v>7.9222276448776752</v>
      </c>
      <c r="AX40" s="21">
        <f t="shared" si="6"/>
        <v>55.822459969812783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6">
        <f t="shared" si="1"/>
        <v>370.18675757542417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4.0942857142857143</v>
      </c>
      <c r="N41" s="13">
        <f>IF('Données projet'!$A$36&gt;35,N40+M41-V40,IF(A41&lt;'Données projet'!$A$36,$K$205^A41,IF(A41='Données projet'!$A$36,'Données projet'!$B$36,N40+M41-V40)))</f>
        <v>155.58285714285725</v>
      </c>
      <c r="O41" s="13">
        <f>N41*VLOOKUP('Données projet'!$B$9,Paramètres!$A$1:$I$89,3,0)*VLOOKUP('Données projet'!$B$9,Paramètres!$A$1:$I$89,5,0)</f>
        <v>140.77136914285722</v>
      </c>
      <c r="P41" s="13">
        <f t="shared" si="33"/>
        <v>36.473658784165018</v>
      </c>
      <c r="Q41" s="20">
        <f t="shared" si="53"/>
        <v>308.70175697289704</v>
      </c>
      <c r="R41" s="59">
        <f t="shared" si="0"/>
        <v>602.03509030623036</v>
      </c>
      <c r="S41" s="59">
        <f ca="1">AVERAGE(OFFSET($R$3,0,0,'Données projet'!$E$9+1,1))-AVERAGE(OFFSET($H$3,0,0,'Données projet'!$E$9+1,1))</f>
        <v>422.10969295064359</v>
      </c>
      <c r="T41" s="59">
        <f t="shared" si="34"/>
        <v>184.04075143033037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16.583750000000002</v>
      </c>
      <c r="AI41" s="13">
        <f>IF('Données projet'!$A$62&gt;35,AI40+AH41-AQ40,IF(A41&lt;'Données projet'!$A$62,$AF$205^A41,IF(A41='Données projet'!$A$62,'Données projet'!$B$62,AI40+AH41-AQ40)))</f>
        <v>269.22750000000002</v>
      </c>
      <c r="AJ41" s="13">
        <f>AI41*VLOOKUP('Données projet'!$B$10,Paramètres!$A$1:$I$89,3,0)*VLOOKUP('Données projet'!$B$10,Paramètres!$A$1:$I$89,5,0)</f>
        <v>160.99804500000002</v>
      </c>
      <c r="AK41" s="13">
        <f t="shared" si="35"/>
        <v>41.067545707058052</v>
      </c>
      <c r="AL41" s="20">
        <f t="shared" si="4"/>
        <v>351.93090381479277</v>
      </c>
      <c r="AM41" s="59">
        <f t="shared" si="5"/>
        <v>645.26423714812609</v>
      </c>
      <c r="AN41" s="59">
        <f ca="1">AVERAGE(OFFSET($AM$3,0,0,'Données projet'!$E$10+1,1))-AVERAGE(OFFSET($H$3,0,0,'Données projet'!$E$10+1,1))</f>
        <v>213.90220310357444</v>
      </c>
      <c r="AO41" s="59">
        <f t="shared" si="36"/>
        <v>209.61422409790703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29.473190824038845</v>
      </c>
      <c r="AV41" s="21">
        <f>EXP(-LN(2)/25)*AV40+(1-EXP(-LN(2)/25))/(LN(2)/25)*Calculateur!AQ41*Calculateur!AS41*VLOOKUP('Données projet'!$B$10,Paramètres!$A$1:$I$89,3,0)*0.475*44/12</f>
        <v>17.349762046926088</v>
      </c>
      <c r="AW41" s="21">
        <f>EXP(-LN(2)/2)*AW40+(1-EXP(-LN(2)/2))/(LN(2)/2)*AQ41*AT41*VLOOKUP('Données projet'!$B$10,Paramètres!$A$1:$I$89,3,0)*0.475*44/12</f>
        <v>5.6018608897965363</v>
      </c>
      <c r="AX41" s="21">
        <f t="shared" si="6"/>
        <v>52.424813760761467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6">
        <f t="shared" si="1"/>
        <v>372.15343449123395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4.0942857142857143</v>
      </c>
      <c r="N42" s="13">
        <f>IF('Données projet'!$A$36&gt;35,N41+M42-V41,IF(A42&lt;'Données projet'!$A$36,$K$205^A42,IF(A42='Données projet'!$A$36,'Données projet'!$B$36,N41+M42-V41)))</f>
        <v>159.67714285714297</v>
      </c>
      <c r="O42" s="13">
        <f>N42*VLOOKUP('Données projet'!$B$9,Paramètres!$A$1:$I$89,3,0)*VLOOKUP('Données projet'!$B$9,Paramètres!$A$1:$I$89,5,0)</f>
        <v>144.47587885714296</v>
      </c>
      <c r="P42" s="13">
        <f t="shared" si="33"/>
        <v>37.320480935293446</v>
      </c>
      <c r="Q42" s="20">
        <f t="shared" si="53"/>
        <v>316.62865997182678</v>
      </c>
      <c r="R42" s="59">
        <f t="shared" si="0"/>
        <v>609.96199330516015</v>
      </c>
      <c r="S42" s="59">
        <f ca="1">AVERAGE(OFFSET($R$3,0,0,'Données projet'!$E$9+1,1))-AVERAGE(OFFSET($H$3,0,0,'Données projet'!$E$9+1,1))</f>
        <v>422.10969295064359</v>
      </c>
      <c r="T42" s="59">
        <f t="shared" si="34"/>
        <v>184.04075143033037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16.583750000000002</v>
      </c>
      <c r="AI42" s="13">
        <f>IF('Données projet'!$A$62&gt;35,AI41+AH42-AQ41,IF(A42&lt;'Données projet'!$A$62,$AF$205^A42,IF(A42='Données projet'!$A$62,'Données projet'!$B$62,AI41+AH42-AQ41)))</f>
        <v>285.81125000000003</v>
      </c>
      <c r="AJ42" s="13">
        <f>AI42*VLOOKUP('Données projet'!$B$10,Paramètres!$A$1:$I$89,3,0)*VLOOKUP('Données projet'!$B$10,Paramètres!$A$1:$I$89,5,0)</f>
        <v>170.91512750000004</v>
      </c>
      <c r="AK42" s="13">
        <f t="shared" si="35"/>
        <v>43.294917618591782</v>
      </c>
      <c r="AL42" s="20">
        <f t="shared" si="4"/>
        <v>373.08249524821412</v>
      </c>
      <c r="AM42" s="59">
        <f t="shared" si="5"/>
        <v>666.41582858154743</v>
      </c>
      <c r="AN42" s="59">
        <f ca="1">AVERAGE(OFFSET($AM$3,0,0,'Données projet'!$E$10+1,1))-AVERAGE(OFFSET($H$3,0,0,'Données projet'!$E$10+1,1))</f>
        <v>213.90220310357444</v>
      </c>
      <c r="AO42" s="59">
        <f t="shared" si="36"/>
        <v>209.61422409790703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28.895239528850777</v>
      </c>
      <c r="AV42" s="21">
        <f>EXP(-LN(2)/25)*AV41+(1-EXP(-LN(2)/25))/(LN(2)/25)*Calculateur!AQ42*Calculateur!AS42*VLOOKUP('Données projet'!$B$10,Paramètres!$A$1:$I$89,3,0)*0.475*44/12</f>
        <v>16.87533189136856</v>
      </c>
      <c r="AW42" s="21">
        <f>EXP(-LN(2)/2)*AW41+(1-EXP(-LN(2)/2))/(LN(2)/2)*AQ42*AT42*VLOOKUP('Données projet'!$B$10,Paramètres!$A$1:$I$89,3,0)*0.475*44/12</f>
        <v>3.961113822438838</v>
      </c>
      <c r="AX42" s="21">
        <f t="shared" si="6"/>
        <v>49.73168524265818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6">
        <f t="shared" si="1"/>
        <v>374.11886559244715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4.0942857142857143</v>
      </c>
      <c r="N43" s="13">
        <f>IF('Données projet'!$A$36&gt;35,N42+M43-V42,IF(A43&lt;'Données projet'!$A$36,$K$205^A43,IF(A43='Données projet'!$A$36,'Données projet'!$B$36,N42+M43-V42)))</f>
        <v>163.77142857142869</v>
      </c>
      <c r="O43" s="13">
        <f>N43*VLOOKUP('Données projet'!$B$9,Paramètres!$A$1:$I$89,3,0)*VLOOKUP('Données projet'!$B$9,Paramètres!$A$1:$I$89,5,0)</f>
        <v>148.18038857142867</v>
      </c>
      <c r="P43" s="13">
        <f t="shared" si="33"/>
        <v>38.16477912369308</v>
      </c>
      <c r="Q43" s="20">
        <f t="shared" si="53"/>
        <v>324.55116706900372</v>
      </c>
      <c r="R43" s="59">
        <f t="shared" si="0"/>
        <v>617.88450040233704</v>
      </c>
      <c r="S43" s="59">
        <f ca="1">AVERAGE(OFFSET($R$3,0,0,'Données projet'!$E$9+1,1))-AVERAGE(OFFSET($H$3,0,0,'Données projet'!$E$9+1,1))</f>
        <v>422.10969295064359</v>
      </c>
      <c r="T43" s="59">
        <f t="shared" si="34"/>
        <v>184.04075143033037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16.583750000000002</v>
      </c>
      <c r="AI43" s="13">
        <f>IF('Données projet'!$A$62&gt;35,AI42+AH43-AQ42,IF(A43&lt;'Données projet'!$A$62,$AF$205^A43,IF(A43='Données projet'!$A$62,'Données projet'!$B$62,AI42+AH43-AQ42)))</f>
        <v>302.39500000000004</v>
      </c>
      <c r="AJ43" s="13">
        <f>AI43*VLOOKUP('Données projet'!$B$10,Paramètres!$A$1:$I$89,3,0)*VLOOKUP('Données projet'!$B$10,Paramètres!$A$1:$I$89,5,0)</f>
        <v>180.83221000000003</v>
      </c>
      <c r="AK43" s="13">
        <f t="shared" si="35"/>
        <v>45.507287823747916</v>
      </c>
      <c r="AL43" s="20">
        <f t="shared" si="4"/>
        <v>394.20795870969431</v>
      </c>
      <c r="AM43" s="59">
        <f t="shared" si="5"/>
        <v>687.54129204302762</v>
      </c>
      <c r="AN43" s="59">
        <f ca="1">AVERAGE(OFFSET($AM$3,0,0,'Données projet'!$E$10+1,1))-AVERAGE(OFFSET($H$3,0,0,'Données projet'!$E$10+1,1))</f>
        <v>213.90220310357444</v>
      </c>
      <c r="AO43" s="59">
        <f t="shared" si="36"/>
        <v>209.61422409790703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28.328621506045867</v>
      </c>
      <c r="AV43" s="21">
        <f>EXP(-LN(2)/25)*AV42+(1-EXP(-LN(2)/25))/(LN(2)/25)*Calculateur!AQ43*Calculateur!AS43*VLOOKUP('Données projet'!$B$10,Paramètres!$A$1:$I$89,3,0)*0.475*44/12</f>
        <v>16.413875053363952</v>
      </c>
      <c r="AW43" s="21">
        <f>EXP(-LN(2)/2)*AW42+(1-EXP(-LN(2)/2))/(LN(2)/2)*AQ43*AT43*VLOOKUP('Données projet'!$B$10,Paramètres!$A$1:$I$89,3,0)*0.475*44/12</f>
        <v>2.8009304448982686</v>
      </c>
      <c r="AX43" s="21">
        <f t="shared" si="6"/>
        <v>47.543427004308086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6">
        <f t="shared" si="1"/>
        <v>376.08308560652495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4.0942857142857143</v>
      </c>
      <c r="N44" s="13">
        <f>IF('Données projet'!$A$36&gt;35,N43+M44-V43,IF(A44&lt;'Données projet'!$A$36,$K$205^A44,IF(A44='Données projet'!$A$36,'Données projet'!$B$36,N43+M44-V43)))</f>
        <v>167.8657142857144</v>
      </c>
      <c r="O44" s="13">
        <f>N44*VLOOKUP('Données projet'!$B$9,Paramètres!$A$1:$I$89,3,0)*VLOOKUP('Données projet'!$B$9,Paramètres!$A$1:$I$89,5,0)</f>
        <v>151.88489828571437</v>
      </c>
      <c r="P44" s="13">
        <f t="shared" si="33"/>
        <v>39.006623705593562</v>
      </c>
      <c r="Q44" s="20">
        <f t="shared" si="53"/>
        <v>332.46940080152797</v>
      </c>
      <c r="R44" s="59">
        <f t="shared" si="0"/>
        <v>625.80273413486134</v>
      </c>
      <c r="S44" s="59">
        <f ca="1">AVERAGE(OFFSET($R$3,0,0,'Données projet'!$E$9+1,1))-AVERAGE(OFFSET($H$3,0,0,'Données projet'!$E$9+1,1))</f>
        <v>422.10969295064359</v>
      </c>
      <c r="T44" s="59">
        <f t="shared" si="34"/>
        <v>184.04075143033037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16.583750000000002</v>
      </c>
      <c r="AI44" s="13">
        <f>IF('Données projet'!$A$62&gt;35,AI43+AH44-AQ43,IF(A44&lt;'Données projet'!$A$62,$AF$205^A44,IF(A44='Données projet'!$A$62,'Données projet'!$B$62,AI43+AH44-AQ43)))</f>
        <v>318.97875000000005</v>
      </c>
      <c r="AJ44" s="13">
        <f>AI44*VLOOKUP('Données projet'!$B$10,Paramètres!$A$1:$I$89,3,0)*VLOOKUP('Données projet'!$B$10,Paramètres!$A$1:$I$89,5,0)</f>
        <v>190.74929250000002</v>
      </c>
      <c r="AK44" s="13">
        <f t="shared" si="35"/>
        <v>47.705572818216723</v>
      </c>
      <c r="AL44" s="20">
        <f t="shared" si="4"/>
        <v>415.30889042922746</v>
      </c>
      <c r="AM44" s="59">
        <f t="shared" si="5"/>
        <v>708.64222376256077</v>
      </c>
      <c r="AN44" s="59">
        <f ca="1">AVERAGE(OFFSET($AM$3,0,0,'Données projet'!$E$10+1,1))-AVERAGE(OFFSET($H$3,0,0,'Données projet'!$E$10+1,1))</f>
        <v>213.90220310357444</v>
      </c>
      <c r="AO44" s="59">
        <f t="shared" si="36"/>
        <v>209.61422409790703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27.773114517065292</v>
      </c>
      <c r="AV44" s="21">
        <f>EXP(-LN(2)/25)*AV43+(1-EXP(-LN(2)/25))/(LN(2)/25)*Calculateur!AQ44*Calculateur!AS44*VLOOKUP('Données projet'!$B$10,Paramètres!$A$1:$I$89,3,0)*0.475*44/12</f>
        <v>15.96503677686154</v>
      </c>
      <c r="AW44" s="21">
        <f>EXP(-LN(2)/2)*AW43+(1-EXP(-LN(2)/2))/(LN(2)/2)*AQ44*AT44*VLOOKUP('Données projet'!$B$10,Paramètres!$A$1:$I$89,3,0)*0.475*44/12</f>
        <v>1.9805569112194195</v>
      </c>
      <c r="AX44" s="21">
        <f t="shared" si="6"/>
        <v>45.71870820514625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6">
        <f t="shared" si="1"/>
        <v>378.04612747032132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4.0942857142857143</v>
      </c>
      <c r="M45" s="12">
        <f t="array" ref="M45">INDEX(L:L,MIN(IF(ISNUMBER(L45:L241),ROW(L45:L241),"")))</f>
        <v>4.0942857142857143</v>
      </c>
      <c r="N45" s="13">
        <f>IF('Données projet'!$A$36&gt;35,N44+M45-V44,IF(A45&lt;'Données projet'!$A$36,$K$205^A45,IF(A45='Données projet'!$A$36,'Données projet'!$B$36,N44+M45-V44)))</f>
        <v>171.96000000000012</v>
      </c>
      <c r="O45" s="13">
        <f>N45*VLOOKUP('Données projet'!$B$9,Paramètres!$A$1:$I$89,3,0)*VLOOKUP('Données projet'!$B$9,Paramètres!$A$1:$I$89,5,0)</f>
        <v>155.58940800000011</v>
      </c>
      <c r="P45" s="13">
        <f t="shared" si="33"/>
        <v>39.846081409537142</v>
      </c>
      <c r="Q45" s="20">
        <f t="shared" si="53"/>
        <v>340.3834773882773</v>
      </c>
      <c r="R45" s="59">
        <f t="shared" si="0"/>
        <v>633.71681072161061</v>
      </c>
      <c r="S45" s="59">
        <f ca="1">AVERAGE(OFFSET($R$3,0,0,'Données projet'!$E$9+1,1))-AVERAGE(OFFSET($H$3,0,0,'Données projet'!$E$9+1,1))</f>
        <v>422.10969295064359</v>
      </c>
      <c r="T45" s="59">
        <f t="shared" si="34"/>
        <v>184.04075143033037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44.510000000000005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15.254654682209745</v>
      </c>
      <c r="AB45" s="21">
        <f>EXP(-LN(2)/2)*AB44+(1-EXP(-LN(2)/2))/(LN(2)/2)*V45*Y45*VLOOKUP('Données projet'!$B$9,Paramètres!$A$1:$I$89,3,0)*0.475*44/12</f>
        <v>7.599665462085774</v>
      </c>
      <c r="AC45" s="22">
        <f t="shared" si="3"/>
        <v>22.854320144295521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16.583750000000002</v>
      </c>
      <c r="AI45" s="13">
        <f>IF('Données projet'!$A$62&gt;35,AI44+AH45-AQ44,IF(A45&lt;'Données projet'!$A$62,$AF$205^A45,IF(A45='Données projet'!$A$62,'Données projet'!$B$62,AI44+AH45-AQ44)))</f>
        <v>335.56250000000006</v>
      </c>
      <c r="AJ45" s="13">
        <f>AI45*VLOOKUP('Données projet'!$B$10,Paramètres!$A$1:$I$89,3,0)*VLOOKUP('Données projet'!$B$10,Paramètres!$A$1:$I$89,5,0)</f>
        <v>200.66637500000007</v>
      </c>
      <c r="AK45" s="13">
        <f t="shared" si="35"/>
        <v>49.890588417680917</v>
      </c>
      <c r="AL45" s="20">
        <f t="shared" si="4"/>
        <v>436.38671128579443</v>
      </c>
      <c r="AM45" s="59">
        <f t="shared" si="5"/>
        <v>729.72004461912775</v>
      </c>
      <c r="AN45" s="59">
        <f ca="1">AVERAGE(OFFSET($AM$3,0,0,'Données projet'!$E$10+1,1))-AVERAGE(OFFSET($H$3,0,0,'Données projet'!$E$10+1,1))</f>
        <v>213.90220310357444</v>
      </c>
      <c r="AO45" s="59">
        <f t="shared" si="36"/>
        <v>209.61422409790703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27.228500681312816</v>
      </c>
      <c r="AV45" s="21">
        <f>EXP(-LN(2)/25)*AV44+(1-EXP(-LN(2)/25))/(LN(2)/25)*Calculateur!AQ45*Calculateur!AS45*VLOOKUP('Données projet'!$B$10,Paramètres!$A$1:$I$89,3,0)*0.475*44/12</f>
        <v>15.528472006633466</v>
      </c>
      <c r="AW45" s="21">
        <f>EXP(-LN(2)/2)*AW44+(1-EXP(-LN(2)/2))/(LN(2)/2)*AQ45*AT45*VLOOKUP('Données projet'!$B$10,Paramètres!$A$1:$I$89,3,0)*0.475*44/12</f>
        <v>1.4004652224491345</v>
      </c>
      <c r="AX45" s="21">
        <f t="shared" si="6"/>
        <v>44.157437910395416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6">
        <f t="shared" si="1"/>
        <v>380.00802246281268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10.110000000000001</v>
      </c>
      <c r="N46" s="13">
        <f>IF('Données projet'!$A$36&gt;35,N45+M46-V45,IF(A46&lt;'Données projet'!$A$36,$K$205^A46,IF(A46='Données projet'!$A$36,'Données projet'!$B$36,N45+M46-V45)))</f>
        <v>137.56000000000012</v>
      </c>
      <c r="O46" s="13">
        <f>N46*VLOOKUP('Données projet'!$B$9,Paramètres!$A$1:$I$89,3,0)*VLOOKUP('Données projet'!$B$9,Paramètres!$A$1:$I$89,5,0)</f>
        <v>124.4642880000001</v>
      </c>
      <c r="P46" s="13">
        <f t="shared" si="33"/>
        <v>32.713997336243899</v>
      </c>
      <c r="Q46" s="20">
        <f t="shared" si="53"/>
        <v>273.75218029395825</v>
      </c>
      <c r="R46" s="59">
        <f t="shared" si="0"/>
        <v>567.08551362729156</v>
      </c>
      <c r="S46" s="59">
        <f ca="1">AVERAGE(OFFSET($R$3,0,0,'Données projet'!$E$9+1,1))-AVERAGE(OFFSET($H$3,0,0,'Données projet'!$E$9+1,1))</f>
        <v>422.10969295064359</v>
      </c>
      <c r="T46" s="59">
        <f t="shared" si="34"/>
        <v>184.04075143033037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14.837515347717295</v>
      </c>
      <c r="AB46" s="21">
        <f>EXP(-LN(2)/2)*AB45+(1-EXP(-LN(2)/2))/(LN(2)/2)*V46*Y46*VLOOKUP('Données projet'!$B$9,Paramètres!$A$1:$I$89,3,0)*0.475*44/12</f>
        <v>5.3737749829900485</v>
      </c>
      <c r="AC46" s="22">
        <f t="shared" si="3"/>
        <v>20.211290330707342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16.583750000000002</v>
      </c>
      <c r="AI46" s="13">
        <f>IF('Données projet'!$A$62&gt;35,AI45+AH46-AQ45,IF(A46&lt;'Données projet'!$A$62,$AF$205^A46,IF(A46='Données projet'!$A$62,'Données projet'!$B$62,AI45+AH46-AQ45)))</f>
        <v>352.14625000000007</v>
      </c>
      <c r="AJ46" s="13">
        <f>AI46*VLOOKUP('Données projet'!$B$10,Paramètres!$A$1:$I$89,3,0)*VLOOKUP('Données projet'!$B$10,Paramètres!$A$1:$I$89,5,0)</f>
        <v>210.58345750000007</v>
      </c>
      <c r="AK46" s="13">
        <f t="shared" si="35"/>
        <v>52.063065246002132</v>
      </c>
      <c r="AL46" s="20">
        <f t="shared" si="4"/>
        <v>457.44269378262044</v>
      </c>
      <c r="AM46" s="59">
        <f t="shared" si="5"/>
        <v>750.77602711595375</v>
      </c>
      <c r="AN46" s="59">
        <f ca="1">AVERAGE(OFFSET($AM$3,0,0,'Données projet'!$E$10+1,1))-AVERAGE(OFFSET($H$3,0,0,'Données projet'!$E$10+1,1))</f>
        <v>213.90220310357444</v>
      </c>
      <c r="AO46" s="59">
        <f t="shared" si="36"/>
        <v>209.61422409790703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26.694566390697808</v>
      </c>
      <c r="AV46" s="21">
        <f>EXP(-LN(2)/25)*AV45+(1-EXP(-LN(2)/25))/(LN(2)/25)*Calculateur!AQ46*Calculateur!AS46*VLOOKUP('Données projet'!$B$10,Paramètres!$A$1:$I$89,3,0)*0.475*44/12</f>
        <v>15.103845123005222</v>
      </c>
      <c r="AW46" s="21">
        <f>EXP(-LN(2)/2)*AW45+(1-EXP(-LN(2)/2))/(LN(2)/2)*AQ46*AT46*VLOOKUP('Données projet'!$B$10,Paramètres!$A$1:$I$89,3,0)*0.475*44/12</f>
        <v>0.99027845560970984</v>
      </c>
      <c r="AX46" s="21">
        <f t="shared" si="6"/>
        <v>42.788689969312742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6">
        <f t="shared" si="1"/>
        <v>381.96880032513235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10.110000000000001</v>
      </c>
      <c r="N47" s="13">
        <f>IF('Données projet'!$A$36&gt;35,N46+M47-V46,IF(A47&lt;'Données projet'!$A$36,$K$205^A47,IF(A47='Données projet'!$A$36,'Données projet'!$B$36,N46+M47-V46)))</f>
        <v>147.67000000000013</v>
      </c>
      <c r="O47" s="13">
        <f>N47*VLOOKUP('Données projet'!$B$9,Paramètres!$A$1:$I$89,3,0)*VLOOKUP('Données projet'!$B$9,Paramètres!$A$1:$I$89,5,0)</f>
        <v>133.61181600000012</v>
      </c>
      <c r="P47" s="13">
        <f t="shared" si="33"/>
        <v>34.829608206917271</v>
      </c>
      <c r="Q47" s="20">
        <f t="shared" si="53"/>
        <v>293.36881382704775</v>
      </c>
      <c r="R47" s="59">
        <f t="shared" si="0"/>
        <v>586.70214716038106</v>
      </c>
      <c r="S47" s="59">
        <f ca="1">AVERAGE(OFFSET($R$3,0,0,'Données projet'!$E$9+1,1))-AVERAGE(OFFSET($H$3,0,0,'Données projet'!$E$9+1,1))</f>
        <v>422.10969295064359</v>
      </c>
      <c r="T47" s="59">
        <f t="shared" si="34"/>
        <v>184.04075143033037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14.431782710262945</v>
      </c>
      <c r="AB47" s="21">
        <f>EXP(-LN(2)/2)*AB46+(1-EXP(-LN(2)/2))/(LN(2)/2)*V47*Y47*VLOOKUP('Données projet'!$B$9,Paramètres!$A$1:$I$89,3,0)*0.475*44/12</f>
        <v>3.7998327310428874</v>
      </c>
      <c r="AC47" s="22">
        <f t="shared" si="3"/>
        <v>18.231615441305834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368.73</v>
      </c>
      <c r="AG47" s="12">
        <f>VLOOKUP(A47,'Données projet'!$A$61:$I$81,9,0)</f>
        <v>16.583750000000002</v>
      </c>
      <c r="AH47" s="12">
        <f t="array" ref="AH47">INDEX(AG:AG,MIN(IF(ISNUMBER(AG47:AG243),ROW(AG47:AG243),"")))</f>
        <v>16.583750000000002</v>
      </c>
      <c r="AI47" s="13">
        <f>IF('Données projet'!$A$62&gt;35,AI46+AH47-AQ46,IF(A47&lt;'Données projet'!$A$62,$AF$205^A47,IF(A47='Données projet'!$A$62,'Données projet'!$B$62,AI46+AH47-AQ46)))</f>
        <v>368.73000000000008</v>
      </c>
      <c r="AJ47" s="13">
        <f>AI47*VLOOKUP('Données projet'!$B$10,Paramètres!$A$1:$I$89,3,0)*VLOOKUP('Données projet'!$B$10,Paramètres!$A$1:$I$89,5,0)</f>
        <v>220.50054000000006</v>
      </c>
      <c r="AK47" s="13">
        <f t="shared" si="35"/>
        <v>54.223661223229719</v>
      </c>
      <c r="AL47" s="20">
        <f t="shared" si="4"/>
        <v>478.47798379712521</v>
      </c>
      <c r="AM47" s="59">
        <f t="shared" si="5"/>
        <v>771.81131713045852</v>
      </c>
      <c r="AN47" s="59">
        <f ca="1">AVERAGE(OFFSET($AM$3,0,0,'Données projet'!$E$10+1,1))-AVERAGE(OFFSET($H$3,0,0,'Données projet'!$E$10+1,1))</f>
        <v>213.90220310357444</v>
      </c>
      <c r="AO47" s="59">
        <f t="shared" si="36"/>
        <v>209.61422409790703</v>
      </c>
      <c r="AP47" s="15">
        <f>IF(ISNA(VLOOKUP(A47,'Données projet'!$A$61:$I$81,3,0)),0,VLOOKUP(A47,'Données projet'!$A$61:$I$81,3,0))</f>
        <v>5</v>
      </c>
      <c r="AQ47" s="15">
        <f>IF(ISNA(VLOOKUP(A47,'Données projet'!$A$61:$I$81,4,0)),0,VLOOKUP(A47,'Données projet'!$A$61:$I$81,4,0))</f>
        <v>78.240000000000009</v>
      </c>
      <c r="AR47" s="16">
        <f>IF(ISNA(VLOOKUP(A47,'Données projet'!$A$61:$I$81,5,0)),0%,VLOOKUP(A47,'Données projet'!$A$61:$I$81,5,0)*VLOOKUP('Données projet'!$B$10,Paramètres!$A$1:$I$89,7,0))</f>
        <v>0.27</v>
      </c>
      <c r="AS47" s="16">
        <f>IF(ISNA(VLOOKUP(A47,'Données projet'!$A$61:$I$81,6,0)),0%,VLOOKUP(A47,'Données projet'!$A$61:$I$81,6,0)*VLOOKUP('Données projet'!$B$10,Paramètres!$A$1:$I$89,7,0))</f>
        <v>9.0000000000000011E-2</v>
      </c>
      <c r="AT47" s="16">
        <f>IF(ISNA(VLOOKUP(A47,'Données projet'!$A$61:$I$81,7,0)),0%,VLOOKUP(A47,'Données projet'!$A$61:$I$81,7,0))</f>
        <v>0.2</v>
      </c>
      <c r="AU47" s="21">
        <f>EXP(-LN(2)/35)*AU46+(1-EXP(-LN(2)/35))/(LN(2)/35)*AQ47*AR47*VLOOKUP('Données projet'!$B$10,Paramètres!$A$1:$I$89,3,0)*0.475*44/12</f>
        <v>42.92910069319899</v>
      </c>
      <c r="AV47" s="21">
        <f>EXP(-LN(2)/25)*AV46+(1-EXP(-LN(2)/25))/(LN(2)/25)*Calculateur!AQ47*Calculateur!AS47*VLOOKUP('Données projet'!$B$10,Paramètres!$A$1:$I$89,3,0)*0.475*44/12</f>
        <v>20.254834964533629</v>
      </c>
      <c r="AW47" s="21">
        <f>EXP(-LN(2)/2)*AW46+(1-EXP(-LN(2)/2))/(LN(2)/2)*AQ47*AT47*VLOOKUP('Données projet'!$B$10,Paramètres!$A$1:$I$89,3,0)*0.475*44/12</f>
        <v>11.295100864257664</v>
      </c>
      <c r="AX47" s="21">
        <f t="shared" si="6"/>
        <v>74.479036521990281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6">
        <f t="shared" si="1"/>
        <v>383.92848936938583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10.110000000000001</v>
      </c>
      <c r="N48" s="13">
        <f>IF('Données projet'!$A$36&gt;35,N47+M48-V47,IF(A48&lt;'Données projet'!$A$36,$K$205^A48,IF(A48='Données projet'!$A$36,'Données projet'!$B$36,N47+M48-V47)))</f>
        <v>157.78000000000014</v>
      </c>
      <c r="O48" s="13">
        <f>N48*VLOOKUP('Données projet'!$B$9,Paramètres!$A$1:$I$89,3,0)*VLOOKUP('Données projet'!$B$9,Paramètres!$A$1:$I$89,5,0)</f>
        <v>142.75934400000011</v>
      </c>
      <c r="P48" s="13">
        <f t="shared" si="33"/>
        <v>36.928412609012774</v>
      </c>
      <c r="Q48" s="20">
        <f t="shared" si="53"/>
        <v>312.95617609403075</v>
      </c>
      <c r="R48" s="59">
        <f t="shared" si="0"/>
        <v>606.28950942736401</v>
      </c>
      <c r="S48" s="59">
        <f ca="1">AVERAGE(OFFSET($R$3,0,0,'Données projet'!$E$9+1,1))-AVERAGE(OFFSET($H$3,0,0,'Données projet'!$E$9+1,1))</f>
        <v>422.10969295064359</v>
      </c>
      <c r="T48" s="59">
        <f t="shared" si="34"/>
        <v>184.04075143033037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14.037144853116336</v>
      </c>
      <c r="AB48" s="21">
        <f>EXP(-LN(2)/2)*AB47+(1-EXP(-LN(2)/2))/(LN(2)/2)*V48*Y48*VLOOKUP('Données projet'!$B$9,Paramètres!$A$1:$I$89,3,0)*0.475*44/12</f>
        <v>2.6868874914950243</v>
      </c>
      <c r="AC48" s="22">
        <f t="shared" si="3"/>
        <v>16.724032344611359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14.689999999999998</v>
      </c>
      <c r="AI48" s="13">
        <f>IF('Données projet'!$A$62&gt;35,AI47+AH48-AQ47,IF(A48&lt;'Données projet'!$A$62,$AF$205^A48,IF(A48='Données projet'!$A$62,'Données projet'!$B$62,AI47+AH48-AQ47)))</f>
        <v>305.18000000000006</v>
      </c>
      <c r="AJ48" s="13">
        <f>AI48*VLOOKUP('Données projet'!$B$10,Paramètres!$A$1:$I$89,3,0)*VLOOKUP('Données projet'!$B$10,Paramètres!$A$1:$I$89,5,0)</f>
        <v>182.49764000000005</v>
      </c>
      <c r="AK48" s="13">
        <f t="shared" si="35"/>
        <v>45.877418600848756</v>
      </c>
      <c r="AL48" s="20">
        <f t="shared" si="4"/>
        <v>397.753227063145</v>
      </c>
      <c r="AM48" s="59">
        <f t="shared" si="5"/>
        <v>691.08656039647826</v>
      </c>
      <c r="AN48" s="59">
        <f ca="1">AVERAGE(OFFSET($AM$3,0,0,'Données projet'!$E$10+1,1))-AVERAGE(OFFSET($H$3,0,0,'Données projet'!$E$10+1,1))</f>
        <v>213.90220310357444</v>
      </c>
      <c r="AO48" s="59">
        <f t="shared" si="36"/>
        <v>209.61422409790703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42.087287212771308</v>
      </c>
      <c r="AV48" s="21">
        <f>EXP(-LN(2)/25)*AV47+(1-EXP(-LN(2)/25))/(LN(2)/25)*Calculateur!AQ48*Calculateur!AS48*VLOOKUP('Données projet'!$B$10,Paramètres!$A$1:$I$89,3,0)*0.475*44/12</f>
        <v>19.700965437272981</v>
      </c>
      <c r="AW48" s="21">
        <f>EXP(-LN(2)/2)*AW47+(1-EXP(-LN(2)/2))/(LN(2)/2)*AQ48*AT48*VLOOKUP('Données projet'!$B$10,Paramètres!$A$1:$I$89,3,0)*0.475*44/12</f>
        <v>7.986842415302629</v>
      </c>
      <c r="AX48" s="21">
        <f t="shared" si="6"/>
        <v>69.775095065346918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6">
        <f t="shared" si="1"/>
        <v>385.88711657752037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10.110000000000001</v>
      </c>
      <c r="N49" s="13">
        <f>IF('Données projet'!$A$36&gt;35,N48+M49-V48,IF(A49&lt;'Données projet'!$A$36,$K$205^A49,IF(A49='Données projet'!$A$36,'Données projet'!$B$36,N48+M49-V48)))</f>
        <v>167.89000000000016</v>
      </c>
      <c r="O49" s="13">
        <f>N49*VLOOKUP('Données projet'!$B$9,Paramètres!$A$1:$I$89,3,0)*VLOOKUP('Données projet'!$B$9,Paramètres!$A$1:$I$89,5,0)</f>
        <v>151.90687200000013</v>
      </c>
      <c r="P49" s="13">
        <f t="shared" si="33"/>
        <v>39.011610015763097</v>
      </c>
      <c r="Q49" s="20">
        <f t="shared" si="53"/>
        <v>332.51635617745427</v>
      </c>
      <c r="R49" s="59">
        <f t="shared" si="0"/>
        <v>625.84968951078758</v>
      </c>
      <c r="S49" s="59">
        <f ca="1">AVERAGE(OFFSET($R$3,0,0,'Données projet'!$E$9+1,1))-AVERAGE(OFFSET($H$3,0,0,'Données projet'!$E$9+1,1))</f>
        <v>422.10969295064359</v>
      </c>
      <c r="T49" s="59">
        <f t="shared" si="34"/>
        <v>184.04075143033037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13.653298388926505</v>
      </c>
      <c r="AB49" s="21">
        <f>EXP(-LN(2)/2)*AB48+(1-EXP(-LN(2)/2))/(LN(2)/2)*V49*Y49*VLOOKUP('Données projet'!$B$9,Paramètres!$A$1:$I$89,3,0)*0.475*44/12</f>
        <v>1.8999163655214437</v>
      </c>
      <c r="AC49" s="22">
        <f t="shared" si="3"/>
        <v>15.553214754447948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14.689999999999998</v>
      </c>
      <c r="AI49" s="13">
        <f>IF('Données projet'!$A$62&gt;35,AI48+AH49-AQ48,IF(A49&lt;'Données projet'!$A$62,$AF$205^A49,IF(A49='Données projet'!$A$62,'Données projet'!$B$62,AI48+AH49-AQ48)))</f>
        <v>319.87000000000006</v>
      </c>
      <c r="AJ49" s="13">
        <f>AI49*VLOOKUP('Données projet'!$B$10,Paramètres!$A$1:$I$89,3,0)*VLOOKUP('Données projet'!$B$10,Paramètres!$A$1:$I$89,5,0)</f>
        <v>191.28226000000004</v>
      </c>
      <c r="AK49" s="13">
        <f t="shared" si="35"/>
        <v>47.823331262073218</v>
      </c>
      <c r="AL49" s="20">
        <f t="shared" si="4"/>
        <v>416.44223811477758</v>
      </c>
      <c r="AM49" s="59">
        <f t="shared" si="5"/>
        <v>709.7755714481109</v>
      </c>
      <c r="AN49" s="59">
        <f ca="1">AVERAGE(OFFSET($AM$3,0,0,'Données projet'!$E$10+1,1))-AVERAGE(OFFSET($H$3,0,0,'Données projet'!$E$10+1,1))</f>
        <v>213.90220310357444</v>
      </c>
      <c r="AO49" s="59">
        <f t="shared" si="36"/>
        <v>209.61422409790703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41.261981181239292</v>
      </c>
      <c r="AV49" s="21">
        <f>EXP(-LN(2)/25)*AV48+(1-EXP(-LN(2)/25))/(LN(2)/25)*Calculateur!AQ49*Calculateur!AS49*VLOOKUP('Données projet'!$B$10,Paramètres!$A$1:$I$89,3,0)*0.475*44/12</f>
        <v>19.162241501362004</v>
      </c>
      <c r="AW49" s="21">
        <f>EXP(-LN(2)/2)*AW48+(1-EXP(-LN(2)/2))/(LN(2)/2)*AQ49*AT49*VLOOKUP('Données projet'!$B$10,Paramètres!$A$1:$I$89,3,0)*0.475*44/12</f>
        <v>5.647550432128833</v>
      </c>
      <c r="AX49" s="21">
        <f t="shared" si="6"/>
        <v>66.071773114730135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6">
        <f t="shared" si="1"/>
        <v>387.84470769135481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10.110000000000001</v>
      </c>
      <c r="N50" s="13">
        <f>IF('Données projet'!$A$36&gt;35,N49+M50-V49,IF(A50&lt;'Données projet'!$A$36,$K$205^A50,IF(A50='Données projet'!$A$36,'Données projet'!$B$36,N49+M50-V49)))</f>
        <v>178.00000000000017</v>
      </c>
      <c r="O50" s="13">
        <f>N50*VLOOKUP('Données projet'!$B$9,Paramètres!$A$1:$I$89,3,0)*VLOOKUP('Données projet'!$B$9,Paramètres!$A$1:$I$89,5,0)</f>
        <v>161.05440000000016</v>
      </c>
      <c r="P50" s="13">
        <f t="shared" si="33"/>
        <v>41.080247278685491</v>
      </c>
      <c r="Q50" s="20">
        <f t="shared" si="53"/>
        <v>352.05117734371078</v>
      </c>
      <c r="R50" s="59">
        <f t="shared" si="0"/>
        <v>645.38451067704409</v>
      </c>
      <c r="S50" s="59">
        <f ca="1">AVERAGE(OFFSET($R$3,0,0,'Données projet'!$E$9+1,1))-AVERAGE(OFFSET($H$3,0,0,'Données projet'!$E$9+1,1))</f>
        <v>422.10969295064359</v>
      </c>
      <c r="T50" s="59">
        <f t="shared" si="34"/>
        <v>184.04075143033037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13.279948226485553</v>
      </c>
      <c r="AB50" s="21">
        <f>EXP(-LN(2)/2)*AB49+(1-EXP(-LN(2)/2))/(LN(2)/2)*V50*Y50*VLOOKUP('Données projet'!$B$9,Paramètres!$A$1:$I$89,3,0)*0.475*44/12</f>
        <v>1.3434437457475121</v>
      </c>
      <c r="AC50" s="22">
        <f t="shared" si="3"/>
        <v>14.623391972233065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14.689999999999998</v>
      </c>
      <c r="AI50" s="13">
        <f>IF('Données projet'!$A$62&gt;35,AI49+AH50-AQ49,IF(A50&lt;'Données projet'!$A$62,$AF$205^A50,IF(A50='Données projet'!$A$62,'Données projet'!$B$62,AI49+AH50-AQ49)))</f>
        <v>334.56000000000006</v>
      </c>
      <c r="AJ50" s="13">
        <f>AI50*VLOOKUP('Données projet'!$B$10,Paramètres!$A$1:$I$89,3,0)*VLOOKUP('Données projet'!$B$10,Paramètres!$A$1:$I$89,5,0)</f>
        <v>200.06688000000005</v>
      </c>
      <c r="AK50" s="13">
        <f t="shared" si="35"/>
        <v>49.758865639104997</v>
      </c>
      <c r="AL50" s="20">
        <f t="shared" si="4"/>
        <v>435.11317365477458</v>
      </c>
      <c r="AM50" s="59">
        <f t="shared" si="5"/>
        <v>728.4465069881079</v>
      </c>
      <c r="AN50" s="59">
        <f ca="1">AVERAGE(OFFSET($AM$3,0,0,'Données projet'!$E$10+1,1))-AVERAGE(OFFSET($H$3,0,0,'Données projet'!$E$10+1,1))</f>
        <v>213.90220310357444</v>
      </c>
      <c r="AO50" s="59">
        <f t="shared" si="36"/>
        <v>209.61422409790703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40.452858897598645</v>
      </c>
      <c r="AV50" s="21">
        <f>EXP(-LN(2)/25)*AV49+(1-EXP(-LN(2)/25))/(LN(2)/25)*Calculateur!AQ50*Calculateur!AS50*VLOOKUP('Données projet'!$B$10,Paramètres!$A$1:$I$89,3,0)*0.475*44/12</f>
        <v>18.638248999808777</v>
      </c>
      <c r="AW50" s="21">
        <f>EXP(-LN(2)/2)*AW49+(1-EXP(-LN(2)/2))/(LN(2)/2)*AQ50*AT50*VLOOKUP('Données projet'!$B$10,Paramètres!$A$1:$I$89,3,0)*0.475*44/12</f>
        <v>3.9934212076513149</v>
      </c>
      <c r="AX50" s="21">
        <f t="shared" si="6"/>
        <v>63.084529105058742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6">
        <f t="shared" si="1"/>
        <v>389.80128729473108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10.110000000000001</v>
      </c>
      <c r="N51" s="13">
        <f>IF('Données projet'!$A$36&gt;35,N50+M51-V50,IF(A51&lt;'Données projet'!$A$36,$K$205^A51,IF(A51='Données projet'!$A$36,'Données projet'!$B$36,N50+M51-V50)))</f>
        <v>188.11000000000018</v>
      </c>
      <c r="O51" s="13">
        <f>N51*VLOOKUP('Données projet'!$B$9,Paramètres!$A$1:$I$89,3,0)*VLOOKUP('Données projet'!$B$9,Paramètres!$A$1:$I$89,5,0)</f>
        <v>170.20192800000018</v>
      </c>
      <c r="P51" s="13">
        <f t="shared" si="33"/>
        <v>43.135245614983553</v>
      </c>
      <c r="Q51" s="20">
        <f t="shared" si="53"/>
        <v>371.56224404609662</v>
      </c>
      <c r="R51" s="59">
        <f t="shared" si="0"/>
        <v>664.89557737942994</v>
      </c>
      <c r="S51" s="59">
        <f ca="1">AVERAGE(OFFSET($R$3,0,0,'Données projet'!$E$9+1,1))-AVERAGE(OFFSET($H$3,0,0,'Données projet'!$E$9+1,1))</f>
        <v>422.10969295064359</v>
      </c>
      <c r="T51" s="59">
        <f t="shared" si="34"/>
        <v>184.04075143033037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12.916807343870181</v>
      </c>
      <c r="AB51" s="21">
        <f>EXP(-LN(2)/2)*AB50+(1-EXP(-LN(2)/2))/(LN(2)/2)*V51*Y51*VLOOKUP('Données projet'!$B$9,Paramètres!$A$1:$I$89,3,0)*0.475*44/12</f>
        <v>0.94995818276072186</v>
      </c>
      <c r="AC51" s="22">
        <f t="shared" si="3"/>
        <v>13.866765526630903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14.689999999999998</v>
      </c>
      <c r="AI51" s="13">
        <f>IF('Données projet'!$A$62&gt;35,AI50+AH51-AQ50,IF(A51&lt;'Données projet'!$A$62,$AF$205^A51,IF(A51='Données projet'!$A$62,'Données projet'!$B$62,AI50+AH51-AQ50)))</f>
        <v>349.25000000000006</v>
      </c>
      <c r="AJ51" s="13">
        <f>AI51*VLOOKUP('Données projet'!$B$10,Paramètres!$A$1:$I$89,3,0)*VLOOKUP('Données projet'!$B$10,Paramètres!$A$1:$I$89,5,0)</f>
        <v>208.85150000000004</v>
      </c>
      <c r="AK51" s="13">
        <f t="shared" si="35"/>
        <v>51.684529504057373</v>
      </c>
      <c r="AL51" s="20">
        <f t="shared" si="4"/>
        <v>453.76691805289994</v>
      </c>
      <c r="AM51" s="59">
        <f t="shared" si="5"/>
        <v>747.10025138623325</v>
      </c>
      <c r="AN51" s="59">
        <f ca="1">AVERAGE(OFFSET($AM$3,0,0,'Données projet'!$E$10+1,1))-AVERAGE(OFFSET($H$3,0,0,'Données projet'!$E$10+1,1))</f>
        <v>213.90220310357444</v>
      </c>
      <c r="AO51" s="59">
        <f t="shared" si="36"/>
        <v>209.61422409790703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39.659603008424327</v>
      </c>
      <c r="AV51" s="21">
        <f>EXP(-LN(2)/25)*AV50+(1-EXP(-LN(2)/25))/(LN(2)/25)*Calculateur!AQ51*Calculateur!AS51*VLOOKUP('Données projet'!$B$10,Paramètres!$A$1:$I$89,3,0)*0.475*44/12</f>
        <v>18.128585100766088</v>
      </c>
      <c r="AW51" s="21">
        <f>EXP(-LN(2)/2)*AW50+(1-EXP(-LN(2)/2))/(LN(2)/2)*AQ51*AT51*VLOOKUP('Données projet'!$B$10,Paramètres!$A$1:$I$89,3,0)*0.475*44/12</f>
        <v>2.8237752160644169</v>
      </c>
      <c r="AX51" s="21">
        <f t="shared" si="6"/>
        <v>60.611963325254834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6">
        <f t="shared" si="1"/>
        <v>391.75687888862672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10.110000000000001</v>
      </c>
      <c r="N52" s="13">
        <f>IF('Données projet'!$A$36&gt;35,N51+M52-V51,IF(A52&lt;'Données projet'!$A$36,$K$205^A52,IF(A52='Données projet'!$A$36,'Données projet'!$B$36,N51+M52-V51)))</f>
        <v>198.2200000000002</v>
      </c>
      <c r="O52" s="13">
        <f>N52*VLOOKUP('Données projet'!$B$9,Paramètres!$A$1:$I$89,3,0)*VLOOKUP('Données projet'!$B$9,Paramètres!$A$1:$I$89,5,0)</f>
        <v>179.34945600000017</v>
      </c>
      <c r="P52" s="13">
        <f t="shared" si="33"/>
        <v>45.177421627371096</v>
      </c>
      <c r="Q52" s="20">
        <f t="shared" si="53"/>
        <v>391.0509785343383</v>
      </c>
      <c r="R52" s="59">
        <f t="shared" si="0"/>
        <v>684.38431186767161</v>
      </c>
      <c r="S52" s="59">
        <f ca="1">AVERAGE(OFFSET($R$3,0,0,'Données projet'!$E$9+1,1))-AVERAGE(OFFSET($H$3,0,0,'Données projet'!$E$9+1,1))</f>
        <v>422.10969295064359</v>
      </c>
      <c r="T52" s="59">
        <f t="shared" si="34"/>
        <v>184.04075143033037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12.563596567786675</v>
      </c>
      <c r="AB52" s="21">
        <f>EXP(-LN(2)/2)*AB51+(1-EXP(-LN(2)/2))/(LN(2)/2)*V52*Y52*VLOOKUP('Données projet'!$B$9,Paramètres!$A$1:$I$89,3,0)*0.475*44/12</f>
        <v>0.67172187287375607</v>
      </c>
      <c r="AC52" s="22">
        <f t="shared" si="3"/>
        <v>13.23531844066043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14.689999999999998</v>
      </c>
      <c r="AI52" s="13">
        <f>IF('Données projet'!$A$62&gt;35,AI51+AH52-AQ51,IF(A52&lt;'Données projet'!$A$62,$AF$205^A52,IF(A52='Données projet'!$A$62,'Données projet'!$B$62,AI51+AH52-AQ51)))</f>
        <v>363.94000000000005</v>
      </c>
      <c r="AJ52" s="13">
        <f>AI52*VLOOKUP('Données projet'!$B$10,Paramètres!$A$1:$I$89,3,0)*VLOOKUP('Données projet'!$B$10,Paramètres!$A$1:$I$89,5,0)</f>
        <v>217.63612000000003</v>
      </c>
      <c r="AK52" s="13">
        <f t="shared" si="35"/>
        <v>53.600785497261654</v>
      </c>
      <c r="AL52" s="20">
        <f t="shared" si="4"/>
        <v>472.40427707439738</v>
      </c>
      <c r="AM52" s="59">
        <f t="shared" si="5"/>
        <v>765.7376104077307</v>
      </c>
      <c r="AN52" s="59">
        <f ca="1">AVERAGE(OFFSET($AM$3,0,0,'Données projet'!$E$10+1,1))-AVERAGE(OFFSET($H$3,0,0,'Données projet'!$E$10+1,1))</f>
        <v>213.90220310357444</v>
      </c>
      <c r="AO52" s="59">
        <f t="shared" si="36"/>
        <v>209.61422409790703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38.881902383398398</v>
      </c>
      <c r="AV52" s="21">
        <f>EXP(-LN(2)/25)*AV51+(1-EXP(-LN(2)/25))/(LN(2)/25)*Calculateur!AQ52*Calculateur!AS52*VLOOKUP('Données projet'!$B$10,Paramètres!$A$1:$I$89,3,0)*0.475*44/12</f>
        <v>17.632857987844783</v>
      </c>
      <c r="AW52" s="21">
        <f>EXP(-LN(2)/2)*AW51+(1-EXP(-LN(2)/2))/(LN(2)/2)*AQ52*AT52*VLOOKUP('Données projet'!$B$10,Paramètres!$A$1:$I$89,3,0)*0.475*44/12</f>
        <v>1.9967106038256577</v>
      </c>
      <c r="AX52" s="21">
        <f t="shared" si="6"/>
        <v>58.511470975068839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6">
        <f t="shared" si="1"/>
        <v>393.71150495996233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10.110000000000001</v>
      </c>
      <c r="M53" s="12">
        <f t="array" ref="M53">INDEX(L:L,MIN(IF(ISNUMBER(L53:L249),ROW(L53:L249),"")))</f>
        <v>10.110000000000001</v>
      </c>
      <c r="N53" s="13">
        <f>IF('Données projet'!$A$36&gt;35,N52+M53-V52,IF(A53&lt;'Données projet'!$A$36,$K$205^A53,IF(A53='Données projet'!$A$36,'Données projet'!$B$36,N52+M53-V52)))</f>
        <v>208.33000000000021</v>
      </c>
      <c r="O53" s="13">
        <f>N53*VLOOKUP('Données projet'!$B$9,Paramètres!$A$1:$I$89,3,0)*VLOOKUP('Données projet'!$B$9,Paramètres!$A$1:$I$89,5,0)</f>
        <v>188.4969840000002</v>
      </c>
      <c r="P53" s="13">
        <f t="shared" si="33"/>
        <v>47.207503913482938</v>
      </c>
      <c r="Q53" s="20">
        <f t="shared" si="53"/>
        <v>410.51864978264985</v>
      </c>
      <c r="R53" s="59">
        <f t="shared" si="0"/>
        <v>703.8519831159831</v>
      </c>
      <c r="S53" s="59">
        <f ca="1">AVERAGE(OFFSET($R$3,0,0,'Données projet'!$E$9+1,1))-AVERAGE(OFFSET($H$3,0,0,'Données projet'!$E$9+1,1))</f>
        <v>422.10969295064359</v>
      </c>
      <c r="T53" s="59">
        <f t="shared" si="34"/>
        <v>184.04075143033037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37.54000000000002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25.085911282565853</v>
      </c>
      <c r="AB53" s="21">
        <f>EXP(-LN(2)/2)*AB52+(1-EXP(-LN(2)/2))/(LN(2)/2)*V53*Y53*VLOOKUP('Données projet'!$B$9,Paramètres!$A$1:$I$89,3,0)*0.475*44/12</f>
        <v>6.8845823591112083</v>
      </c>
      <c r="AC53" s="22">
        <f t="shared" si="3"/>
        <v>31.970493641677059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14.689999999999998</v>
      </c>
      <c r="AI53" s="13">
        <f>IF('Données projet'!$A$62&gt;35,AI52+AH53-AQ52,IF(A53&lt;'Données projet'!$A$62,$AF$205^A53,IF(A53='Données projet'!$A$62,'Données projet'!$B$62,AI52+AH53-AQ52)))</f>
        <v>378.63000000000005</v>
      </c>
      <c r="AJ53" s="13">
        <f>AI53*VLOOKUP('Données projet'!$B$10,Paramètres!$A$1:$I$89,3,0)*VLOOKUP('Données projet'!$B$10,Paramètres!$A$1:$I$89,5,0)</f>
        <v>226.42074000000005</v>
      </c>
      <c r="AK53" s="13">
        <f t="shared" si="35"/>
        <v>55.508056797434847</v>
      </c>
      <c r="AL53" s="20">
        <f t="shared" si="4"/>
        <v>491.0259877555323</v>
      </c>
      <c r="AM53" s="59">
        <f t="shared" si="5"/>
        <v>784.35932108886561</v>
      </c>
      <c r="AN53" s="59">
        <f ca="1">AVERAGE(OFFSET($AM$3,0,0,'Données projet'!$E$10+1,1))-AVERAGE(OFFSET($H$3,0,0,'Données projet'!$E$10+1,1))</f>
        <v>213.90220310357444</v>
      </c>
      <c r="AO53" s="59">
        <f t="shared" si="36"/>
        <v>209.61422409790703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38.119451993278687</v>
      </c>
      <c r="AV53" s="21">
        <f>EXP(-LN(2)/25)*AV52+(1-EXP(-LN(2)/25))/(LN(2)/25)*Calculateur!AQ53*Calculateur!AS53*VLOOKUP('Données projet'!$B$10,Paramètres!$A$1:$I$89,3,0)*0.475*44/12</f>
        <v>17.150686558895465</v>
      </c>
      <c r="AW53" s="21">
        <f>EXP(-LN(2)/2)*AW52+(1-EXP(-LN(2)/2))/(LN(2)/2)*AQ53*AT53*VLOOKUP('Données projet'!$B$10,Paramètres!$A$1:$I$89,3,0)*0.475*44/12</f>
        <v>1.4118876080322087</v>
      </c>
      <c r="AX53" s="21">
        <f t="shared" si="6"/>
        <v>56.682026160206362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6">
        <f t="shared" si="1"/>
        <v>395.66518704474902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10.36375</v>
      </c>
      <c r="N54" s="13">
        <f>IF('Données projet'!$A$36&gt;35,N53+M54-V53,IF(A54&lt;'Données projet'!$A$36,$K$205^A54,IF(A54='Données projet'!$A$36,'Données projet'!$B$36,N53+M54-V53)))</f>
        <v>181.1537500000002</v>
      </c>
      <c r="O54" s="13">
        <f>N54*VLOOKUP('Données projet'!$B$9,Paramètres!$A$1:$I$89,3,0)*VLOOKUP('Données projet'!$B$9,Paramètres!$A$1:$I$89,5,0)</f>
        <v>163.90791300000018</v>
      </c>
      <c r="P54" s="13">
        <f t="shared" si="33"/>
        <v>41.72271436472046</v>
      </c>
      <c r="Q54" s="20">
        <f t="shared" si="53"/>
        <v>358.14000932688845</v>
      </c>
      <c r="R54" s="59">
        <f t="shared" si="0"/>
        <v>651.47334266022176</v>
      </c>
      <c r="S54" s="59">
        <f ca="1">AVERAGE(OFFSET($R$3,0,0,'Données projet'!$E$9+1,1))-AVERAGE(OFFSET($H$3,0,0,'Données projet'!$E$9+1,1))</f>
        <v>422.10969295064359</v>
      </c>
      <c r="T54" s="59">
        <f t="shared" si="34"/>
        <v>184.04075143033037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24.399935719333349</v>
      </c>
      <c r="AB54" s="21">
        <f>EXP(-LN(2)/2)*AB53+(1-EXP(-LN(2)/2))/(LN(2)/2)*V54*Y54*VLOOKUP('Données projet'!$B$9,Paramètres!$A$1:$I$89,3,0)*0.475*44/12</f>
        <v>4.8681348717648145</v>
      </c>
      <c r="AC54" s="22">
        <f t="shared" si="3"/>
        <v>29.268070591098166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14.689999999999998</v>
      </c>
      <c r="AI54" s="13">
        <f>IF('Données projet'!$A$62&gt;35,AI53+AH54-AQ53,IF(A54&lt;'Données projet'!$A$62,$AF$205^A54,IF(A54='Données projet'!$A$62,'Données projet'!$B$62,AI53+AH54-AQ53)))</f>
        <v>393.32000000000005</v>
      </c>
      <c r="AJ54" s="13">
        <f>AI54*VLOOKUP('Données projet'!$B$10,Paramètres!$A$1:$I$89,3,0)*VLOOKUP('Données projet'!$B$10,Paramètres!$A$1:$I$89,5,0)</f>
        <v>235.20536000000004</v>
      </c>
      <c r="AK54" s="13">
        <f t="shared" si="35"/>
        <v>57.406731887132807</v>
      </c>
      <c r="AL54" s="20">
        <f t="shared" si="4"/>
        <v>509.63272670342303</v>
      </c>
      <c r="AM54" s="59">
        <f t="shared" si="5"/>
        <v>802.96606003675629</v>
      </c>
      <c r="AN54" s="59">
        <f ca="1">AVERAGE(OFFSET($AM$3,0,0,'Données projet'!$E$10+1,1))-AVERAGE(OFFSET($H$3,0,0,'Données projet'!$E$10+1,1))</f>
        <v>213.90220310357444</v>
      </c>
      <c r="AO54" s="59">
        <f t="shared" si="36"/>
        <v>209.61422409790703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37.371952790260409</v>
      </c>
      <c r="AV54" s="21">
        <f>EXP(-LN(2)/25)*AV53+(1-EXP(-LN(2)/25))/(LN(2)/25)*Calculateur!AQ54*Calculateur!AS54*VLOOKUP('Données projet'!$B$10,Paramètres!$A$1:$I$89,3,0)*0.475*44/12</f>
        <v>16.681700133027061</v>
      </c>
      <c r="AW54" s="21">
        <f>EXP(-LN(2)/2)*AW53+(1-EXP(-LN(2)/2))/(LN(2)/2)*AQ54*AT54*VLOOKUP('Données projet'!$B$10,Paramètres!$A$1:$I$89,3,0)*0.475*44/12</f>
        <v>0.99835530191282906</v>
      </c>
      <c r="AX54" s="21">
        <f t="shared" si="6"/>
        <v>55.052008225200304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6">
        <f t="shared" si="1"/>
        <v>397.61794578614325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10.36375</v>
      </c>
      <c r="N55" s="13">
        <f>IF('Données projet'!$A$36&gt;35,N54+M55-V54,IF(A55&lt;'Données projet'!$A$36,$K$205^A55,IF(A55='Données projet'!$A$36,'Données projet'!$B$36,N54+M55-V54)))</f>
        <v>191.51750000000021</v>
      </c>
      <c r="O55" s="13">
        <f>N55*VLOOKUP('Données projet'!$B$9,Paramètres!$A$1:$I$89,3,0)*VLOOKUP('Données projet'!$B$9,Paramètres!$A$1:$I$89,5,0)</f>
        <v>173.28503400000019</v>
      </c>
      <c r="P55" s="13">
        <f t="shared" si="33"/>
        <v>43.82494037101592</v>
      </c>
      <c r="Q55" s="20">
        <f t="shared" si="53"/>
        <v>378.133205362853</v>
      </c>
      <c r="R55" s="59">
        <f t="shared" si="0"/>
        <v>671.46653869618626</v>
      </c>
      <c r="S55" s="59">
        <f ca="1">AVERAGE(OFFSET($R$3,0,0,'Données projet'!$E$9+1,1))-AVERAGE(OFFSET($H$3,0,0,'Données projet'!$E$9+1,1))</f>
        <v>422.10969295064359</v>
      </c>
      <c r="T55" s="59">
        <f t="shared" si="34"/>
        <v>184.04075143033037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23.732718193951328</v>
      </c>
      <c r="AB55" s="21">
        <f>EXP(-LN(2)/2)*AB54+(1-EXP(-LN(2)/2))/(LN(2)/2)*V55*Y55*VLOOKUP('Données projet'!$B$9,Paramètres!$A$1:$I$89,3,0)*0.475*44/12</f>
        <v>3.4422911795556046</v>
      </c>
      <c r="AC55" s="22">
        <f t="shared" si="3"/>
        <v>27.175009373506931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408.01</v>
      </c>
      <c r="AG55" s="12">
        <f>VLOOKUP(A55,'Données projet'!$A$61:$I$81,9,0)</f>
        <v>14.689999999999998</v>
      </c>
      <c r="AH55" s="12">
        <f t="array" ref="AH55">INDEX(AG:AG,MIN(IF(ISNUMBER(AG55:AG251),ROW(AG55:AG251),"")))</f>
        <v>14.689999999999998</v>
      </c>
      <c r="AI55" s="13">
        <f>IF('Données projet'!$A$62&gt;35,AI54+AH55-AQ54,IF(A55&lt;'Données projet'!$A$62,$AF$205^A55,IF(A55='Données projet'!$A$62,'Données projet'!$B$62,AI54+AH55-AQ54)))</f>
        <v>408.01000000000005</v>
      </c>
      <c r="AJ55" s="13">
        <f>AI55*VLOOKUP('Données projet'!$B$10,Paramètres!$A$1:$I$89,3,0)*VLOOKUP('Données projet'!$B$10,Paramètres!$A$1:$I$89,5,0)</f>
        <v>243.98998000000003</v>
      </c>
      <c r="AK55" s="13">
        <f t="shared" si="35"/>
        <v>59.297168586253541</v>
      </c>
      <c r="AL55" s="20">
        <f t="shared" si="4"/>
        <v>528.22511712105825</v>
      </c>
      <c r="AM55" s="59">
        <f t="shared" si="5"/>
        <v>821.5584504543915</v>
      </c>
      <c r="AN55" s="59">
        <f ca="1">AVERAGE(OFFSET($AM$3,0,0,'Données projet'!$E$10+1,1))-AVERAGE(OFFSET($H$3,0,0,'Données projet'!$E$10+1,1))</f>
        <v>213.90220310357444</v>
      </c>
      <c r="AO55" s="59">
        <f t="shared" si="36"/>
        <v>209.61422409790703</v>
      </c>
      <c r="AP55" s="15">
        <f>IF(ISNA(VLOOKUP(A55,'Données projet'!$A$61:$I$81,3,0)),0,VLOOKUP(A55,'Données projet'!$A$61:$I$81,3,0))</f>
        <v>6</v>
      </c>
      <c r="AQ55" s="15">
        <f>IF(ISNA(VLOOKUP(A55,'Données projet'!$A$61:$I$81,4,0)),0,VLOOKUP(A55,'Données projet'!$A$61:$I$81,4,0))</f>
        <v>75.70999999999998</v>
      </c>
      <c r="AR55" s="16">
        <f>IF(ISNA(VLOOKUP(A55,'Données projet'!$A$61:$I$81,5,0)),0%,VLOOKUP(A55,'Données projet'!$A$61:$I$81,5,0)*VLOOKUP('Données projet'!$B$10,Paramètres!$A$1:$I$89,7,0))</f>
        <v>0.27</v>
      </c>
      <c r="AS55" s="16">
        <f>IF(ISNA(VLOOKUP(A55,'Données projet'!$A$61:$I$81,6,0)),0%,VLOOKUP(A55,'Données projet'!$A$61:$I$81,6,0)*VLOOKUP('Données projet'!$B$10,Paramètres!$A$1:$I$89,7,0))</f>
        <v>9.0000000000000011E-2</v>
      </c>
      <c r="AT55" s="16">
        <f>IF(ISNA(VLOOKUP(A55,'Données projet'!$A$61:$I$81,7,0)),0%,VLOOKUP(A55,'Données projet'!$A$61:$I$81,7,0))</f>
        <v>0.2</v>
      </c>
      <c r="AU55" s="21">
        <f>EXP(-LN(2)/35)*AU54+(1-EXP(-LN(2)/35))/(LN(2)/35)*AQ55*AR55*VLOOKUP('Données projet'!$B$10,Paramètres!$A$1:$I$89,3,0)*0.475*44/12</f>
        <v>52.855216702681361</v>
      </c>
      <c r="AV55" s="21">
        <f>EXP(-LN(2)/25)*AV54+(1-EXP(-LN(2)/25))/(LN(2)/25)*Calculateur!AQ55*Calculateur!AS55*VLOOKUP('Données projet'!$B$10,Paramètres!$A$1:$I$89,3,0)*0.475*44/12</f>
        <v>21.609623541420671</v>
      </c>
      <c r="AW55" s="21">
        <f>EXP(-LN(2)/2)*AW54+(1-EXP(-LN(2)/2))/(LN(2)/2)*AQ55*AT55*VLOOKUP('Données projet'!$B$10,Paramètres!$A$1:$I$89,3,0)*0.475*44/12</f>
        <v>10.958212150605259</v>
      </c>
      <c r="AX55" s="21">
        <f t="shared" si="6"/>
        <v>85.423052394707298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6">
        <f t="shared" si="1"/>
        <v>399.56980098790956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10.36375</v>
      </c>
      <c r="N56" s="13">
        <f>IF('Données projet'!$A$36&gt;35,N55+M56-V55,IF(A56&lt;'Données projet'!$A$36,$K$205^A56,IF(A56='Données projet'!$A$36,'Données projet'!$B$36,N55+M56-V55)))</f>
        <v>201.88125000000022</v>
      </c>
      <c r="O56" s="13">
        <f>N56*VLOOKUP('Données projet'!$B$9,Paramètres!$A$1:$I$89,3,0)*VLOOKUP('Données projet'!$B$9,Paramètres!$A$1:$I$89,5,0)</f>
        <v>182.66215500000018</v>
      </c>
      <c r="P56" s="13">
        <f t="shared" si="33"/>
        <v>45.913959577546748</v>
      </c>
      <c r="Q56" s="20">
        <f t="shared" si="53"/>
        <v>398.10339955589421</v>
      </c>
      <c r="R56" s="59">
        <f t="shared" si="0"/>
        <v>691.43673288922753</v>
      </c>
      <c r="S56" s="59">
        <f ca="1">AVERAGE(OFFSET($R$3,0,0,'Données projet'!$E$9+1,1))-AVERAGE(OFFSET($H$3,0,0,'Données projet'!$E$9+1,1))</f>
        <v>422.10969295064359</v>
      </c>
      <c r="T56" s="59">
        <f t="shared" si="34"/>
        <v>184.04075143033037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23.08374576688832</v>
      </c>
      <c r="AB56" s="21">
        <f>EXP(-LN(2)/2)*AB55+(1-EXP(-LN(2)/2))/(LN(2)/2)*V56*Y56*VLOOKUP('Données projet'!$B$9,Paramètres!$A$1:$I$89,3,0)*0.475*44/12</f>
        <v>2.4340674358824077</v>
      </c>
      <c r="AC56" s="22">
        <f t="shared" si="3"/>
        <v>25.517813202770729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13.18</v>
      </c>
      <c r="AI56" s="13">
        <f>IF('Données projet'!$A$62&gt;35,AI55+AH56-AQ55,IF(A56&lt;'Données projet'!$A$62,$AF$205^A56,IF(A56='Données projet'!$A$62,'Données projet'!$B$62,AI55+AH56-AQ55)))</f>
        <v>345.48000000000008</v>
      </c>
      <c r="AJ56" s="13">
        <f>AI56*VLOOKUP('Données projet'!$B$10,Paramètres!$A$1:$I$89,3,0)*VLOOKUP('Données projet'!$B$10,Paramètres!$A$1:$I$89,5,0)</f>
        <v>206.59704000000005</v>
      </c>
      <c r="AK56" s="13">
        <f t="shared" si="35"/>
        <v>51.191247731076885</v>
      </c>
      <c r="AL56" s="20">
        <f t="shared" si="4"/>
        <v>448.98126779829232</v>
      </c>
      <c r="AM56" s="59">
        <f t="shared" si="5"/>
        <v>742.31460113162564</v>
      </c>
      <c r="AN56" s="59">
        <f ca="1">AVERAGE(OFFSET($AM$3,0,0,'Données projet'!$E$10+1,1))-AVERAGE(OFFSET($H$3,0,0,'Données projet'!$E$10+1,1))</f>
        <v>213.90220310357444</v>
      </c>
      <c r="AO56" s="59">
        <f t="shared" si="36"/>
        <v>209.61422409790703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51.818758141640679</v>
      </c>
      <c r="AV56" s="21">
        <f>EXP(-LN(2)/25)*AV55+(1-EXP(-LN(2)/25))/(LN(2)/25)*Calculateur!AQ56*Calculateur!AS56*VLOOKUP('Données projet'!$B$10,Paramètres!$A$1:$I$89,3,0)*0.475*44/12</f>
        <v>21.01870724927981</v>
      </c>
      <c r="AW56" s="21">
        <f>EXP(-LN(2)/2)*AW55+(1-EXP(-LN(2)/2))/(LN(2)/2)*AQ56*AT56*VLOOKUP('Données projet'!$B$10,Paramètres!$A$1:$I$89,3,0)*0.475*44/12</f>
        <v>7.7486261213737997</v>
      </c>
      <c r="AX56" s="21">
        <f t="shared" si="6"/>
        <v>80.586091512294288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6">
        <f t="shared" si="1"/>
        <v>401.52077166373437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10.36375</v>
      </c>
      <c r="N57" s="13">
        <f>IF('Données projet'!$A$36&gt;35,N56+M57-V56,IF(A57&lt;'Données projet'!$A$36,$K$205^A57,IF(A57='Données projet'!$A$36,'Données projet'!$B$36,N56+M57-V56)))</f>
        <v>212.24500000000023</v>
      </c>
      <c r="O57" s="13">
        <f>N57*VLOOKUP('Données projet'!$B$9,Paramètres!$A$1:$I$89,3,0)*VLOOKUP('Données projet'!$B$9,Paramètres!$A$1:$I$89,5,0)</f>
        <v>192.0392760000002</v>
      </c>
      <c r="P57" s="13">
        <f t="shared" si="33"/>
        <v>47.990527307113453</v>
      </c>
      <c r="Q57" s="20">
        <f t="shared" si="53"/>
        <v>418.05190742655623</v>
      </c>
      <c r="R57" s="59">
        <f t="shared" si="0"/>
        <v>711.38524075988948</v>
      </c>
      <c r="S57" s="59">
        <f ca="1">AVERAGE(OFFSET($R$3,0,0,'Données projet'!$E$9+1,1))-AVERAGE(OFFSET($H$3,0,0,'Données projet'!$E$9+1,1))</f>
        <v>422.10969295064359</v>
      </c>
      <c r="T57" s="59">
        <f t="shared" si="34"/>
        <v>184.04075143033037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22.452519524971329</v>
      </c>
      <c r="AB57" s="21">
        <f>EXP(-LN(2)/2)*AB56+(1-EXP(-LN(2)/2))/(LN(2)/2)*V57*Y57*VLOOKUP('Données projet'!$B$9,Paramètres!$A$1:$I$89,3,0)*0.475*44/12</f>
        <v>1.7211455897778025</v>
      </c>
      <c r="AC57" s="22">
        <f t="shared" si="3"/>
        <v>24.173665114749131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13.18</v>
      </c>
      <c r="AI57" s="13">
        <f>IF('Données projet'!$A$62&gt;35,AI56+AH57-AQ56,IF(A57&lt;'Données projet'!$A$62,$AF$205^A57,IF(A57='Données projet'!$A$62,'Données projet'!$B$62,AI56+AH57-AQ56)))</f>
        <v>358.66000000000008</v>
      </c>
      <c r="AJ57" s="13">
        <f>AI57*VLOOKUP('Données projet'!$B$10,Paramètres!$A$1:$I$89,3,0)*VLOOKUP('Données projet'!$B$10,Paramètres!$A$1:$I$89,5,0)</f>
        <v>214.47868000000008</v>
      </c>
      <c r="AK57" s="13">
        <f t="shared" si="35"/>
        <v>52.913084692982125</v>
      </c>
      <c r="AL57" s="20">
        <f t="shared" si="4"/>
        <v>465.70732350694396</v>
      </c>
      <c r="AM57" s="59">
        <f t="shared" si="5"/>
        <v>759.04065684027728</v>
      </c>
      <c r="AN57" s="59">
        <f ca="1">AVERAGE(OFFSET($AM$3,0,0,'Données projet'!$E$10+1,1))-AVERAGE(OFFSET($H$3,0,0,'Données projet'!$E$10+1,1))</f>
        <v>213.90220310357444</v>
      </c>
      <c r="AO57" s="59">
        <f t="shared" si="36"/>
        <v>209.61422409790703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50.802623900804704</v>
      </c>
      <c r="AV57" s="21">
        <f>EXP(-LN(2)/25)*AV56+(1-EXP(-LN(2)/25))/(LN(2)/25)*Calculateur!AQ57*Calculateur!AS57*VLOOKUP('Données projet'!$B$10,Paramètres!$A$1:$I$89,3,0)*0.475*44/12</f>
        <v>20.443949594222477</v>
      </c>
      <c r="AW57" s="21">
        <f>EXP(-LN(2)/2)*AW56+(1-EXP(-LN(2)/2))/(LN(2)/2)*AQ57*AT57*VLOOKUP('Données projet'!$B$10,Paramètres!$A$1:$I$89,3,0)*0.475*44/12</f>
        <v>5.4791060753026306</v>
      </c>
      <c r="AX57" s="21">
        <f t="shared" si="6"/>
        <v>76.725679570329802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6">
        <f t="shared" si="1"/>
        <v>403.47087608278355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10.36375</v>
      </c>
      <c r="N58" s="13">
        <f>IF('Données projet'!$A$36&gt;35,N57+M58-V57,IF(A58&lt;'Données projet'!$A$36,$K$205^A58,IF(A58='Données projet'!$A$36,'Données projet'!$B$36,N57+M58-V57)))</f>
        <v>222.60875000000024</v>
      </c>
      <c r="O58" s="13">
        <f>N58*VLOOKUP('Données projet'!$B$9,Paramètres!$A$1:$I$89,3,0)*VLOOKUP('Données projet'!$B$9,Paramètres!$A$1:$I$89,5,0)</f>
        <v>201.41639700000019</v>
      </c>
      <c r="P58" s="13">
        <f t="shared" si="33"/>
        <v>50.055320951535919</v>
      </c>
      <c r="Q58" s="20">
        <f t="shared" si="53"/>
        <v>437.97990876559203</v>
      </c>
      <c r="R58" s="59">
        <f t="shared" si="0"/>
        <v>731.31324209892534</v>
      </c>
      <c r="S58" s="59">
        <f ca="1">AVERAGE(OFFSET($R$3,0,0,'Données projet'!$E$9+1,1))-AVERAGE(OFFSET($H$3,0,0,'Données projet'!$E$9+1,1))</f>
        <v>422.10969295064359</v>
      </c>
      <c r="T58" s="59">
        <f t="shared" si="34"/>
        <v>184.04075143033037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21.838554197834302</v>
      </c>
      <c r="AB58" s="21">
        <f>EXP(-LN(2)/2)*AB57+(1-EXP(-LN(2)/2))/(LN(2)/2)*V58*Y58*VLOOKUP('Données projet'!$B$9,Paramètres!$A$1:$I$89,3,0)*0.475*44/12</f>
        <v>1.2170337179412041</v>
      </c>
      <c r="AC58" s="22">
        <f t="shared" si="3"/>
        <v>23.055587915775504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13.18</v>
      </c>
      <c r="AI58" s="13">
        <f>IF('Données projet'!$A$62&gt;35,AI57+AH58-AQ57,IF(A58&lt;'Données projet'!$A$62,$AF$205^A58,IF(A58='Données projet'!$A$62,'Données projet'!$B$62,AI57+AH58-AQ57)))</f>
        <v>371.84000000000009</v>
      </c>
      <c r="AJ58" s="13">
        <f>AI58*VLOOKUP('Données projet'!$B$10,Paramètres!$A$1:$I$89,3,0)*VLOOKUP('Données projet'!$B$10,Paramètres!$A$1:$I$89,5,0)</f>
        <v>222.36032000000009</v>
      </c>
      <c r="AK58" s="13">
        <f t="shared" si="35"/>
        <v>54.627570556659869</v>
      </c>
      <c r="AL58" s="20">
        <f t="shared" si="4"/>
        <v>482.42057605284941</v>
      </c>
      <c r="AM58" s="59">
        <f t="shared" si="5"/>
        <v>775.75390938618273</v>
      </c>
      <c r="AN58" s="59">
        <f ca="1">AVERAGE(OFFSET($AM$3,0,0,'Données projet'!$E$10+1,1))-AVERAGE(OFFSET($H$3,0,0,'Données projet'!$E$10+1,1))</f>
        <v>213.90220310357444</v>
      </c>
      <c r="AO58" s="59">
        <f t="shared" si="36"/>
        <v>209.61422409790703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49.806415432650837</v>
      </c>
      <c r="AV58" s="21">
        <f>EXP(-LN(2)/25)*AV57+(1-EXP(-LN(2)/25))/(LN(2)/25)*Calculateur!AQ58*Calculateur!AS58*VLOOKUP('Données projet'!$B$10,Paramètres!$A$1:$I$89,3,0)*0.475*44/12</f>
        <v>19.88490871746788</v>
      </c>
      <c r="AW58" s="21">
        <f>EXP(-LN(2)/2)*AW57+(1-EXP(-LN(2)/2))/(LN(2)/2)*AQ58*AT58*VLOOKUP('Données projet'!$B$10,Paramètres!$A$1:$I$89,3,0)*0.475*44/12</f>
        <v>3.8743130606869007</v>
      </c>
      <c r="AX58" s="21">
        <f t="shared" si="6"/>
        <v>73.565637210805619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6">
        <f t="shared" si="1"/>
        <v>405.42013181185314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10.36375</v>
      </c>
      <c r="N59" s="13">
        <f>IF('Données projet'!$A$36&gt;35,N58+M59-V58,IF(A59&lt;'Données projet'!$A$36,$K$205^A59,IF(A59='Données projet'!$A$36,'Données projet'!$B$36,N58+M59-V58)))</f>
        <v>232.97250000000025</v>
      </c>
      <c r="O59" s="13">
        <f>N59*VLOOKUP('Données projet'!$B$9,Paramètres!$A$1:$I$89,3,0)*VLOOKUP('Données projet'!$B$9,Paramètres!$A$1:$I$89,5,0)</f>
        <v>210.7935180000002</v>
      </c>
      <c r="P59" s="13">
        <f t="shared" si="33"/>
        <v>52.108951264882847</v>
      </c>
      <c r="Q59" s="20">
        <f t="shared" si="53"/>
        <v>457.88846730300457</v>
      </c>
      <c r="R59" s="59">
        <f t="shared" si="0"/>
        <v>751.22180063633789</v>
      </c>
      <c r="S59" s="59">
        <f ca="1">AVERAGE(OFFSET($R$3,0,0,'Données projet'!$E$9+1,1))-AVERAGE(OFFSET($H$3,0,0,'Données projet'!$E$9+1,1))</f>
        <v>422.10969295064359</v>
      </c>
      <c r="T59" s="59">
        <f t="shared" si="34"/>
        <v>184.04075143033037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21.241377784854869</v>
      </c>
      <c r="AB59" s="21">
        <f>EXP(-LN(2)/2)*AB58+(1-EXP(-LN(2)/2))/(LN(2)/2)*V59*Y59*VLOOKUP('Données projet'!$B$9,Paramètres!$A$1:$I$89,3,0)*0.475*44/12</f>
        <v>0.86057279488890148</v>
      </c>
      <c r="AC59" s="22">
        <f t="shared" si="3"/>
        <v>22.101950579743772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13.18</v>
      </c>
      <c r="AI59" s="13">
        <f>IF('Données projet'!$A$62&gt;35,AI58+AH59-AQ58,IF(A59&lt;'Données projet'!$A$62,$AF$205^A59,IF(A59='Données projet'!$A$62,'Données projet'!$B$62,AI58+AH59-AQ58)))</f>
        <v>385.0200000000001</v>
      </c>
      <c r="AJ59" s="13">
        <f>AI59*VLOOKUP('Données projet'!$B$10,Paramètres!$A$1:$I$89,3,0)*VLOOKUP('Données projet'!$B$10,Paramètres!$A$1:$I$89,5,0)</f>
        <v>230.24196000000006</v>
      </c>
      <c r="AK59" s="13">
        <f t="shared" si="35"/>
        <v>56.334995738213507</v>
      </c>
      <c r="AL59" s="20">
        <f t="shared" si="4"/>
        <v>499.12153124405523</v>
      </c>
      <c r="AM59" s="59">
        <f t="shared" si="5"/>
        <v>792.45486457738855</v>
      </c>
      <c r="AN59" s="59">
        <f ca="1">AVERAGE(OFFSET($AM$3,0,0,'Données projet'!$E$10+1,1))-AVERAGE(OFFSET($H$3,0,0,'Données projet'!$E$10+1,1))</f>
        <v>213.90220310357444</v>
      </c>
      <c r="AO59" s="59">
        <f t="shared" si="36"/>
        <v>209.61422409790703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48.829742004930303</v>
      </c>
      <c r="AV59" s="21">
        <f>EXP(-LN(2)/25)*AV58+(1-EXP(-LN(2)/25))/(LN(2)/25)*Calculateur!AQ59*Calculateur!AS59*VLOOKUP('Données projet'!$B$10,Paramètres!$A$1:$I$89,3,0)*0.475*44/12</f>
        <v>19.341154842886819</v>
      </c>
      <c r="AW59" s="21">
        <f>EXP(-LN(2)/2)*AW58+(1-EXP(-LN(2)/2))/(LN(2)/2)*AQ59*AT59*VLOOKUP('Données projet'!$B$10,Paramètres!$A$1:$I$89,3,0)*0.475*44/12</f>
        <v>2.7395530376513157</v>
      </c>
      <c r="AX59" s="21">
        <f t="shared" si="6"/>
        <v>70.910449885468438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6">
        <f t="shared" si="1"/>
        <v>407.3685557544236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10.36375</v>
      </c>
      <c r="N60" s="13">
        <f>IF('Données projet'!$A$36&gt;35,N59+M60-V59,IF(A60&lt;'Données projet'!$A$36,$K$205^A60,IF(A60='Données projet'!$A$36,'Données projet'!$B$36,N59+M60-V59)))</f>
        <v>243.33625000000026</v>
      </c>
      <c r="O60" s="13">
        <f>N60*VLOOKUP('Données projet'!$B$9,Paramètres!$A$1:$I$89,3,0)*VLOOKUP('Données projet'!$B$9,Paramètres!$A$1:$I$89,5,0)</f>
        <v>220.17063900000025</v>
      </c>
      <c r="P60" s="13">
        <f t="shared" si="33"/>
        <v>54.151971590437505</v>
      </c>
      <c r="Q60" s="20">
        <f t="shared" si="53"/>
        <v>477.7785467783458</v>
      </c>
      <c r="R60" s="59">
        <f t="shared" si="0"/>
        <v>771.11188011167906</v>
      </c>
      <c r="S60" s="59">
        <f ca="1">AVERAGE(OFFSET($R$3,0,0,'Données projet'!$E$9+1,1))-AVERAGE(OFFSET($H$3,0,0,'Données projet'!$E$9+1,1))</f>
        <v>422.10969295064359</v>
      </c>
      <c r="T60" s="59">
        <f t="shared" si="34"/>
        <v>184.04075143033037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20.660531192292503</v>
      </c>
      <c r="AB60" s="21">
        <f>EXP(-LN(2)/2)*AB59+(1-EXP(-LN(2)/2))/(LN(2)/2)*V60*Y60*VLOOKUP('Données projet'!$B$9,Paramètres!$A$1:$I$89,3,0)*0.475*44/12</f>
        <v>0.60851685897060215</v>
      </c>
      <c r="AC60" s="22">
        <f t="shared" si="3"/>
        <v>21.269048051263105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13.18</v>
      </c>
      <c r="AI60" s="13">
        <f>IF('Données projet'!$A$62&gt;35,AI59+AH60-AQ59,IF(A60&lt;'Données projet'!$A$62,$AF$205^A60,IF(A60='Données projet'!$A$62,'Données projet'!$B$62,AI59+AH60-AQ59)))</f>
        <v>398.2000000000001</v>
      </c>
      <c r="AJ60" s="13">
        <f>AI60*VLOOKUP('Données projet'!$B$10,Paramètres!$A$1:$I$89,3,0)*VLOOKUP('Données projet'!$B$10,Paramètres!$A$1:$I$89,5,0)</f>
        <v>238.12360000000007</v>
      </c>
      <c r="AK60" s="13">
        <f t="shared" si="35"/>
        <v>58.035629642885198</v>
      </c>
      <c r="AL60" s="20">
        <f t="shared" si="4"/>
        <v>515.81065829469196</v>
      </c>
      <c r="AM60" s="59">
        <f t="shared" si="5"/>
        <v>809.14399162802533</v>
      </c>
      <c r="AN60" s="59">
        <f ca="1">AVERAGE(OFFSET($AM$3,0,0,'Données projet'!$E$10+1,1))-AVERAGE(OFFSET($H$3,0,0,'Données projet'!$E$10+1,1))</f>
        <v>213.90220310357444</v>
      </c>
      <c r="AO60" s="59">
        <f t="shared" si="36"/>
        <v>209.61422409790703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47.872220547415395</v>
      </c>
      <c r="AV60" s="21">
        <f>EXP(-LN(2)/25)*AV59+(1-EXP(-LN(2)/25))/(LN(2)/25)*Calculateur!AQ60*Calculateur!AS60*VLOOKUP('Données projet'!$B$10,Paramètres!$A$1:$I$89,3,0)*0.475*44/12</f>
        <v>18.812269946600949</v>
      </c>
      <c r="AW60" s="21">
        <f>EXP(-LN(2)/2)*AW59+(1-EXP(-LN(2)/2))/(LN(2)/2)*AQ60*AT60*VLOOKUP('Données projet'!$B$10,Paramètres!$A$1:$I$89,3,0)*0.475*44/12</f>
        <v>1.9371565303434506</v>
      </c>
      <c r="AX60" s="21">
        <f t="shared" si="6"/>
        <v>68.621647024359788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6">
        <f t="shared" si="1"/>
        <v>409.31616418689623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10.36375</v>
      </c>
      <c r="M61" s="12">
        <f t="array" ref="M61">INDEX(L:L,MIN(IF(ISNUMBER(L61:L257),ROW(L61:L257),"")))</f>
        <v>10.36375</v>
      </c>
      <c r="N61" s="13">
        <f>IF('Données projet'!$A$36&gt;35,N60+M61-V60,IF(A61&lt;'Données projet'!$A$36,$K$205^A61,IF(A61='Données projet'!$A$36,'Données projet'!$B$36,N60+M61-V60)))</f>
        <v>253.70000000000027</v>
      </c>
      <c r="O61" s="13">
        <f>N61*VLOOKUP('Données projet'!$B$9,Paramètres!$A$1:$I$89,3,0)*VLOOKUP('Données projet'!$B$9,Paramètres!$A$1:$I$89,5,0)</f>
        <v>229.54776000000027</v>
      </c>
      <c r="P61" s="13">
        <f t="shared" si="33"/>
        <v>56.184885471425758</v>
      </c>
      <c r="Q61" s="20">
        <f t="shared" si="53"/>
        <v>497.651024196067</v>
      </c>
      <c r="R61" s="59">
        <f t="shared" si="0"/>
        <v>790.98435752940031</v>
      </c>
      <c r="S61" s="59">
        <f ca="1">AVERAGE(OFFSET($R$3,0,0,'Données projet'!$E$9+1,1))-AVERAGE(OFFSET($H$3,0,0,'Données projet'!$E$9+1,1))</f>
        <v>422.10969295064359</v>
      </c>
      <c r="T61" s="59">
        <f t="shared" si="34"/>
        <v>184.04075143033037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47.789999999999992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0.34400000000000003</v>
      </c>
      <c r="Y61" s="16">
        <f>IF(ISNA(VLOOKUP(A61,'Données projet'!$A$35:$I$55,7,0)),0%,VLOOKUP(A61,'Données projet'!$A$35:$I$55,7,0))</f>
        <v>0.2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36.474357978367649</v>
      </c>
      <c r="AB61" s="21">
        <f>EXP(-LN(2)/2)*AB60+(1-EXP(-LN(2)/2))/(LN(2)/2)*V61*Y61*VLOOKUP('Données projet'!$B$9,Paramètres!$A$1:$I$89,3,0)*0.475*44/12</f>
        <v>8.589981127461952</v>
      </c>
      <c r="AC61" s="22">
        <f t="shared" si="3"/>
        <v>45.064339105829603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13.18</v>
      </c>
      <c r="AI61" s="13">
        <f>IF('Données projet'!$A$62&gt;35,AI60+AH61-AQ60,IF(A61&lt;'Données projet'!$A$62,$AF$205^A61,IF(A61='Données projet'!$A$62,'Données projet'!$B$62,AI60+AH61-AQ60)))</f>
        <v>411.38000000000011</v>
      </c>
      <c r="AJ61" s="13">
        <f>AI61*VLOOKUP('Données projet'!$B$10,Paramètres!$A$1:$I$89,3,0)*VLOOKUP('Données projet'!$B$10,Paramètres!$A$1:$I$89,5,0)</f>
        <v>246.0052400000001</v>
      </c>
      <c r="AK61" s="13">
        <f t="shared" si="35"/>
        <v>59.729722829762714</v>
      </c>
      <c r="AL61" s="20">
        <f t="shared" si="4"/>
        <v>532.48839359517024</v>
      </c>
      <c r="AM61" s="59">
        <f t="shared" si="5"/>
        <v>825.82172692850349</v>
      </c>
      <c r="AN61" s="59">
        <f ca="1">AVERAGE(OFFSET($AM$3,0,0,'Données projet'!$E$10+1,1))-AVERAGE(OFFSET($H$3,0,0,'Données projet'!$E$10+1,1))</f>
        <v>213.90220310357444</v>
      </c>
      <c r="AO61" s="59">
        <f t="shared" si="36"/>
        <v>209.61422409790703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46.933475501651934</v>
      </c>
      <c r="AV61" s="21">
        <f>EXP(-LN(2)/25)*AV60+(1-EXP(-LN(2)/25))/(LN(2)/25)*Calculateur!AQ61*Calculateur!AS61*VLOOKUP('Données projet'!$B$10,Paramètres!$A$1:$I$89,3,0)*0.475*44/12</f>
        <v>18.297847435616866</v>
      </c>
      <c r="AW61" s="21">
        <f>EXP(-LN(2)/2)*AW60+(1-EXP(-LN(2)/2))/(LN(2)/2)*AQ61*AT61*VLOOKUP('Données projet'!$B$10,Paramètres!$A$1:$I$89,3,0)*0.475*44/12</f>
        <v>1.3697765188256581</v>
      </c>
      <c r="AX61" s="21">
        <f t="shared" si="6"/>
        <v>66.60109945609446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6">
        <f t="shared" si="1"/>
        <v>411.26297279225986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10.107499999999998</v>
      </c>
      <c r="N62" s="13">
        <f>IF('Données projet'!$A$36&gt;35,N61+M62-V61,IF(A62&lt;'Données projet'!$A$36,$K$205^A62,IF(A62='Données projet'!$A$36,'Données projet'!$B$36,N61+M62-V61)))</f>
        <v>216.0175000000003</v>
      </c>
      <c r="O62" s="13">
        <f>N62*VLOOKUP('Données projet'!$B$9,Paramètres!$A$1:$I$89,3,0)*VLOOKUP('Données projet'!$B$9,Paramètres!$A$1:$I$89,5,0)</f>
        <v>195.45263400000027</v>
      </c>
      <c r="P62" s="13">
        <f t="shared" si="33"/>
        <v>48.743460533300031</v>
      </c>
      <c r="Q62" s="20">
        <f t="shared" si="53"/>
        <v>425.3081979788314</v>
      </c>
      <c r="R62" s="59">
        <f t="shared" si="0"/>
        <v>718.64153131216472</v>
      </c>
      <c r="S62" s="59">
        <f ca="1">AVERAGE(OFFSET($R$3,0,0,'Données projet'!$E$9+1,1))-AVERAGE(OFFSET($H$3,0,0,'Données projet'!$E$9+1,1))</f>
        <v>422.10969295064359</v>
      </c>
      <c r="T62" s="59">
        <f t="shared" si="34"/>
        <v>184.04075143033037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35.476964741346066</v>
      </c>
      <c r="AB62" s="21">
        <f>EXP(-LN(2)/2)*AB61+(1-EXP(-LN(2)/2))/(LN(2)/2)*V62*Y62*VLOOKUP('Données projet'!$B$9,Paramètres!$A$1:$I$89,3,0)*0.475*44/12</f>
        <v>6.0740339054928114</v>
      </c>
      <c r="AC62" s="22">
        <f t="shared" si="3"/>
        <v>41.550998646838877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13.18</v>
      </c>
      <c r="AI62" s="13">
        <f>IF('Données projet'!$A$62&gt;35,AI61+AH62-AQ61,IF(A62&lt;'Données projet'!$A$62,$AF$205^A62,IF(A62='Données projet'!$A$62,'Données projet'!$B$62,AI61+AH62-AQ61)))</f>
        <v>424.56000000000012</v>
      </c>
      <c r="AJ62" s="13">
        <f>AI62*VLOOKUP('Données projet'!$B$10,Paramètres!$A$1:$I$89,3,0)*VLOOKUP('Données projet'!$B$10,Paramètres!$A$1:$I$89,5,0)</f>
        <v>253.8868800000001</v>
      </c>
      <c r="AK62" s="13">
        <f t="shared" si="35"/>
        <v>61.417508891277024</v>
      </c>
      <c r="AL62" s="20">
        <f t="shared" si="4"/>
        <v>549.15514398564108</v>
      </c>
      <c r="AM62" s="59">
        <f t="shared" si="5"/>
        <v>842.48847731897445</v>
      </c>
      <c r="AN62" s="59">
        <f ca="1">AVERAGE(OFFSET($AM$3,0,0,'Données projet'!$E$10+1,1))-AVERAGE(OFFSET($H$3,0,0,'Données projet'!$E$10+1,1))</f>
        <v>213.90220310357444</v>
      </c>
      <c r="AO62" s="59">
        <f t="shared" si="36"/>
        <v>209.61422409790703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46.013138673657956</v>
      </c>
      <c r="AV62" s="21">
        <f>EXP(-LN(2)/25)*AV61+(1-EXP(-LN(2)/25))/(LN(2)/25)*Calculateur!AQ62*Calculateur!AS62*VLOOKUP('Données projet'!$B$10,Paramètres!$A$1:$I$89,3,0)*0.475*44/12</f>
        <v>17.797491835247946</v>
      </c>
      <c r="AW62" s="21">
        <f>EXP(-LN(2)/2)*AW61+(1-EXP(-LN(2)/2))/(LN(2)/2)*AQ62*AT62*VLOOKUP('Données projet'!$B$10,Paramètres!$A$1:$I$89,3,0)*0.475*44/12</f>
        <v>0.96857826517172552</v>
      </c>
      <c r="AX62" s="21">
        <f t="shared" si="6"/>
        <v>64.779208774077631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6">
        <f t="shared" si="1"/>
        <v>413.20899669140988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10.107499999999998</v>
      </c>
      <c r="N63" s="13">
        <f>IF('Données projet'!$A$36&gt;35,N62+M63-V62,IF(A63&lt;'Données projet'!$A$36,$K$205^A63,IF(A63='Données projet'!$A$36,'Données projet'!$B$36,N62+M63-V62)))</f>
        <v>226.12500000000028</v>
      </c>
      <c r="O63" s="13">
        <f>N63*VLOOKUP('Données projet'!$B$9,Paramètres!$A$1:$I$89,3,0)*VLOOKUP('Données projet'!$B$9,Paramètres!$A$1:$I$89,5,0)</f>
        <v>204.59790000000024</v>
      </c>
      <c r="P63" s="13">
        <f t="shared" si="33"/>
        <v>50.753306398717811</v>
      </c>
      <c r="Q63" s="20">
        <f t="shared" si="53"/>
        <v>444.73668447776726</v>
      </c>
      <c r="R63" s="59">
        <f t="shared" si="0"/>
        <v>738.07001781110057</v>
      </c>
      <c r="S63" s="59">
        <f ca="1">AVERAGE(OFFSET($R$3,0,0,'Données projet'!$E$9+1,1))-AVERAGE(OFFSET($H$3,0,0,'Données projet'!$E$9+1,1))</f>
        <v>422.10969295064359</v>
      </c>
      <c r="T63" s="59">
        <f t="shared" si="34"/>
        <v>184.04075143033037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34.506845274841467</v>
      </c>
      <c r="AB63" s="21">
        <f>EXP(-LN(2)/2)*AB62+(1-EXP(-LN(2)/2))/(LN(2)/2)*V63*Y63*VLOOKUP('Données projet'!$B$9,Paramètres!$A$1:$I$89,3,0)*0.475*44/12</f>
        <v>4.294990563730976</v>
      </c>
      <c r="AC63" s="22">
        <f t="shared" si="3"/>
        <v>38.801835838572444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437.74</v>
      </c>
      <c r="AG63" s="12">
        <f>VLOOKUP(A63,'Données projet'!$A$61:$I$81,9,0)</f>
        <v>13.18</v>
      </c>
      <c r="AH63" s="12">
        <f t="array" ref="AH63">INDEX(AG:AG,MIN(IF(ISNUMBER(AG63:AG259),ROW(AG63:AG259),"")))</f>
        <v>13.18</v>
      </c>
      <c r="AI63" s="13">
        <f>IF('Données projet'!$A$62&gt;35,AI62+AH63-AQ62,IF(A63&lt;'Données projet'!$A$62,$AF$205^A63,IF(A63='Données projet'!$A$62,'Données projet'!$B$62,AI62+AH63-AQ62)))</f>
        <v>437.74000000000012</v>
      </c>
      <c r="AJ63" s="13">
        <f>AI63*VLOOKUP('Données projet'!$B$10,Paramètres!$A$1:$I$89,3,0)*VLOOKUP('Données projet'!$B$10,Paramètres!$A$1:$I$89,5,0)</f>
        <v>261.76852000000008</v>
      </c>
      <c r="AK63" s="13">
        <f t="shared" si="35"/>
        <v>63.099206092755566</v>
      </c>
      <c r="AL63" s="20">
        <f t="shared" si="4"/>
        <v>565.81128961154946</v>
      </c>
      <c r="AM63" s="59">
        <f t="shared" si="5"/>
        <v>859.14462294488271</v>
      </c>
      <c r="AN63" s="59">
        <f ca="1">AVERAGE(OFFSET($AM$3,0,0,'Données projet'!$E$10+1,1))-AVERAGE(OFFSET($H$3,0,0,'Données projet'!$E$10+1,1))</f>
        <v>213.90220310357444</v>
      </c>
      <c r="AO63" s="59">
        <f t="shared" si="36"/>
        <v>209.61422409790703</v>
      </c>
      <c r="AP63" s="15">
        <f>IF(ISNA(VLOOKUP(A63,'Données projet'!$A$61:$I$81,3,0)),0,VLOOKUP(A63,'Données projet'!$A$61:$I$81,3,0))</f>
        <v>7</v>
      </c>
      <c r="AQ63" s="15">
        <f>IF(ISNA(VLOOKUP(A63,'Données projet'!$A$61:$I$81,4,0)),0,VLOOKUP(A63,'Données projet'!$A$61:$I$81,4,0))</f>
        <v>437.74</v>
      </c>
      <c r="AR63" s="16">
        <f>IF(ISNA(VLOOKUP(A63,'Données projet'!$A$61:$I$81,5,0)),0%,VLOOKUP(A63,'Données projet'!$A$61:$I$81,5,0)*VLOOKUP('Données projet'!$B$10,Paramètres!$A$1:$I$89,7,0))</f>
        <v>0.27</v>
      </c>
      <c r="AS63" s="16">
        <f>IF(ISNA(VLOOKUP(A63,'Données projet'!$A$61:$I$81,6,0)),0%,VLOOKUP(A63,'Données projet'!$A$61:$I$81,6,0)*VLOOKUP('Données projet'!$B$10,Paramètres!$A$1:$I$89,7,0))</f>
        <v>9.0000000000000011E-2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138.86910891946479</v>
      </c>
      <c r="AV63" s="21">
        <f>EXP(-LN(2)/25)*AV62+(1-EXP(-LN(2)/25))/(LN(2)/25)*Calculateur!AQ63*Calculateur!AS63*VLOOKUP('Données projet'!$B$10,Paramètres!$A$1:$I$89,3,0)*0.475*44/12</f>
        <v>48.440517763852199</v>
      </c>
      <c r="AW63" s="21">
        <f>EXP(-LN(2)/2)*AW62+(1-EXP(-LN(2)/2))/(LN(2)/2)*AQ63*AT63*VLOOKUP('Données projet'!$B$10,Paramètres!$A$1:$I$89,3,0)*0.475*44/12</f>
        <v>59.961442823353359</v>
      </c>
      <c r="AX63" s="21">
        <f t="shared" si="6"/>
        <v>247.27106950667036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6">
        <f t="shared" si="1"/>
        <v>415.15425047232054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10.107499999999998</v>
      </c>
      <c r="N64" s="13">
        <f>IF('Données projet'!$A$36&gt;35,N63+M64-V63,IF(A64&lt;'Données projet'!$A$36,$K$205^A64,IF(A64='Données projet'!$A$36,'Données projet'!$B$36,N63+M64-V63)))</f>
        <v>236.23250000000027</v>
      </c>
      <c r="O64" s="13">
        <f>N64*VLOOKUP('Données projet'!$B$9,Paramètres!$A$1:$I$89,3,0)*VLOOKUP('Données projet'!$B$9,Paramètres!$A$1:$I$89,5,0)</f>
        <v>213.74316600000023</v>
      </c>
      <c r="P64" s="13">
        <f t="shared" si="33"/>
        <v>52.752718660626023</v>
      </c>
      <c r="Q64" s="20">
        <f t="shared" si="53"/>
        <v>464.14699911725734</v>
      </c>
      <c r="R64" s="59">
        <f t="shared" si="0"/>
        <v>757.48033245059059</v>
      </c>
      <c r="S64" s="59">
        <f ca="1">AVERAGE(OFFSET($R$3,0,0,'Données projet'!$E$9+1,1))-AVERAGE(OFFSET($H$3,0,0,'Données projet'!$E$9+1,1))</f>
        <v>422.10969295064359</v>
      </c>
      <c r="T64" s="59">
        <f t="shared" si="34"/>
        <v>184.04075143033037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33.5632537761648</v>
      </c>
      <c r="AB64" s="21">
        <f>EXP(-LN(2)/2)*AB63+(1-EXP(-LN(2)/2))/(LN(2)/2)*V64*Y64*VLOOKUP('Données projet'!$B$9,Paramètres!$A$1:$I$89,3,0)*0.475*44/12</f>
        <v>3.0370169527464057</v>
      </c>
      <c r="AC64" s="22">
        <f t="shared" si="3"/>
        <v>36.600270728911205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1.1368683772161603E-13</v>
      </c>
      <c r="AJ64" s="13">
        <f>AI64*VLOOKUP('Données projet'!$B$10,Paramètres!$A$1:$I$89,3,0)*VLOOKUP('Données projet'!$B$10,Paramètres!$A$1:$I$89,5,0)</f>
        <v>6.7984728957526396E-14</v>
      </c>
      <c r="AK64" s="13">
        <f t="shared" si="35"/>
        <v>1.0682447123141398E-12</v>
      </c>
      <c r="AL64" s="20">
        <f t="shared" si="4"/>
        <v>1.978932943548152E-12</v>
      </c>
      <c r="AM64" s="59">
        <f t="shared" si="5"/>
        <v>293.3333333333353</v>
      </c>
      <c r="AN64" s="59">
        <f ca="1">AVERAGE(OFFSET($AM$3,0,0,'Données projet'!$E$10+1,1))-AVERAGE(OFFSET($H$3,0,0,'Données projet'!$E$10+1,1))</f>
        <v>213.90220310357444</v>
      </c>
      <c r="AO64" s="59">
        <f t="shared" si="36"/>
        <v>209.61422409790703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136.14597039534692</v>
      </c>
      <c r="AV64" s="21">
        <f>EXP(-LN(2)/25)*AV63+(1-EXP(-LN(2)/25))/(LN(2)/25)*Calculateur!AQ64*Calculateur!AS64*VLOOKUP('Données projet'!$B$10,Paramètres!$A$1:$I$89,3,0)*0.475*44/12</f>
        <v>47.115909258223546</v>
      </c>
      <c r="AW64" s="21">
        <f>EXP(-LN(2)/2)*AW63+(1-EXP(-LN(2)/2))/(LN(2)/2)*AQ64*AT64*VLOOKUP('Données projet'!$B$10,Paramètres!$A$1:$I$89,3,0)*0.475*44/12</f>
        <v>42.399142830122607</v>
      </c>
      <c r="AX64" s="21">
        <f t="shared" si="6"/>
        <v>225.66102248369307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6">
        <f t="shared" si="1"/>
        <v>417.09874821725015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10.107499999999998</v>
      </c>
      <c r="N65" s="13">
        <f>IF('Données projet'!$A$36&gt;35,N64+M65-V64,IF(A65&lt;'Données projet'!$A$36,$K$205^A65,IF(A65='Données projet'!$A$36,'Données projet'!$B$36,N64+M65-V64)))</f>
        <v>246.34000000000026</v>
      </c>
      <c r="O65" s="13">
        <f>N65*VLOOKUP('Données projet'!$B$9,Paramètres!$A$1:$I$89,3,0)*VLOOKUP('Données projet'!$B$9,Paramètres!$A$1:$I$89,5,0)</f>
        <v>222.88843200000022</v>
      </c>
      <c r="P65" s="13">
        <f t="shared" si="33"/>
        <v>54.74219476708182</v>
      </c>
      <c r="Q65" s="20">
        <f t="shared" si="53"/>
        <v>483.54000828600118</v>
      </c>
      <c r="R65" s="59">
        <f t="shared" si="0"/>
        <v>776.8733416193345</v>
      </c>
      <c r="S65" s="59">
        <f ca="1">AVERAGE(OFFSET($R$3,0,0,'Données projet'!$E$9+1,1))-AVERAGE(OFFSET($H$3,0,0,'Données projet'!$E$9+1,1))</f>
        <v>422.10969295064359</v>
      </c>
      <c r="T65" s="59">
        <f t="shared" si="34"/>
        <v>184.04075143033037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32.64546483664077</v>
      </c>
      <c r="AB65" s="21">
        <f>EXP(-LN(2)/2)*AB64+(1-EXP(-LN(2)/2))/(LN(2)/2)*V65*Y65*VLOOKUP('Données projet'!$B$9,Paramètres!$A$1:$I$89,3,0)*0.475*44/12</f>
        <v>2.147495281865488</v>
      </c>
      <c r="AC65" s="22">
        <f t="shared" si="3"/>
        <v>34.792960118506258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1.1368683772161603E-13</v>
      </c>
      <c r="AJ65" s="13">
        <f>AI65*VLOOKUP('Données projet'!$B$10,Paramètres!$A$1:$I$89,3,0)*VLOOKUP('Données projet'!$B$10,Paramètres!$A$1:$I$89,5,0)</f>
        <v>6.7984728957526396E-14</v>
      </c>
      <c r="AK65" s="13">
        <f t="shared" si="35"/>
        <v>1.0682447123141398E-12</v>
      </c>
      <c r="AL65" s="20">
        <f t="shared" si="4"/>
        <v>1.978932943548152E-12</v>
      </c>
      <c r="AM65" s="59">
        <f t="shared" si="5"/>
        <v>293.3333333333353</v>
      </c>
      <c r="AN65" s="59">
        <f ca="1">AVERAGE(OFFSET($AM$3,0,0,'Données projet'!$E$10+1,1))-AVERAGE(OFFSET($H$3,0,0,'Données projet'!$E$10+1,1))</f>
        <v>213.90220310357444</v>
      </c>
      <c r="AO65" s="59">
        <f t="shared" si="36"/>
        <v>209.61422409790703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133.47623095673652</v>
      </c>
      <c r="AV65" s="21">
        <f>EXP(-LN(2)/25)*AV64+(1-EXP(-LN(2)/25))/(LN(2)/25)*Calculateur!AQ65*Calculateur!AS65*VLOOKUP('Données projet'!$B$10,Paramètres!$A$1:$I$89,3,0)*0.475*44/12</f>
        <v>45.827522241839439</v>
      </c>
      <c r="AW65" s="21">
        <f>EXP(-LN(2)/2)*AW64+(1-EXP(-LN(2)/2))/(LN(2)/2)*AQ65*AT65*VLOOKUP('Données projet'!$B$10,Paramètres!$A$1:$I$89,3,0)*0.475*44/12</f>
        <v>29.980721411676683</v>
      </c>
      <c r="AX65" s="21">
        <f t="shared" si="6"/>
        <v>209.28447461025263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6">
        <f t="shared" si="1"/>
        <v>419.04250352814091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10.107499999999998</v>
      </c>
      <c r="N66" s="13">
        <f>IF('Données projet'!$A$36&gt;35,N65+M66-V65,IF(A66&lt;'Données projet'!$A$36,$K$205^A66,IF(A66='Données projet'!$A$36,'Données projet'!$B$36,N65+M66-V65)))</f>
        <v>256.44750000000028</v>
      </c>
      <c r="O66" s="13">
        <f>N66*VLOOKUP('Données projet'!$B$9,Paramètres!$A$1:$I$89,3,0)*VLOOKUP('Données projet'!$B$9,Paramètres!$A$1:$I$89,5,0)</f>
        <v>232.03369800000024</v>
      </c>
      <c r="P66" s="13">
        <f t="shared" si="33"/>
        <v>56.722189034958802</v>
      </c>
      <c r="Q66" s="20">
        <f t="shared" si="53"/>
        <v>502.91650325255364</v>
      </c>
      <c r="R66" s="59">
        <f t="shared" si="0"/>
        <v>796.2498365858869</v>
      </c>
      <c r="S66" s="59">
        <f ca="1">AVERAGE(OFFSET($R$3,0,0,'Données projet'!$E$9+1,1))-AVERAGE(OFFSET($H$3,0,0,'Données projet'!$E$9+1,1))</f>
        <v>422.10969295064359</v>
      </c>
      <c r="T66" s="59">
        <f t="shared" si="34"/>
        <v>184.04075143033037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31.752772883932444</v>
      </c>
      <c r="AB66" s="21">
        <f>EXP(-LN(2)/2)*AB65+(1-EXP(-LN(2)/2))/(LN(2)/2)*V66*Y66*VLOOKUP('Données projet'!$B$9,Paramètres!$A$1:$I$89,3,0)*0.475*44/12</f>
        <v>1.5185084763732029</v>
      </c>
      <c r="AC66" s="22">
        <f t="shared" si="3"/>
        <v>33.27128136030565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1.1368683772161603E-13</v>
      </c>
      <c r="AJ66" s="13">
        <f>AI66*VLOOKUP('Données projet'!$B$10,Paramètres!$A$1:$I$89,3,0)*VLOOKUP('Données projet'!$B$10,Paramètres!$A$1:$I$89,5,0)</f>
        <v>6.7984728957526396E-14</v>
      </c>
      <c r="AK66" s="13">
        <f t="shared" si="35"/>
        <v>1.0682447123141398E-12</v>
      </c>
      <c r="AL66" s="20">
        <f t="shared" si="4"/>
        <v>1.978932943548152E-12</v>
      </c>
      <c r="AM66" s="59">
        <f t="shared" si="5"/>
        <v>293.3333333333353</v>
      </c>
      <c r="AN66" s="59">
        <f ca="1">AVERAGE(OFFSET($AM$3,0,0,'Données projet'!$E$10+1,1))-AVERAGE(OFFSET($H$3,0,0,'Données projet'!$E$10+1,1))</f>
        <v>213.90220310357444</v>
      </c>
      <c r="AO66" s="59">
        <f t="shared" si="36"/>
        <v>209.61422409790703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130.85884348013698</v>
      </c>
      <c r="AV66" s="21">
        <f>EXP(-LN(2)/25)*AV65+(1-EXP(-LN(2)/25))/(LN(2)/25)*Calculateur!AQ66*Calculateur!AS66*VLOOKUP('Données projet'!$B$10,Paramètres!$A$1:$I$89,3,0)*0.475*44/12</f>
        <v>44.574366236171684</v>
      </c>
      <c r="AW66" s="21">
        <f>EXP(-LN(2)/2)*AW65+(1-EXP(-LN(2)/2))/(LN(2)/2)*AQ66*AT66*VLOOKUP('Données projet'!$B$10,Paramètres!$A$1:$I$89,3,0)*0.475*44/12</f>
        <v>21.199571415061307</v>
      </c>
      <c r="AX66" s="21">
        <f t="shared" si="6"/>
        <v>196.63278113137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6">
        <f t="shared" si="1"/>
        <v>420.98552955036087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10.107499999999998</v>
      </c>
      <c r="N67" s="13">
        <f>IF('Données projet'!$A$36&gt;35,N66+M67-V66,IF(A67&lt;'Données projet'!$A$36,$K$205^A67,IF(A67='Données projet'!$A$36,'Données projet'!$B$36,N66+M67-V66)))</f>
        <v>266.55500000000029</v>
      </c>
      <c r="O67" s="13">
        <f>N67*VLOOKUP('Données projet'!$B$9,Paramètres!$A$1:$I$89,3,0)*VLOOKUP('Données projet'!$B$9,Paramètres!$A$1:$I$89,5,0)</f>
        <v>241.17896400000026</v>
      </c>
      <c r="P67" s="13">
        <f t="shared" si="33"/>
        <v>58.693117941200413</v>
      </c>
      <c r="Q67" s="20">
        <f t="shared" ref="Q67:Q98" si="54">(O67+P67)*0.475*44/12</f>
        <v>522.27720938092455</v>
      </c>
      <c r="R67" s="59">
        <f t="shared" ref="R67:R130" si="55">Q67+(I67+J67)*44/12</f>
        <v>815.61054271425792</v>
      </c>
      <c r="S67" s="59">
        <f ca="1">AVERAGE(OFFSET($R$3,0,0,'Données projet'!$E$9+1,1))-AVERAGE(OFFSET($H$3,0,0,'Données projet'!$E$9+1,1))</f>
        <v>422.10969295064359</v>
      </c>
      <c r="T67" s="59">
        <f t="shared" si="34"/>
        <v>184.04075143033037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30.884491639615558</v>
      </c>
      <c r="AB67" s="21">
        <f>EXP(-LN(2)/2)*AB66+(1-EXP(-LN(2)/2))/(LN(2)/2)*V67*Y67*VLOOKUP('Données projet'!$B$9,Paramètres!$A$1:$I$89,3,0)*0.475*44/12</f>
        <v>1.073747640932744</v>
      </c>
      <c r="AC67" s="22">
        <f t="shared" si="3"/>
        <v>31.958239280548302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1.1368683772161603E-13</v>
      </c>
      <c r="AJ67" s="13">
        <f>AI67*VLOOKUP('Données projet'!$B$10,Paramètres!$A$1:$I$89,3,0)*VLOOKUP('Données projet'!$B$10,Paramètres!$A$1:$I$89,5,0)</f>
        <v>6.7984728957526396E-14</v>
      </c>
      <c r="AK67" s="13">
        <f t="shared" si="35"/>
        <v>1.0682447123141398E-12</v>
      </c>
      <c r="AL67" s="20">
        <f t="shared" si="4"/>
        <v>1.978932943548152E-12</v>
      </c>
      <c r="AM67" s="59">
        <f t="shared" si="5"/>
        <v>293.3333333333353</v>
      </c>
      <c r="AN67" s="59">
        <f ca="1">AVERAGE(OFFSET($AM$3,0,0,'Données projet'!$E$10+1,1))-AVERAGE(OFFSET($H$3,0,0,'Données projet'!$E$10+1,1))</f>
        <v>213.90220310357444</v>
      </c>
      <c r="AO67" s="59">
        <f t="shared" si="36"/>
        <v>209.61422409790703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128.29278137550483</v>
      </c>
      <c r="AV67" s="21">
        <f>EXP(-LN(2)/25)*AV66+(1-EXP(-LN(2)/25))/(LN(2)/25)*Calculateur!AQ67*Calculateur!AS67*VLOOKUP('Données projet'!$B$10,Paramètres!$A$1:$I$89,3,0)*0.475*44/12</f>
        <v>43.355477847379525</v>
      </c>
      <c r="AW67" s="21">
        <f>EXP(-LN(2)/2)*AW66+(1-EXP(-LN(2)/2))/(LN(2)/2)*AQ67*AT67*VLOOKUP('Données projet'!$B$10,Paramètres!$A$1:$I$89,3,0)*0.475*44/12</f>
        <v>14.990360705838345</v>
      </c>
      <c r="AX67" s="21">
        <f t="shared" si="6"/>
        <v>186.6386199287227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6">
        <f t="shared" ref="H68:H131" si="56">(B68+E68+F68)*44/12+(C68+D68)*0.475*44/12</f>
        <v>422.92783899491928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10.107499999999998</v>
      </c>
      <c r="N68" s="13">
        <f>IF('Données projet'!$A$36&gt;35,N67+M68-V67,IF(A68&lt;'Données projet'!$A$36,$K$205^A68,IF(A68='Données projet'!$A$36,'Données projet'!$B$36,N67+M68-V67)))</f>
        <v>276.66250000000031</v>
      </c>
      <c r="O68" s="13">
        <f>N68*VLOOKUP('Données projet'!$B$9,Paramètres!$A$1:$I$89,3,0)*VLOOKUP('Données projet'!$B$9,Paramètres!$A$1:$I$89,5,0)</f>
        <v>250.32423000000026</v>
      </c>
      <c r="P68" s="13">
        <f t="shared" si="33"/>
        <v>60.655364588948935</v>
      </c>
      <c r="Q68" s="20">
        <f t="shared" si="54"/>
        <v>541.62279390908645</v>
      </c>
      <c r="R68" s="59">
        <f t="shared" si="55"/>
        <v>834.95612724241983</v>
      </c>
      <c r="S68" s="59">
        <f ca="1">AVERAGE(OFFSET($R$3,0,0,'Données projet'!$E$9+1,1))-AVERAGE(OFFSET($H$3,0,0,'Données projet'!$E$9+1,1))</f>
        <v>422.10969295064359</v>
      </c>
      <c r="T68" s="59">
        <f t="shared" si="34"/>
        <v>184.04075143033037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30.039953591585441</v>
      </c>
      <c r="AB68" s="21">
        <f>EXP(-LN(2)/2)*AB67+(1-EXP(-LN(2)/2))/(LN(2)/2)*V68*Y68*VLOOKUP('Données projet'!$B$9,Paramètres!$A$1:$I$89,3,0)*0.475*44/12</f>
        <v>0.75925423818660143</v>
      </c>
      <c r="AC68" s="22">
        <f t="shared" ref="AC68:AC131" si="57">SUM(Z68:AB68)</f>
        <v>30.799207829772044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1.1368683772161603E-13</v>
      </c>
      <c r="AJ68" s="13">
        <f>AI68*VLOOKUP('Données projet'!$B$10,Paramètres!$A$1:$I$89,3,0)*VLOOKUP('Données projet'!$B$10,Paramètres!$A$1:$I$89,5,0)</f>
        <v>6.7984728957526396E-14</v>
      </c>
      <c r="AK68" s="13">
        <f t="shared" si="35"/>
        <v>1.0682447123141398E-12</v>
      </c>
      <c r="AL68" s="20">
        <f t="shared" ref="AL68:AL131" si="58">(AJ68+AK68)*0.475*44/12</f>
        <v>1.978932943548152E-12</v>
      </c>
      <c r="AM68" s="59">
        <f t="shared" ref="AM68:AM131" si="59">AL68+(AD68+AE68)*44/12</f>
        <v>293.3333333333353</v>
      </c>
      <c r="AN68" s="59">
        <f ca="1">AVERAGE(OFFSET($AM$3,0,0,'Données projet'!$E$10+1,1))-AVERAGE(OFFSET($H$3,0,0,'Données projet'!$E$10+1,1))</f>
        <v>213.90220310357444</v>
      </c>
      <c r="AO68" s="59">
        <f t="shared" si="36"/>
        <v>209.61422409790703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125.77703818360119</v>
      </c>
      <c r="AV68" s="21">
        <f>EXP(-LN(2)/25)*AV67+(1-EXP(-LN(2)/25))/(LN(2)/25)*Calculateur!AQ68*Calculateur!AS68*VLOOKUP('Données projet'!$B$10,Paramètres!$A$1:$I$89,3,0)*0.475*44/12</f>
        <v>42.169920025677442</v>
      </c>
      <c r="AW68" s="21">
        <f>EXP(-LN(2)/2)*AW67+(1-EXP(-LN(2)/2))/(LN(2)/2)*AQ68*AT68*VLOOKUP('Données projet'!$B$10,Paramètres!$A$1:$I$89,3,0)*0.475*44/12</f>
        <v>10.599785707530655</v>
      </c>
      <c r="AX68" s="21">
        <f t="shared" ref="AX68:AX131" si="60">SUM(AU68:AW68)</f>
        <v>178.54674391680931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6">
        <f t="shared" si="56"/>
        <v>424.86944415927678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10.107499999999998</v>
      </c>
      <c r="M69" s="12">
        <f t="array" ref="M69">INDEX(L:L,MIN(IF(ISNUMBER(L69:L265),ROW(L69:L265),"")))</f>
        <v>10.107499999999998</v>
      </c>
      <c r="N69" s="13">
        <f>IF('Données projet'!$A$36&gt;35,N68+M69-V68,IF(A69&lt;'Données projet'!$A$36,$K$205^A69,IF(A69='Données projet'!$A$36,'Données projet'!$B$36,N68+M69-V68)))</f>
        <v>286.77000000000032</v>
      </c>
      <c r="O69" s="13">
        <f>N69*VLOOKUP('Données projet'!$B$9,Paramètres!$A$1:$I$89,3,0)*VLOOKUP('Données projet'!$B$9,Paramètres!$A$1:$I$89,5,0)</f>
        <v>259.46949600000028</v>
      </c>
      <c r="P69" s="13">
        <f t="shared" ref="P69:P132" si="87">EXP(-1.0587+0.8836*LN(O69)+0.284)</f>
        <v>62.609282502673501</v>
      </c>
      <c r="Q69" s="20">
        <f t="shared" si="54"/>
        <v>560.95387255882349</v>
      </c>
      <c r="R69" s="59">
        <f t="shared" si="55"/>
        <v>854.28720589215686</v>
      </c>
      <c r="S69" s="59">
        <f ca="1">AVERAGE(OFFSET($R$3,0,0,'Données projet'!$E$9+1,1))-AVERAGE(OFFSET($H$3,0,0,'Données projet'!$E$9+1,1))</f>
        <v>422.10969295064359</v>
      </c>
      <c r="T69" s="59">
        <f t="shared" ref="T69:T132" si="88">$T$3</f>
        <v>184.04075143033037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53.679999999999978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8.0806948968281098</v>
      </c>
      <c r="AA69" s="21">
        <f>EXP(-LN(2)/25)*AA68+(1-EXP(-LN(2)/25))/(LN(2)/25)*Calculateur!V69*Calculateur!X69*VLOOKUP('Données projet'!$B$9,Paramètres!$A$1:$I$89,3,0)*0.475*44/12</f>
        <v>33.817868407767122</v>
      </c>
      <c r="AB69" s="21">
        <f>EXP(-LN(2)/2)*AB68+(1-EXP(-LN(2)/2))/(LN(2)/2)*V69*Y69*VLOOKUP('Données projet'!$B$9,Paramètres!$A$1:$I$89,3,0)*0.475*44/12</f>
        <v>5.1195523422004099</v>
      </c>
      <c r="AC69" s="22">
        <f t="shared" si="57"/>
        <v>47.018115646795636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1.1368683772161603E-13</v>
      </c>
      <c r="AJ69" s="13">
        <f>AI69*VLOOKUP('Données projet'!$B$10,Paramètres!$A$1:$I$89,3,0)*VLOOKUP('Données projet'!$B$10,Paramètres!$A$1:$I$89,5,0)</f>
        <v>6.7984728957526396E-14</v>
      </c>
      <c r="AK69" s="13">
        <f t="shared" ref="AK69:AK132" si="89">EXP(-1.0587+0.8836*LN(AJ69)+0.284)</f>
        <v>1.0682447123141398E-12</v>
      </c>
      <c r="AL69" s="20">
        <f t="shared" si="58"/>
        <v>1.978932943548152E-12</v>
      </c>
      <c r="AM69" s="59">
        <f t="shared" si="59"/>
        <v>293.3333333333353</v>
      </c>
      <c r="AN69" s="59">
        <f ca="1">AVERAGE(OFFSET($AM$3,0,0,'Données projet'!$E$10+1,1))-AVERAGE(OFFSET($H$3,0,0,'Données projet'!$E$10+1,1))</f>
        <v>213.90220310357444</v>
      </c>
      <c r="AO69" s="59">
        <f t="shared" ref="AO69:AO132" si="90">$AO$3</f>
        <v>209.61422409790703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123.31062718123894</v>
      </c>
      <c r="AV69" s="21">
        <f>EXP(-LN(2)/25)*AV68+(1-EXP(-LN(2)/25))/(LN(2)/25)*Calculateur!AQ69*Calculateur!AS69*VLOOKUP('Données projet'!$B$10,Paramètres!$A$1:$I$89,3,0)*0.475*44/12</f>
        <v>41.016781344955575</v>
      </c>
      <c r="AW69" s="21">
        <f>EXP(-LN(2)/2)*AW68+(1-EXP(-LN(2)/2))/(LN(2)/2)*AQ69*AT69*VLOOKUP('Données projet'!$B$10,Paramètres!$A$1:$I$89,3,0)*0.475*44/12</f>
        <v>7.4951803529191734</v>
      </c>
      <c r="AX69" s="21">
        <f t="shared" si="60"/>
        <v>171.82258887911368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6">
        <f t="shared" si="56"/>
        <v>426.81035694685789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9.733749999999997</v>
      </c>
      <c r="N70" s="13">
        <f>IF('Données projet'!$A$36&gt;35,N69+M70-V69,IF(A70&lt;'Données projet'!$A$36,$K$205^A70,IF(A70='Données projet'!$A$36,'Données projet'!$B$36,N69+M70-V69)))</f>
        <v>242.82375000000033</v>
      </c>
      <c r="O70" s="13">
        <f>N70*VLOOKUP('Données projet'!$B$9,Paramètres!$A$1:$I$89,3,0)*VLOOKUP('Données projet'!$B$9,Paramètres!$A$1:$I$89,5,0)</f>
        <v>219.70692900000031</v>
      </c>
      <c r="P70" s="13">
        <f t="shared" si="87"/>
        <v>54.051183245794981</v>
      </c>
      <c r="Q70" s="20">
        <f t="shared" si="54"/>
        <v>476.79537882809342</v>
      </c>
      <c r="R70" s="59">
        <f t="shared" si="55"/>
        <v>770.12871216142673</v>
      </c>
      <c r="S70" s="59">
        <f ca="1">AVERAGE(OFFSET($R$3,0,0,'Données projet'!$E$9+1,1))-AVERAGE(OFFSET($H$3,0,0,'Données projet'!$E$9+1,1))</f>
        <v>422.10969295064359</v>
      </c>
      <c r="T70" s="59">
        <f t="shared" si="88"/>
        <v>184.04075143033037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7.9222373986385248</v>
      </c>
      <c r="AA70" s="21">
        <f>EXP(-LN(2)/25)*AA69+(1-EXP(-LN(2)/25))/(LN(2)/25)*Calculateur!V70*Calculateur!X70*VLOOKUP('Données projet'!$B$9,Paramètres!$A$1:$I$89,3,0)*0.475*44/12</f>
        <v>32.893117017752324</v>
      </c>
      <c r="AB70" s="21">
        <f>EXP(-LN(2)/2)*AB69+(1-EXP(-LN(2)/2))/(LN(2)/2)*V70*Y70*VLOOKUP('Données projet'!$B$9,Paramètres!$A$1:$I$89,3,0)*0.475*44/12</f>
        <v>3.6200701778093825</v>
      </c>
      <c r="AC70" s="22">
        <f t="shared" si="57"/>
        <v>44.435424594200228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1.1368683772161603E-13</v>
      </c>
      <c r="AJ70" s="13">
        <f>AI70*VLOOKUP('Données projet'!$B$10,Paramètres!$A$1:$I$89,3,0)*VLOOKUP('Données projet'!$B$10,Paramètres!$A$1:$I$89,5,0)</f>
        <v>6.7984728957526396E-14</v>
      </c>
      <c r="AK70" s="13">
        <f t="shared" si="89"/>
        <v>1.0682447123141398E-12</v>
      </c>
      <c r="AL70" s="20">
        <f t="shared" si="58"/>
        <v>1.978932943548152E-12</v>
      </c>
      <c r="AM70" s="59">
        <f t="shared" si="59"/>
        <v>293.3333333333353</v>
      </c>
      <c r="AN70" s="59">
        <f ca="1">AVERAGE(OFFSET($AM$3,0,0,'Données projet'!$E$10+1,1))-AVERAGE(OFFSET($H$3,0,0,'Données projet'!$E$10+1,1))</f>
        <v>213.90220310357444</v>
      </c>
      <c r="AO70" s="59">
        <f t="shared" si="90"/>
        <v>209.61422409790703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120.89258099427086</v>
      </c>
      <c r="AV70" s="21">
        <f>EXP(-LN(2)/25)*AV69+(1-EXP(-LN(2)/25))/(LN(2)/25)*Calculateur!AQ70*Calculateur!AS70*VLOOKUP('Données projet'!$B$10,Paramètres!$A$1:$I$89,3,0)*0.475*44/12</f>
        <v>39.895175302098977</v>
      </c>
      <c r="AW70" s="21">
        <f>EXP(-LN(2)/2)*AW69+(1-EXP(-LN(2)/2))/(LN(2)/2)*AQ70*AT70*VLOOKUP('Données projet'!$B$10,Paramètres!$A$1:$I$89,3,0)*0.475*44/12</f>
        <v>5.2998928537653285</v>
      </c>
      <c r="AX70" s="21">
        <f t="shared" si="60"/>
        <v>166.08764915013515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6">
        <f t="shared" si="56"/>
        <v>428.75058888536569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9.733749999999997</v>
      </c>
      <c r="N71" s="13">
        <f>IF('Données projet'!$A$36&gt;35,N70+M71-V70,IF(A71&lt;'Données projet'!$A$36,$K$205^A71,IF(A71='Données projet'!$A$36,'Données projet'!$B$36,N70+M71-V70)))</f>
        <v>252.55750000000032</v>
      </c>
      <c r="O71" s="13">
        <f>N71*VLOOKUP('Données projet'!$B$9,Paramètres!$A$1:$I$89,3,0)*VLOOKUP('Données projet'!$B$9,Paramètres!$A$1:$I$89,5,0)</f>
        <v>228.51402600000029</v>
      </c>
      <c r="P71" s="13">
        <f t="shared" si="87"/>
        <v>55.96125810397254</v>
      </c>
      <c r="Q71" s="20">
        <f t="shared" si="54"/>
        <v>495.46111981441936</v>
      </c>
      <c r="R71" s="59">
        <f t="shared" si="55"/>
        <v>788.79445314775262</v>
      </c>
      <c r="S71" s="59">
        <f ca="1">AVERAGE(OFFSET($R$3,0,0,'Données projet'!$E$9+1,1))-AVERAGE(OFFSET($H$3,0,0,'Données projet'!$E$9+1,1))</f>
        <v>422.10969295064359</v>
      </c>
      <c r="T71" s="59">
        <f t="shared" si="88"/>
        <v>184.04075143033037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7.7668871553389076</v>
      </c>
      <c r="AA71" s="21">
        <f>EXP(-LN(2)/25)*AA70+(1-EXP(-LN(2)/25))/(LN(2)/25)*Calculateur!V71*Calculateur!X71*VLOOKUP('Données projet'!$B$9,Paramètres!$A$1:$I$89,3,0)*0.475*44/12</f>
        <v>31.993653003128042</v>
      </c>
      <c r="AB71" s="21">
        <f>EXP(-LN(2)/2)*AB70+(1-EXP(-LN(2)/2))/(LN(2)/2)*V71*Y71*VLOOKUP('Données projet'!$B$9,Paramètres!$A$1:$I$89,3,0)*0.475*44/12</f>
        <v>2.5597761711002054</v>
      </c>
      <c r="AC71" s="22">
        <f t="shared" si="57"/>
        <v>42.320316329567156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1.1368683772161603E-13</v>
      </c>
      <c r="AJ71" s="13">
        <f>AI71*VLOOKUP('Données projet'!$B$10,Paramètres!$A$1:$I$89,3,0)*VLOOKUP('Données projet'!$B$10,Paramètres!$A$1:$I$89,5,0)</f>
        <v>6.7984728957526396E-14</v>
      </c>
      <c r="AK71" s="13">
        <f t="shared" si="89"/>
        <v>1.0682447123141398E-12</v>
      </c>
      <c r="AL71" s="20">
        <f t="shared" si="58"/>
        <v>1.978932943548152E-12</v>
      </c>
      <c r="AM71" s="59">
        <f t="shared" si="59"/>
        <v>293.3333333333353</v>
      </c>
      <c r="AN71" s="59">
        <f ca="1">AVERAGE(OFFSET($AM$3,0,0,'Données projet'!$E$10+1,1))-AVERAGE(OFFSET($H$3,0,0,'Données projet'!$E$10+1,1))</f>
        <v>213.90220310357444</v>
      </c>
      <c r="AO71" s="59">
        <f t="shared" si="90"/>
        <v>209.61422409790703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118.52195121816666</v>
      </c>
      <c r="AV71" s="21">
        <f>EXP(-LN(2)/25)*AV70+(1-EXP(-LN(2)/25))/(LN(2)/25)*Calculateur!AQ71*Calculateur!AS71*VLOOKUP('Données projet'!$B$10,Paramètres!$A$1:$I$89,3,0)*0.475*44/12</f>
        <v>38.804239635466992</v>
      </c>
      <c r="AW71" s="21">
        <f>EXP(-LN(2)/2)*AW70+(1-EXP(-LN(2)/2))/(LN(2)/2)*AQ71*AT71*VLOOKUP('Données projet'!$B$10,Paramètres!$A$1:$I$89,3,0)*0.475*44/12</f>
        <v>3.7475901764595871</v>
      </c>
      <c r="AX71" s="21">
        <f t="shared" si="60"/>
        <v>161.07378103009324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6">
        <f t="shared" si="56"/>
        <v>430.69015114398906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9.733749999999997</v>
      </c>
      <c r="N72" s="13">
        <f>IF('Données projet'!$A$36&gt;35,N71+M72-V71,IF(A72&lt;'Données projet'!$A$36,$K$205^A72,IF(A72='Données projet'!$A$36,'Données projet'!$B$36,N71+M72-V71)))</f>
        <v>262.29125000000033</v>
      </c>
      <c r="O72" s="13">
        <f>N72*VLOOKUP('Données projet'!$B$9,Paramètres!$A$1:$I$89,3,0)*VLOOKUP('Données projet'!$B$9,Paramètres!$A$1:$I$89,5,0)</f>
        <v>237.32112300000028</v>
      </c>
      <c r="P72" s="13">
        <f t="shared" si="87"/>
        <v>57.862781053141006</v>
      </c>
      <c r="Q72" s="20">
        <f t="shared" si="54"/>
        <v>514.11196622588784</v>
      </c>
      <c r="R72" s="59">
        <f t="shared" si="55"/>
        <v>807.44529955922121</v>
      </c>
      <c r="S72" s="59">
        <f ca="1">AVERAGE(OFFSET($R$3,0,0,'Données projet'!$E$9+1,1))-AVERAGE(OFFSET($H$3,0,0,'Données projet'!$E$9+1,1))</f>
        <v>422.10969295064359</v>
      </c>
      <c r="T72" s="59">
        <f t="shared" si="88"/>
        <v>184.04075143033037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7.6145832355561032</v>
      </c>
      <c r="AA72" s="21">
        <f>EXP(-LN(2)/25)*AA71+(1-EXP(-LN(2)/25))/(LN(2)/25)*Calculateur!V72*Calculateur!X72*VLOOKUP('Données projet'!$B$9,Paramètres!$A$1:$I$89,3,0)*0.475*44/12</f>
        <v>31.118784879284416</v>
      </c>
      <c r="AB72" s="21">
        <f>EXP(-LN(2)/2)*AB71+(1-EXP(-LN(2)/2))/(LN(2)/2)*V72*Y72*VLOOKUP('Données projet'!$B$9,Paramètres!$A$1:$I$89,3,0)*0.475*44/12</f>
        <v>1.8100350889046914</v>
      </c>
      <c r="AC72" s="22">
        <f t="shared" si="57"/>
        <v>40.543403203745207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1.1368683772161603E-13</v>
      </c>
      <c r="AJ72" s="13">
        <f>AI72*VLOOKUP('Données projet'!$B$10,Paramètres!$A$1:$I$89,3,0)*VLOOKUP('Données projet'!$B$10,Paramètres!$A$1:$I$89,5,0)</f>
        <v>6.7984728957526396E-14</v>
      </c>
      <c r="AK72" s="13">
        <f t="shared" si="89"/>
        <v>1.0682447123141398E-12</v>
      </c>
      <c r="AL72" s="20">
        <f t="shared" si="58"/>
        <v>1.978932943548152E-12</v>
      </c>
      <c r="AM72" s="59">
        <f t="shared" si="59"/>
        <v>293.3333333333353</v>
      </c>
      <c r="AN72" s="59">
        <f ca="1">AVERAGE(OFFSET($AM$3,0,0,'Données projet'!$E$10+1,1))-AVERAGE(OFFSET($H$3,0,0,'Données projet'!$E$10+1,1))</f>
        <v>213.90220310357444</v>
      </c>
      <c r="AO72" s="59">
        <f t="shared" si="90"/>
        <v>209.61422409790703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116.19780804603049</v>
      </c>
      <c r="AV72" s="21">
        <f>EXP(-LN(2)/25)*AV71+(1-EXP(-LN(2)/25))/(LN(2)/25)*Calculateur!AQ72*Calculateur!AS72*VLOOKUP('Données projet'!$B$10,Paramètres!$A$1:$I$89,3,0)*0.475*44/12</f>
        <v>37.743135662008875</v>
      </c>
      <c r="AW72" s="21">
        <f>EXP(-LN(2)/2)*AW71+(1-EXP(-LN(2)/2))/(LN(2)/2)*AQ72*AT72*VLOOKUP('Données projet'!$B$10,Paramètres!$A$1:$I$89,3,0)*0.475*44/12</f>
        <v>2.6499464268826647</v>
      </c>
      <c r="AX72" s="21">
        <f t="shared" si="60"/>
        <v>156.59089013492203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6">
        <f t="shared" si="56"/>
        <v>432.62905454958332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9.733749999999997</v>
      </c>
      <c r="N73" s="13">
        <f>IF('Données projet'!$A$36&gt;35,N72+M73-V72,IF(A73&lt;'Données projet'!$A$36,$K$205^A73,IF(A73='Données projet'!$A$36,'Données projet'!$B$36,N72+M73-V72)))</f>
        <v>272.02500000000032</v>
      </c>
      <c r="O73" s="13">
        <f>N73*VLOOKUP('Données projet'!$B$9,Paramètres!$A$1:$I$89,3,0)*VLOOKUP('Données projet'!$B$9,Paramètres!$A$1:$I$89,5,0)</f>
        <v>246.12822000000025</v>
      </c>
      <c r="P73" s="13">
        <f t="shared" si="87"/>
        <v>59.756105801003123</v>
      </c>
      <c r="Q73" s="20">
        <f t="shared" si="54"/>
        <v>532.74853410341427</v>
      </c>
      <c r="R73" s="59">
        <f t="shared" si="55"/>
        <v>826.08186743674764</v>
      </c>
      <c r="S73" s="59">
        <f ca="1">AVERAGE(OFFSET($R$3,0,0,'Données projet'!$E$9+1,1))-AVERAGE(OFFSET($H$3,0,0,'Données projet'!$E$9+1,1))</f>
        <v>422.10969295064359</v>
      </c>
      <c r="T73" s="59">
        <f t="shared" si="88"/>
        <v>184.04075143033037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7.4652659027440214</v>
      </c>
      <c r="AA73" s="21">
        <f>EXP(-LN(2)/25)*AA72+(1-EXP(-LN(2)/25))/(LN(2)/25)*Calculateur!V73*Calculateur!X73*VLOOKUP('Données projet'!$B$9,Paramètres!$A$1:$I$89,3,0)*0.475*44/12</f>
        <v>30.267840070294611</v>
      </c>
      <c r="AB73" s="21">
        <f>EXP(-LN(2)/2)*AB72+(1-EXP(-LN(2)/2))/(LN(2)/2)*V73*Y73*VLOOKUP('Données projet'!$B$9,Paramètres!$A$1:$I$89,3,0)*0.475*44/12</f>
        <v>1.2798880855501029</v>
      </c>
      <c r="AC73" s="22">
        <f t="shared" si="57"/>
        <v>39.012994058588738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1.1368683772161603E-13</v>
      </c>
      <c r="AJ73" s="13">
        <f>AI73*VLOOKUP('Données projet'!$B$10,Paramètres!$A$1:$I$89,3,0)*VLOOKUP('Données projet'!$B$10,Paramètres!$A$1:$I$89,5,0)</f>
        <v>6.7984728957526396E-14</v>
      </c>
      <c r="AK73" s="13">
        <f t="shared" si="89"/>
        <v>1.0682447123141398E-12</v>
      </c>
      <c r="AL73" s="20">
        <f t="shared" si="58"/>
        <v>1.978932943548152E-12</v>
      </c>
      <c r="AM73" s="59">
        <f t="shared" si="59"/>
        <v>293.3333333333353</v>
      </c>
      <c r="AN73" s="59">
        <f ca="1">AVERAGE(OFFSET($AM$3,0,0,'Données projet'!$E$10+1,1))-AVERAGE(OFFSET($H$3,0,0,'Données projet'!$E$10+1,1))</f>
        <v>213.90220310357444</v>
      </c>
      <c r="AO73" s="59">
        <f t="shared" si="90"/>
        <v>209.61422409790703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113.91923990391254</v>
      </c>
      <c r="AV73" s="21">
        <f>EXP(-LN(2)/25)*AV72+(1-EXP(-LN(2)/25))/(LN(2)/25)*Calculateur!AQ73*Calculateur!AS73*VLOOKUP('Données projet'!$B$10,Paramètres!$A$1:$I$89,3,0)*0.475*44/12</f>
        <v>36.711047632506002</v>
      </c>
      <c r="AW73" s="21">
        <f>EXP(-LN(2)/2)*AW72+(1-EXP(-LN(2)/2))/(LN(2)/2)*AQ73*AT73*VLOOKUP('Données projet'!$B$10,Paramètres!$A$1:$I$89,3,0)*0.475*44/12</f>
        <v>1.873795088229794</v>
      </c>
      <c r="AX73" s="21">
        <f t="shared" si="60"/>
        <v>152.50408262464833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6">
        <f t="shared" si="56"/>
        <v>434.56730960190009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9.733749999999997</v>
      </c>
      <c r="N74" s="13">
        <f>IF('Données projet'!$A$36&gt;35,N73+M74-V73,IF(A74&lt;'Données projet'!$A$36,$K$205^A74,IF(A74='Données projet'!$A$36,'Données projet'!$B$36,N73+M74-V73)))</f>
        <v>281.7587500000003</v>
      </c>
      <c r="O74" s="13">
        <f>N74*VLOOKUP('Données projet'!$B$9,Paramètres!$A$1:$I$89,3,0)*VLOOKUP('Données projet'!$B$9,Paramètres!$A$1:$I$89,5,0)</f>
        <v>254.93531700000028</v>
      </c>
      <c r="P74" s="13">
        <f t="shared" si="87"/>
        <v>61.641559307209917</v>
      </c>
      <c r="Q74" s="20">
        <f t="shared" si="54"/>
        <v>551.37139290172445</v>
      </c>
      <c r="R74" s="59">
        <f t="shared" si="55"/>
        <v>844.70472623505771</v>
      </c>
      <c r="S74" s="59">
        <f ca="1">AVERAGE(OFFSET($R$3,0,0,'Données projet'!$E$9+1,1))-AVERAGE(OFFSET($H$3,0,0,'Données projet'!$E$9+1,1))</f>
        <v>422.10969295064359</v>
      </c>
      <c r="T74" s="59">
        <f t="shared" si="88"/>
        <v>184.04075143033037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7.3188765917538046</v>
      </c>
      <c r="AA74" s="21">
        <f>EXP(-LN(2)/25)*AA73+(1-EXP(-LN(2)/25))/(LN(2)/25)*Calculateur!V74*Calculateur!X74*VLOOKUP('Données projet'!$B$9,Paramètres!$A$1:$I$89,3,0)*0.475*44/12</f>
        <v>29.440164391855873</v>
      </c>
      <c r="AB74" s="21">
        <f>EXP(-LN(2)/2)*AB73+(1-EXP(-LN(2)/2))/(LN(2)/2)*V74*Y74*VLOOKUP('Données projet'!$B$9,Paramètres!$A$1:$I$89,3,0)*0.475*44/12</f>
        <v>0.90501754445234595</v>
      </c>
      <c r="AC74" s="22">
        <f t="shared" si="57"/>
        <v>37.664058528062029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1.1368683772161603E-13</v>
      </c>
      <c r="AJ74" s="13">
        <f>AI74*VLOOKUP('Données projet'!$B$10,Paramètres!$A$1:$I$89,3,0)*VLOOKUP('Données projet'!$B$10,Paramètres!$A$1:$I$89,5,0)</f>
        <v>6.7984728957526396E-14</v>
      </c>
      <c r="AK74" s="13">
        <f t="shared" si="89"/>
        <v>1.0682447123141398E-12</v>
      </c>
      <c r="AL74" s="20">
        <f t="shared" si="58"/>
        <v>1.978932943548152E-12</v>
      </c>
      <c r="AM74" s="59">
        <f t="shared" si="59"/>
        <v>293.3333333333353</v>
      </c>
      <c r="AN74" s="59">
        <f ca="1">AVERAGE(OFFSET($AM$3,0,0,'Données projet'!$E$10+1,1))-AVERAGE(OFFSET($H$3,0,0,'Données projet'!$E$10+1,1))</f>
        <v>213.90220310357444</v>
      </c>
      <c r="AO74" s="59">
        <f t="shared" si="90"/>
        <v>209.61422409790703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111.6853530932722</v>
      </c>
      <c r="AV74" s="21">
        <f>EXP(-LN(2)/25)*AV73+(1-EXP(-LN(2)/25))/(LN(2)/25)*Calculateur!AQ74*Calculateur!AS74*VLOOKUP('Données projet'!$B$10,Paramètres!$A$1:$I$89,3,0)*0.475*44/12</f>
        <v>35.707182104445032</v>
      </c>
      <c r="AW74" s="21">
        <f>EXP(-LN(2)/2)*AW73+(1-EXP(-LN(2)/2))/(LN(2)/2)*AQ74*AT74*VLOOKUP('Données projet'!$B$10,Paramètres!$A$1:$I$89,3,0)*0.475*44/12</f>
        <v>1.3249732134413326</v>
      </c>
      <c r="AX74" s="21">
        <f t="shared" si="60"/>
        <v>148.71750841115855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6">
        <f t="shared" si="56"/>
        <v>436.50492648793568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9.733749999999997</v>
      </c>
      <c r="N75" s="13">
        <f>IF('Données projet'!$A$36&gt;35,N74+M75-V74,IF(A75&lt;'Données projet'!$A$36,$K$205^A75,IF(A75='Données projet'!$A$36,'Données projet'!$B$36,N74+M75-V74)))</f>
        <v>291.49250000000029</v>
      </c>
      <c r="O75" s="13">
        <f>N75*VLOOKUP('Données projet'!$B$9,Paramètres!$A$1:$I$89,3,0)*VLOOKUP('Données projet'!$B$9,Paramètres!$A$1:$I$89,5,0)</f>
        <v>263.74241400000022</v>
      </c>
      <c r="P75" s="13">
        <f t="shared" si="87"/>
        <v>63.519444659628142</v>
      </c>
      <c r="Q75" s="20">
        <f t="shared" si="54"/>
        <v>569.98107049885277</v>
      </c>
      <c r="R75" s="59">
        <f t="shared" si="55"/>
        <v>863.31440383218614</v>
      </c>
      <c r="S75" s="59">
        <f ca="1">AVERAGE(OFFSET($R$3,0,0,'Données projet'!$E$9+1,1))-AVERAGE(OFFSET($H$3,0,0,'Données projet'!$E$9+1,1))</f>
        <v>422.10969295064359</v>
      </c>
      <c r="T75" s="59">
        <f t="shared" si="88"/>
        <v>184.04075143033037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7.175357885863443</v>
      </c>
      <c r="AA75" s="21">
        <f>EXP(-LN(2)/25)*AA74+(1-EXP(-LN(2)/25))/(LN(2)/25)*Calculateur!V75*Calculateur!X75*VLOOKUP('Données projet'!$B$9,Paramètres!$A$1:$I$89,3,0)*0.475*44/12</f>
        <v>28.635121548369614</v>
      </c>
      <c r="AB75" s="21">
        <f>EXP(-LN(2)/2)*AB74+(1-EXP(-LN(2)/2))/(LN(2)/2)*V75*Y75*VLOOKUP('Données projet'!$B$9,Paramètres!$A$1:$I$89,3,0)*0.475*44/12</f>
        <v>0.63994404277505157</v>
      </c>
      <c r="AC75" s="22">
        <f t="shared" si="57"/>
        <v>36.450423477008108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1.1368683772161603E-13</v>
      </c>
      <c r="AJ75" s="13">
        <f>AI75*VLOOKUP('Données projet'!$B$10,Paramètres!$A$1:$I$89,3,0)*VLOOKUP('Données projet'!$B$10,Paramètres!$A$1:$I$89,5,0)</f>
        <v>6.7984728957526396E-14</v>
      </c>
      <c r="AK75" s="13">
        <f t="shared" si="89"/>
        <v>1.0682447123141398E-12</v>
      </c>
      <c r="AL75" s="20">
        <f t="shared" si="58"/>
        <v>1.978932943548152E-12</v>
      </c>
      <c r="AM75" s="59">
        <f t="shared" si="59"/>
        <v>293.3333333333353</v>
      </c>
      <c r="AN75" s="59">
        <f ca="1">AVERAGE(OFFSET($AM$3,0,0,'Données projet'!$E$10+1,1))-AVERAGE(OFFSET($H$3,0,0,'Données projet'!$E$10+1,1))</f>
        <v>213.90220310357444</v>
      </c>
      <c r="AO75" s="59">
        <f t="shared" si="90"/>
        <v>209.61422409790703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109.4952714404521</v>
      </c>
      <c r="AV75" s="21">
        <f>EXP(-LN(2)/25)*AV74+(1-EXP(-LN(2)/25))/(LN(2)/25)*Calculateur!AQ75*Calculateur!AS75*VLOOKUP('Données projet'!$B$10,Paramètres!$A$1:$I$89,3,0)*0.475*44/12</f>
        <v>34.730767332039882</v>
      </c>
      <c r="AW75" s="21">
        <f>EXP(-LN(2)/2)*AW74+(1-EXP(-LN(2)/2))/(LN(2)/2)*AQ75*AT75*VLOOKUP('Données projet'!$B$10,Paramètres!$A$1:$I$89,3,0)*0.475*44/12</f>
        <v>0.93689754411489712</v>
      </c>
      <c r="AX75" s="21">
        <f t="shared" si="60"/>
        <v>145.16293631660687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6">
        <f t="shared" si="56"/>
        <v>438.44191509545817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9.733749999999997</v>
      </c>
      <c r="N76" s="13">
        <f>IF('Données projet'!$A$36&gt;35,N75+M76-V75,IF(A76&lt;'Données projet'!$A$36,$K$205^A76,IF(A76='Données projet'!$A$36,'Données projet'!$B$36,N75+M76-V75)))</f>
        <v>301.22625000000028</v>
      </c>
      <c r="O76" s="13">
        <f>N76*VLOOKUP('Données projet'!$B$9,Paramètres!$A$1:$I$89,3,0)*VLOOKUP('Données projet'!$B$9,Paramètres!$A$1:$I$89,5,0)</f>
        <v>272.54951100000028</v>
      </c>
      <c r="P76" s="13">
        <f t="shared" si="87"/>
        <v>65.390043555628168</v>
      </c>
      <c r="Q76" s="20">
        <f t="shared" si="54"/>
        <v>588.57805751771946</v>
      </c>
      <c r="R76" s="59">
        <f t="shared" si="55"/>
        <v>881.91139085105283</v>
      </c>
      <c r="S76" s="59">
        <f ca="1">AVERAGE(OFFSET($R$3,0,0,'Données projet'!$E$9+1,1))-AVERAGE(OFFSET($H$3,0,0,'Données projet'!$E$9+1,1))</f>
        <v>422.10969295064359</v>
      </c>
      <c r="T76" s="59">
        <f t="shared" si="88"/>
        <v>184.04075143033037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7.0346534942578245</v>
      </c>
      <c r="AA76" s="21">
        <f>EXP(-LN(2)/25)*AA75+(1-EXP(-LN(2)/25))/(LN(2)/25)*Calculateur!V76*Calculateur!X76*VLOOKUP('Données projet'!$B$9,Paramètres!$A$1:$I$89,3,0)*0.475*44/12</f>
        <v>27.852092643773851</v>
      </c>
      <c r="AB76" s="21">
        <f>EXP(-LN(2)/2)*AB75+(1-EXP(-LN(2)/2))/(LN(2)/2)*V76*Y76*VLOOKUP('Données projet'!$B$9,Paramètres!$A$1:$I$89,3,0)*0.475*44/12</f>
        <v>0.45250877222617303</v>
      </c>
      <c r="AC76" s="22">
        <f t="shared" si="57"/>
        <v>35.33925491025785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1.1368683772161603E-13</v>
      </c>
      <c r="AJ76" s="13">
        <f>AI76*VLOOKUP('Données projet'!$B$10,Paramètres!$A$1:$I$89,3,0)*VLOOKUP('Données projet'!$B$10,Paramètres!$A$1:$I$89,5,0)</f>
        <v>6.7984728957526396E-14</v>
      </c>
      <c r="AK76" s="13">
        <f t="shared" si="89"/>
        <v>1.0682447123141398E-12</v>
      </c>
      <c r="AL76" s="20">
        <f t="shared" si="58"/>
        <v>1.978932943548152E-12</v>
      </c>
      <c r="AM76" s="59">
        <f t="shared" si="59"/>
        <v>293.3333333333353</v>
      </c>
      <c r="AN76" s="59">
        <f ca="1">AVERAGE(OFFSET($AM$3,0,0,'Données projet'!$E$10+1,1))-AVERAGE(OFFSET($H$3,0,0,'Données projet'!$E$10+1,1))</f>
        <v>213.90220310357444</v>
      </c>
      <c r="AO76" s="59">
        <f t="shared" si="90"/>
        <v>209.61422409790703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107.34813595302589</v>
      </c>
      <c r="AV76" s="21">
        <f>EXP(-LN(2)/25)*AV75+(1-EXP(-LN(2)/25))/(LN(2)/25)*Calculateur!AQ76*Calculateur!AS76*VLOOKUP('Données projet'!$B$10,Paramètres!$A$1:$I$89,3,0)*0.475*44/12</f>
        <v>33.781052672933576</v>
      </c>
      <c r="AW76" s="21">
        <f>EXP(-LN(2)/2)*AW75+(1-EXP(-LN(2)/2))/(LN(2)/2)*AQ76*AT76*VLOOKUP('Données projet'!$B$10,Paramètres!$A$1:$I$89,3,0)*0.475*44/12</f>
        <v>0.66248660672066639</v>
      </c>
      <c r="AX76" s="21">
        <f t="shared" si="60"/>
        <v>141.79167523268015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6">
        <f t="shared" si="56"/>
        <v>440.37828502577372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9.733749999999997</v>
      </c>
      <c r="M77" s="12">
        <f t="array" ref="M77">INDEX(L:L,MIN(IF(ISNUMBER(L77:L273),ROW(L77:L273),"")))</f>
        <v>9.733749999999997</v>
      </c>
      <c r="N77" s="13">
        <f>IF('Données projet'!$A$36&gt;35,N76+M77-V76,IF(A77&lt;'Données projet'!$A$36,$K$205^A77,IF(A77='Données projet'!$A$36,'Données projet'!$B$36,N76+M77-V76)))</f>
        <v>310.96000000000026</v>
      </c>
      <c r="O77" s="13">
        <f>N77*VLOOKUP('Données projet'!$B$9,Paramètres!$A$1:$I$89,3,0)*VLOOKUP('Données projet'!$B$9,Paramètres!$A$1:$I$89,5,0)</f>
        <v>281.35660800000022</v>
      </c>
      <c r="P77" s="13">
        <f t="shared" si="87"/>
        <v>67.253618453644265</v>
      </c>
      <c r="Q77" s="20">
        <f t="shared" si="54"/>
        <v>607.16281107343082</v>
      </c>
      <c r="R77" s="59">
        <f t="shared" si="55"/>
        <v>900.49614440676419</v>
      </c>
      <c r="S77" s="59">
        <f ca="1">AVERAGE(OFFSET($R$3,0,0,'Données projet'!$E$9+1,1))-AVERAGE(OFFSET($H$3,0,0,'Données projet'!$E$9+1,1))</f>
        <v>422.10969295064359</v>
      </c>
      <c r="T77" s="59">
        <f t="shared" si="88"/>
        <v>184.04075143033037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51.339999999999975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14.625152268757301</v>
      </c>
      <c r="AA77" s="21">
        <f>EXP(-LN(2)/25)*AA76+(1-EXP(-LN(2)/25))/(LN(2)/25)*Calculateur!V77*Calculateur!X77*VLOOKUP('Données projet'!$B$9,Paramètres!$A$1:$I$89,3,0)*0.475*44/12</f>
        <v>31.489340968528012</v>
      </c>
      <c r="AB77" s="21">
        <f>EXP(-LN(2)/2)*AB76+(1-EXP(-LN(2)/2))/(LN(2)/2)*V77*Y77*VLOOKUP('Données projet'!$B$9,Paramètres!$A$1:$I$89,3,0)*0.475*44/12</f>
        <v>4.7028840054751821</v>
      </c>
      <c r="AC77" s="22">
        <f t="shared" si="57"/>
        <v>50.8173772427605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1.1368683772161603E-13</v>
      </c>
      <c r="AJ77" s="13">
        <f>AI77*VLOOKUP('Données projet'!$B$10,Paramètres!$A$1:$I$89,3,0)*VLOOKUP('Données projet'!$B$10,Paramètres!$A$1:$I$89,5,0)</f>
        <v>6.7984728957526396E-14</v>
      </c>
      <c r="AK77" s="13">
        <f t="shared" si="89"/>
        <v>1.0682447123141398E-12</v>
      </c>
      <c r="AL77" s="20">
        <f t="shared" si="58"/>
        <v>1.978932943548152E-12</v>
      </c>
      <c r="AM77" s="59">
        <f t="shared" si="59"/>
        <v>293.3333333333353</v>
      </c>
      <c r="AN77" s="59">
        <f ca="1">AVERAGE(OFFSET($AM$3,0,0,'Données projet'!$E$10+1,1))-AVERAGE(OFFSET($H$3,0,0,'Données projet'!$E$10+1,1))</f>
        <v>213.90220310357444</v>
      </c>
      <c r="AO77" s="59">
        <f t="shared" si="90"/>
        <v>209.61422409790703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105.24310448288477</v>
      </c>
      <c r="AV77" s="21">
        <f>EXP(-LN(2)/25)*AV76+(1-EXP(-LN(2)/25))/(LN(2)/25)*Calculateur!AQ77*Calculateur!AS77*VLOOKUP('Données projet'!$B$10,Paramètres!$A$1:$I$89,3,0)*0.475*44/12</f>
        <v>32.857308011123855</v>
      </c>
      <c r="AW77" s="21">
        <f>EXP(-LN(2)/2)*AW76+(1-EXP(-LN(2)/2))/(LN(2)/2)*AQ77*AT77*VLOOKUP('Données projet'!$B$10,Paramètres!$A$1:$I$89,3,0)*0.475*44/12</f>
        <v>0.46844877205744867</v>
      </c>
      <c r="AX77" s="21">
        <f t="shared" si="60"/>
        <v>138.56886126606608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6">
        <f t="shared" si="56"/>
        <v>442.31404560578176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9.546999999999997</v>
      </c>
      <c r="N78" s="13">
        <f>IF('Données projet'!$A$36&gt;35,N77+M78-V77,IF(A78&lt;'Données projet'!$A$36,$K$205^A78,IF(A78='Données projet'!$A$36,'Données projet'!$B$36,N77+M78-V77)))</f>
        <v>269.16700000000031</v>
      </c>
      <c r="O78" s="13">
        <f>N78*VLOOKUP('Données projet'!$B$9,Paramètres!$A$1:$I$89,3,0)*VLOOKUP('Données projet'!$B$9,Paramètres!$A$1:$I$89,5,0)</f>
        <v>243.54230160000029</v>
      </c>
      <c r="P78" s="13">
        <f t="shared" si="87"/>
        <v>59.201022808040776</v>
      </c>
      <c r="Q78" s="20">
        <f t="shared" si="54"/>
        <v>527.27795667733812</v>
      </c>
      <c r="R78" s="59">
        <f t="shared" si="55"/>
        <v>820.61129001067138</v>
      </c>
      <c r="S78" s="59">
        <f ca="1">AVERAGE(OFFSET($R$3,0,0,'Données projet'!$E$9+1,1))-AVERAGE(OFFSET($H$3,0,0,'Données projet'!$E$9+1,1))</f>
        <v>422.10969295064359</v>
      </c>
      <c r="T78" s="59">
        <f t="shared" si="88"/>
        <v>184.04075143033037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14.338361953229031</v>
      </c>
      <c r="AA78" s="21">
        <f>EXP(-LN(2)/25)*AA77+(1-EXP(-LN(2)/25))/(LN(2)/25)*Calculateur!V78*Calculateur!X78*VLOOKUP('Données projet'!$B$9,Paramètres!$A$1:$I$89,3,0)*0.475*44/12</f>
        <v>30.628263283791142</v>
      </c>
      <c r="AB78" s="21">
        <f>EXP(-LN(2)/2)*AB77+(1-EXP(-LN(2)/2))/(LN(2)/2)*V78*Y78*VLOOKUP('Données projet'!$B$9,Paramètres!$A$1:$I$89,3,0)*0.475*44/12</f>
        <v>3.3254411714052541</v>
      </c>
      <c r="AC78" s="22">
        <f t="shared" si="57"/>
        <v>48.292066408425427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1.1368683772161603E-13</v>
      </c>
      <c r="AJ78" s="13">
        <f>AI78*VLOOKUP('Données projet'!$B$10,Paramètres!$A$1:$I$89,3,0)*VLOOKUP('Données projet'!$B$10,Paramètres!$A$1:$I$89,5,0)</f>
        <v>6.7984728957526396E-14</v>
      </c>
      <c r="AK78" s="13">
        <f t="shared" si="89"/>
        <v>1.0682447123141398E-12</v>
      </c>
      <c r="AL78" s="20">
        <f t="shared" si="58"/>
        <v>1.978932943548152E-12</v>
      </c>
      <c r="AM78" s="59">
        <f t="shared" si="59"/>
        <v>293.3333333333353</v>
      </c>
      <c r="AN78" s="59">
        <f ca="1">AVERAGE(OFFSET($AM$3,0,0,'Données projet'!$E$10+1,1))-AVERAGE(OFFSET($H$3,0,0,'Données projet'!$E$10+1,1))</f>
        <v>213.90220310357444</v>
      </c>
      <c r="AO78" s="59">
        <f t="shared" si="90"/>
        <v>209.61422409790703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103.17935139593071</v>
      </c>
      <c r="AV78" s="21">
        <f>EXP(-LN(2)/25)*AV77+(1-EXP(-LN(2)/25))/(LN(2)/25)*Calculateur!AQ78*Calculateur!AS78*VLOOKUP('Données projet'!$B$10,Paramètres!$A$1:$I$89,3,0)*0.475*44/12</f>
        <v>31.958823195668941</v>
      </c>
      <c r="AW78" s="21">
        <f>EXP(-LN(2)/2)*AW77+(1-EXP(-LN(2)/2))/(LN(2)/2)*AQ78*AT78*VLOOKUP('Données projet'!$B$10,Paramètres!$A$1:$I$89,3,0)*0.475*44/12</f>
        <v>0.33124330336033325</v>
      </c>
      <c r="AX78" s="21">
        <f t="shared" si="60"/>
        <v>135.46941789495997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6">
        <f t="shared" si="56"/>
        <v>444.24920589937017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9.546999999999997</v>
      </c>
      <c r="N79" s="13">
        <f>IF('Données projet'!$A$36&gt;35,N78+M79-V78,IF(A79&lt;'Données projet'!$A$36,$K$205^A79,IF(A79='Données projet'!$A$36,'Données projet'!$B$36,N78+M79-V78)))</f>
        <v>278.71400000000028</v>
      </c>
      <c r="O79" s="13">
        <f>N79*VLOOKUP('Données projet'!$B$9,Paramètres!$A$1:$I$89,3,0)*VLOOKUP('Données projet'!$B$9,Paramètres!$A$1:$I$89,5,0)</f>
        <v>252.18042720000025</v>
      </c>
      <c r="P79" s="13">
        <f t="shared" si="87"/>
        <v>61.052610283141384</v>
      </c>
      <c r="Q79" s="20">
        <f t="shared" si="54"/>
        <v>545.54754028313835</v>
      </c>
      <c r="R79" s="59">
        <f t="shared" si="55"/>
        <v>838.88087361647172</v>
      </c>
      <c r="S79" s="59">
        <f ca="1">AVERAGE(OFFSET($R$3,0,0,'Données projet'!$E$9+1,1))-AVERAGE(OFFSET($H$3,0,0,'Données projet'!$E$9+1,1))</f>
        <v>422.10969295064359</v>
      </c>
      <c r="T79" s="59">
        <f t="shared" si="88"/>
        <v>184.04075143033037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14.057195420863451</v>
      </c>
      <c r="AA79" s="21">
        <f>EXP(-LN(2)/25)*AA78+(1-EXP(-LN(2)/25))/(LN(2)/25)*Calculateur!V79*Calculateur!X79*VLOOKUP('Données projet'!$B$9,Paramètres!$A$1:$I$89,3,0)*0.475*44/12</f>
        <v>29.790731813625509</v>
      </c>
      <c r="AB79" s="21">
        <f>EXP(-LN(2)/2)*AB78+(1-EXP(-LN(2)/2))/(LN(2)/2)*V79*Y79*VLOOKUP('Données projet'!$B$9,Paramètres!$A$1:$I$89,3,0)*0.475*44/12</f>
        <v>2.3514420027375915</v>
      </c>
      <c r="AC79" s="22">
        <f t="shared" si="57"/>
        <v>46.199369237226556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1.1368683772161603E-13</v>
      </c>
      <c r="AJ79" s="13">
        <f>AI79*VLOOKUP('Données projet'!$B$10,Paramètres!$A$1:$I$89,3,0)*VLOOKUP('Données projet'!$B$10,Paramètres!$A$1:$I$89,5,0)</f>
        <v>6.7984728957526396E-14</v>
      </c>
      <c r="AK79" s="13">
        <f t="shared" si="89"/>
        <v>1.0682447123141398E-12</v>
      </c>
      <c r="AL79" s="20">
        <f t="shared" si="58"/>
        <v>1.978932943548152E-12</v>
      </c>
      <c r="AM79" s="59">
        <f t="shared" si="59"/>
        <v>293.3333333333353</v>
      </c>
      <c r="AN79" s="59">
        <f ca="1">AVERAGE(OFFSET($AM$3,0,0,'Données projet'!$E$10+1,1))-AVERAGE(OFFSET($H$3,0,0,'Données projet'!$E$10+1,1))</f>
        <v>213.90220310357444</v>
      </c>
      <c r="AO79" s="59">
        <f t="shared" si="90"/>
        <v>209.61422409790703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101.15606724824673</v>
      </c>
      <c r="AV79" s="21">
        <f>EXP(-LN(2)/25)*AV78+(1-EXP(-LN(2)/25))/(LN(2)/25)*Calculateur!AQ79*Calculateur!AS79*VLOOKUP('Données projet'!$B$10,Paramètres!$A$1:$I$89,3,0)*0.475*44/12</f>
        <v>31.084907494741906</v>
      </c>
      <c r="AW79" s="21">
        <f>EXP(-LN(2)/2)*AW78+(1-EXP(-LN(2)/2))/(LN(2)/2)*AQ79*AT79*VLOOKUP('Données projet'!$B$10,Paramètres!$A$1:$I$89,3,0)*0.475*44/12</f>
        <v>0.23422438602872436</v>
      </c>
      <c r="AX79" s="21">
        <f t="shared" si="60"/>
        <v>132.47519912901737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6">
        <f t="shared" si="56"/>
        <v>446.18377471819281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9.546999999999997</v>
      </c>
      <c r="N80" s="13">
        <f>IF('Données projet'!$A$36&gt;35,N79+M80-V79,IF(A80&lt;'Données projet'!$A$36,$K$205^A80,IF(A80='Données projet'!$A$36,'Données projet'!$B$36,N79+M80-V79)))</f>
        <v>288.26100000000031</v>
      </c>
      <c r="O80" s="13">
        <f>N80*VLOOKUP('Données projet'!$B$9,Paramètres!$A$1:$I$89,3,0)*VLOOKUP('Données projet'!$B$9,Paramètres!$A$1:$I$89,5,0)</f>
        <v>260.8185528000003</v>
      </c>
      <c r="P80" s="13">
        <f t="shared" si="87"/>
        <v>62.896828401660521</v>
      </c>
      <c r="Q80" s="20">
        <f t="shared" si="54"/>
        <v>563.80428892622592</v>
      </c>
      <c r="R80" s="59">
        <f t="shared" si="55"/>
        <v>857.13762225955929</v>
      </c>
      <c r="S80" s="59">
        <f ca="1">AVERAGE(OFFSET($R$3,0,0,'Données projet'!$E$9+1,1))-AVERAGE(OFFSET($H$3,0,0,'Données projet'!$E$9+1,1))</f>
        <v>422.10969295064359</v>
      </c>
      <c r="T80" s="59">
        <f t="shared" si="88"/>
        <v>184.04075143033037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13.781542392702908</v>
      </c>
      <c r="AA80" s="21">
        <f>EXP(-LN(2)/25)*AA79+(1-EXP(-LN(2)/25))/(LN(2)/25)*Calculateur!V80*Calculateur!X80*VLOOKUP('Données projet'!$B$9,Paramètres!$A$1:$I$89,3,0)*0.475*44/12</f>
        <v>28.976102685555421</v>
      </c>
      <c r="AB80" s="21">
        <f>EXP(-LN(2)/2)*AB79+(1-EXP(-LN(2)/2))/(LN(2)/2)*V80*Y80*VLOOKUP('Données projet'!$B$9,Paramètres!$A$1:$I$89,3,0)*0.475*44/12</f>
        <v>1.6627205857026273</v>
      </c>
      <c r="AC80" s="22">
        <f t="shared" si="57"/>
        <v>44.420365663960958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1.1368683772161603E-13</v>
      </c>
      <c r="AJ80" s="13">
        <f>AI80*VLOOKUP('Données projet'!$B$10,Paramètres!$A$1:$I$89,3,0)*VLOOKUP('Données projet'!$B$10,Paramètres!$A$1:$I$89,5,0)</f>
        <v>6.7984728957526396E-14</v>
      </c>
      <c r="AK80" s="13">
        <f t="shared" si="89"/>
        <v>1.0682447123141398E-12</v>
      </c>
      <c r="AL80" s="20">
        <f t="shared" si="58"/>
        <v>1.978932943548152E-12</v>
      </c>
      <c r="AM80" s="59">
        <f t="shared" si="59"/>
        <v>293.3333333333353</v>
      </c>
      <c r="AN80" s="59">
        <f ca="1">AVERAGE(OFFSET($AM$3,0,0,'Données projet'!$E$10+1,1))-AVERAGE(OFFSET($H$3,0,0,'Données projet'!$E$10+1,1))</f>
        <v>213.90220310357444</v>
      </c>
      <c r="AO80" s="59">
        <f t="shared" si="90"/>
        <v>209.61422409790703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99.17245846861735</v>
      </c>
      <c r="AV80" s="21">
        <f>EXP(-LN(2)/25)*AV79+(1-EXP(-LN(2)/25))/(LN(2)/25)*Calculateur!AQ80*Calculateur!AS80*VLOOKUP('Données projet'!$B$10,Paramètres!$A$1:$I$89,3,0)*0.475*44/12</f>
        <v>30.234889064613949</v>
      </c>
      <c r="AW80" s="21">
        <f>EXP(-LN(2)/2)*AW79+(1-EXP(-LN(2)/2))/(LN(2)/2)*AQ80*AT80*VLOOKUP('Données projet'!$B$10,Paramètres!$A$1:$I$89,3,0)*0.475*44/12</f>
        <v>0.16562165168016665</v>
      </c>
      <c r="AX80" s="21">
        <f t="shared" si="60"/>
        <v>129.57296918491147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6">
        <f t="shared" si="56"/>
        <v>448.11776063187176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9.546999999999997</v>
      </c>
      <c r="N81" s="13">
        <f>IF('Données projet'!$A$36&gt;35,N80+M81-V80,IF(A81&lt;'Données projet'!$A$36,$K$205^A81,IF(A81='Données projet'!$A$36,'Données projet'!$B$36,N80+M81-V80)))</f>
        <v>297.80800000000033</v>
      </c>
      <c r="O81" s="13">
        <f>N81*VLOOKUP('Données projet'!$B$9,Paramètres!$A$1:$I$89,3,0)*VLOOKUP('Données projet'!$B$9,Paramètres!$A$1:$I$89,5,0)</f>
        <v>269.45667840000027</v>
      </c>
      <c r="P81" s="13">
        <f t="shared" si="87"/>
        <v>64.733949217436958</v>
      </c>
      <c r="Q81" s="20">
        <f t="shared" si="54"/>
        <v>582.04867643370324</v>
      </c>
      <c r="R81" s="59">
        <f t="shared" si="55"/>
        <v>875.38200976703661</v>
      </c>
      <c r="S81" s="59">
        <f ca="1">AVERAGE(OFFSET($R$3,0,0,'Données projet'!$E$9+1,1))-AVERAGE(OFFSET($H$3,0,0,'Données projet'!$E$9+1,1))</f>
        <v>422.10969295064359</v>
      </c>
      <c r="T81" s="59">
        <f t="shared" si="88"/>
        <v>184.04075143033037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13.51129475229285</v>
      </c>
      <c r="AA81" s="21">
        <f>EXP(-LN(2)/25)*AA80+(1-EXP(-LN(2)/25))/(LN(2)/25)*Calculateur!V81*Calculateur!X81*VLOOKUP('Données projet'!$B$9,Paramètres!$A$1:$I$89,3,0)*0.475*44/12</f>
        <v>28.183749633831894</v>
      </c>
      <c r="AB81" s="21">
        <f>EXP(-LN(2)/2)*AB80+(1-EXP(-LN(2)/2))/(LN(2)/2)*V81*Y81*VLOOKUP('Données projet'!$B$9,Paramètres!$A$1:$I$89,3,0)*0.475*44/12</f>
        <v>1.175721001368796</v>
      </c>
      <c r="AC81" s="22">
        <f t="shared" si="57"/>
        <v>42.870765387493535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1.1368683772161603E-13</v>
      </c>
      <c r="AJ81" s="13">
        <f>AI81*VLOOKUP('Données projet'!$B$10,Paramètres!$A$1:$I$89,3,0)*VLOOKUP('Données projet'!$B$10,Paramètres!$A$1:$I$89,5,0)</f>
        <v>6.7984728957526396E-14</v>
      </c>
      <c r="AK81" s="13">
        <f t="shared" si="89"/>
        <v>1.0682447123141398E-12</v>
      </c>
      <c r="AL81" s="20">
        <f t="shared" si="58"/>
        <v>1.978932943548152E-12</v>
      </c>
      <c r="AM81" s="59">
        <f t="shared" si="59"/>
        <v>293.3333333333353</v>
      </c>
      <c r="AN81" s="59">
        <f ca="1">AVERAGE(OFFSET($AM$3,0,0,'Données projet'!$E$10+1,1))-AVERAGE(OFFSET($H$3,0,0,'Données projet'!$E$10+1,1))</f>
        <v>213.90220310357444</v>
      </c>
      <c r="AO81" s="59">
        <f t="shared" si="90"/>
        <v>209.61422409790703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97.227747047274619</v>
      </c>
      <c r="AV81" s="21">
        <f>EXP(-LN(2)/25)*AV80+(1-EXP(-LN(2)/25))/(LN(2)/25)*Calculateur!AQ81*Calculateur!AS81*VLOOKUP('Données projet'!$B$10,Paramètres!$A$1:$I$89,3,0)*0.475*44/12</f>
        <v>29.408114433158367</v>
      </c>
      <c r="AW81" s="21">
        <f>EXP(-LN(2)/2)*AW80+(1-EXP(-LN(2)/2))/(LN(2)/2)*AQ81*AT81*VLOOKUP('Données projet'!$B$10,Paramètres!$A$1:$I$89,3,0)*0.475*44/12</f>
        <v>0.1171121930143622</v>
      </c>
      <c r="AX81" s="21">
        <f t="shared" si="60"/>
        <v>126.75297367344736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6">
        <f t="shared" si="56"/>
        <v>450.05117197766094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9.546999999999997</v>
      </c>
      <c r="N82" s="13">
        <f>IF('Données projet'!$A$36&gt;35,N81+M82-V81,IF(A82&lt;'Données projet'!$A$36,$K$205^A82,IF(A82='Données projet'!$A$36,'Données projet'!$B$36,N81+M82-V81)))</f>
        <v>307.35500000000036</v>
      </c>
      <c r="O82" s="13">
        <f>N82*VLOOKUP('Données projet'!$B$9,Paramètres!$A$1:$I$89,3,0)*VLOOKUP('Données projet'!$B$9,Paramètres!$A$1:$I$89,5,0)</f>
        <v>278.09480400000029</v>
      </c>
      <c r="P82" s="13">
        <f t="shared" si="87"/>
        <v>66.564226351179173</v>
      </c>
      <c r="Q82" s="20">
        <f t="shared" si="54"/>
        <v>600.28114452830425</v>
      </c>
      <c r="R82" s="59">
        <f t="shared" si="55"/>
        <v>893.61447786163762</v>
      </c>
      <c r="S82" s="59">
        <f ca="1">AVERAGE(OFFSET($R$3,0,0,'Données projet'!$E$9+1,1))-AVERAGE(OFFSET($H$3,0,0,'Données projet'!$E$9+1,1))</f>
        <v>422.10969295064359</v>
      </c>
      <c r="T82" s="59">
        <f t="shared" si="88"/>
        <v>184.04075143033037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13.246346503276447</v>
      </c>
      <c r="AA82" s="21">
        <f>EXP(-LN(2)/25)*AA81+(1-EXP(-LN(2)/25))/(LN(2)/25)*Calculateur!V82*Calculateur!X82*VLOOKUP('Données projet'!$B$9,Paramètres!$A$1:$I$89,3,0)*0.475*44/12</f>
        <v>27.413063517975782</v>
      </c>
      <c r="AB82" s="21">
        <f>EXP(-LN(2)/2)*AB81+(1-EXP(-LN(2)/2))/(LN(2)/2)*V82*Y82*VLOOKUP('Données projet'!$B$9,Paramètres!$A$1:$I$89,3,0)*0.475*44/12</f>
        <v>0.83136029285131385</v>
      </c>
      <c r="AC82" s="22">
        <f t="shared" si="57"/>
        <v>41.490770314103543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1.1368683772161603E-13</v>
      </c>
      <c r="AJ82" s="13">
        <f>AI82*VLOOKUP('Données projet'!$B$10,Paramètres!$A$1:$I$89,3,0)*VLOOKUP('Données projet'!$B$10,Paramètres!$A$1:$I$89,5,0)</f>
        <v>6.7984728957526396E-14</v>
      </c>
      <c r="AK82" s="13">
        <f t="shared" si="89"/>
        <v>1.0682447123141398E-12</v>
      </c>
      <c r="AL82" s="20">
        <f t="shared" si="58"/>
        <v>1.978932943548152E-12</v>
      </c>
      <c r="AM82" s="59">
        <f t="shared" si="59"/>
        <v>293.3333333333353</v>
      </c>
      <c r="AN82" s="59">
        <f ca="1">AVERAGE(OFFSET($AM$3,0,0,'Données projet'!$E$10+1,1))-AVERAGE(OFFSET($H$3,0,0,'Données projet'!$E$10+1,1))</f>
        <v>213.90220310357444</v>
      </c>
      <c r="AO82" s="59">
        <f t="shared" si="90"/>
        <v>209.61422409790703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95.321170230747569</v>
      </c>
      <c r="AV82" s="21">
        <f>EXP(-LN(2)/25)*AV81+(1-EXP(-LN(2)/25))/(LN(2)/25)*Calculateur!AQ82*Calculateur!AS82*VLOOKUP('Données projet'!$B$10,Paramètres!$A$1:$I$89,3,0)*0.475*44/12</f>
        <v>28.603947997478127</v>
      </c>
      <c r="AW82" s="21">
        <f>EXP(-LN(2)/2)*AW81+(1-EXP(-LN(2)/2))/(LN(2)/2)*AQ82*AT82*VLOOKUP('Données projet'!$B$10,Paramètres!$A$1:$I$89,3,0)*0.475*44/12</f>
        <v>8.2810825840083341E-2</v>
      </c>
      <c r="AX82" s="21">
        <f t="shared" si="60"/>
        <v>124.00792905406578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6">
        <f t="shared" si="56"/>
        <v>451.98401686960722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9.546999999999997</v>
      </c>
      <c r="N83" s="13">
        <f>IF('Données projet'!$A$36&gt;35,N82+M83-V82,IF(A83&lt;'Données projet'!$A$36,$K$205^A83,IF(A83='Données projet'!$A$36,'Données projet'!$B$36,N82+M83-V82)))</f>
        <v>316.90200000000038</v>
      </c>
      <c r="O83" s="13">
        <f>N83*VLOOKUP('Données projet'!$B$9,Paramètres!$A$1:$I$89,3,0)*VLOOKUP('Données projet'!$B$9,Paramètres!$A$1:$I$89,5,0)</f>
        <v>286.73292960000038</v>
      </c>
      <c r="P83" s="13">
        <f t="shared" si="87"/>
        <v>68.387896772756079</v>
      </c>
      <c r="Q83" s="20">
        <f t="shared" si="54"/>
        <v>618.50210593255088</v>
      </c>
      <c r="R83" s="59">
        <f t="shared" si="55"/>
        <v>911.83543926588413</v>
      </c>
      <c r="S83" s="59">
        <f ca="1">AVERAGE(OFFSET($R$3,0,0,'Données projet'!$E$9+1,1))-AVERAGE(OFFSET($H$3,0,0,'Données projet'!$E$9+1,1))</f>
        <v>422.10969295064359</v>
      </c>
      <c r="T83" s="59">
        <f t="shared" si="88"/>
        <v>184.04075143033037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12.986593727820781</v>
      </c>
      <c r="AA83" s="21">
        <f>EXP(-LN(2)/25)*AA82+(1-EXP(-LN(2)/25))/(LN(2)/25)*Calculateur!V83*Calculateur!X83*VLOOKUP('Données projet'!$B$9,Paramètres!$A$1:$I$89,3,0)*0.475*44/12</f>
        <v>26.663451854486379</v>
      </c>
      <c r="AB83" s="21">
        <f>EXP(-LN(2)/2)*AB82+(1-EXP(-LN(2)/2))/(LN(2)/2)*V83*Y83*VLOOKUP('Données projet'!$B$9,Paramètres!$A$1:$I$89,3,0)*0.475*44/12</f>
        <v>0.5878605006843981</v>
      </c>
      <c r="AC83" s="22">
        <f t="shared" si="57"/>
        <v>40.237906082991557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1.1368683772161603E-13</v>
      </c>
      <c r="AJ83" s="13">
        <f>AI83*VLOOKUP('Données projet'!$B$10,Paramètres!$A$1:$I$89,3,0)*VLOOKUP('Données projet'!$B$10,Paramètres!$A$1:$I$89,5,0)</f>
        <v>6.7984728957526396E-14</v>
      </c>
      <c r="AK83" s="13">
        <f t="shared" si="89"/>
        <v>1.0682447123141398E-12</v>
      </c>
      <c r="AL83" s="20">
        <f t="shared" si="58"/>
        <v>1.978932943548152E-12</v>
      </c>
      <c r="AM83" s="59">
        <f t="shared" si="59"/>
        <v>293.3333333333353</v>
      </c>
      <c r="AN83" s="59">
        <f ca="1">AVERAGE(OFFSET($AM$3,0,0,'Données projet'!$E$10+1,1))-AVERAGE(OFFSET($H$3,0,0,'Données projet'!$E$10+1,1))</f>
        <v>213.90220310357444</v>
      </c>
      <c r="AO83" s="59">
        <f t="shared" si="90"/>
        <v>209.61422409790703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93.451980222695582</v>
      </c>
      <c r="AV83" s="21">
        <f>EXP(-LN(2)/25)*AV82+(1-EXP(-LN(2)/25))/(LN(2)/25)*Calculateur!AQ83*Calculateur!AS83*VLOOKUP('Données projet'!$B$10,Paramètres!$A$1:$I$89,3,0)*0.475*44/12</f>
        <v>27.821771535270837</v>
      </c>
      <c r="AW83" s="21">
        <f>EXP(-LN(2)/2)*AW82+(1-EXP(-LN(2)/2))/(LN(2)/2)*AQ83*AT83*VLOOKUP('Données projet'!$B$10,Paramètres!$A$1:$I$89,3,0)*0.475*44/12</f>
        <v>5.8556096507181112E-2</v>
      </c>
      <c r="AX83" s="21">
        <f t="shared" si="60"/>
        <v>121.3323078544736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6">
        <f t="shared" si="56"/>
        <v>453.91630320723971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9.546999999999997</v>
      </c>
      <c r="N84" s="13">
        <f>IF('Données projet'!$A$36&gt;35,N83+M84-V83,IF(A84&lt;'Données projet'!$A$36,$K$205^A84,IF(A84='Données projet'!$A$36,'Données projet'!$B$36,N83+M84-V83)))</f>
        <v>326.44900000000041</v>
      </c>
      <c r="O84" s="13">
        <f>N84*VLOOKUP('Données projet'!$B$9,Paramètres!$A$1:$I$89,3,0)*VLOOKUP('Données projet'!$B$9,Paramètres!$A$1:$I$89,5,0)</f>
        <v>295.37105520000034</v>
      </c>
      <c r="P84" s="13">
        <f t="shared" si="87"/>
        <v>70.205182362680091</v>
      </c>
      <c r="Q84" s="20">
        <f t="shared" si="54"/>
        <v>636.71194708833502</v>
      </c>
      <c r="R84" s="59">
        <f t="shared" si="55"/>
        <v>930.04528042166839</v>
      </c>
      <c r="S84" s="59">
        <f ca="1">AVERAGE(OFFSET($R$3,0,0,'Données projet'!$E$9+1,1))-AVERAGE(OFFSET($H$3,0,0,'Données projet'!$E$9+1,1))</f>
        <v>422.10969295064359</v>
      </c>
      <c r="T84" s="59">
        <f t="shared" si="88"/>
        <v>184.04075143033037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12.731934545858252</v>
      </c>
      <c r="AA84" s="21">
        <f>EXP(-LN(2)/25)*AA83+(1-EXP(-LN(2)/25))/(LN(2)/25)*Calculateur!V84*Calculateur!X84*VLOOKUP('Données projet'!$B$9,Paramètres!$A$1:$I$89,3,0)*0.475*44/12</f>
        <v>25.934338361355454</v>
      </c>
      <c r="AB84" s="21">
        <f>EXP(-LN(2)/2)*AB83+(1-EXP(-LN(2)/2))/(LN(2)/2)*V84*Y84*VLOOKUP('Données projet'!$B$9,Paramètres!$A$1:$I$89,3,0)*0.475*44/12</f>
        <v>0.41568014642565698</v>
      </c>
      <c r="AC84" s="22">
        <f t="shared" si="57"/>
        <v>39.081953053639367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6.7984728957526396E-14</v>
      </c>
      <c r="AK84" s="13">
        <f t="shared" si="89"/>
        <v>1.0682447123141398E-12</v>
      </c>
      <c r="AL84" s="20">
        <f t="shared" si="58"/>
        <v>1.978932943548152E-12</v>
      </c>
      <c r="AM84" s="59">
        <f t="shared" si="59"/>
        <v>293.3333333333353</v>
      </c>
      <c r="AN84" s="59">
        <f ca="1">AVERAGE(OFFSET($AM$3,0,0,'Données projet'!$E$10+1,1))-AVERAGE(OFFSET($H$3,0,0,'Données projet'!$E$10+1,1))</f>
        <v>213.90220310357444</v>
      </c>
      <c r="AO84" s="59">
        <f t="shared" si="90"/>
        <v>209.61422409790703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91.619443890608167</v>
      </c>
      <c r="AV84" s="21">
        <f>EXP(-LN(2)/25)*AV83+(1-EXP(-LN(2)/25))/(LN(2)/25)*Calculateur!AQ84*Calculateur!AS84*VLOOKUP('Données projet'!$B$10,Paramètres!$A$1:$I$89,3,0)*0.475*44/12</f>
        <v>27.060983729555478</v>
      </c>
      <c r="AW84" s="21">
        <f>EXP(-LN(2)/2)*AW83+(1-EXP(-LN(2)/2))/(LN(2)/2)*AQ84*AT84*VLOOKUP('Données projet'!$B$10,Paramètres!$A$1:$I$89,3,0)*0.475*44/12</f>
        <v>4.1405412920041677E-2</v>
      </c>
      <c r="AX84" s="21">
        <f t="shared" si="60"/>
        <v>118.72183303308368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6">
        <f t="shared" si="56"/>
        <v>455.84803868381812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9.546999999999997</v>
      </c>
      <c r="N85" s="13">
        <f>IF('Données projet'!$A$36&gt;35,N84+M85-V84,IF(A85&lt;'Données projet'!$A$36,$K$205^A85,IF(A85='Données projet'!$A$36,'Données projet'!$B$36,N84+M85-V84)))</f>
        <v>335.99600000000044</v>
      </c>
      <c r="O85" s="13">
        <f>N85*VLOOKUP('Données projet'!$B$9,Paramètres!$A$1:$I$89,3,0)*VLOOKUP('Données projet'!$B$9,Paramètres!$A$1:$I$89,5,0)</f>
        <v>304.00918080000037</v>
      </c>
      <c r="P85" s="13">
        <f t="shared" si="87"/>
        <v>72.016291285794935</v>
      </c>
      <c r="Q85" s="20">
        <f t="shared" si="54"/>
        <v>654.91103054942675</v>
      </c>
      <c r="R85" s="59">
        <f t="shared" si="55"/>
        <v>948.24436388276013</v>
      </c>
      <c r="S85" s="59">
        <f ca="1">AVERAGE(OFFSET($R$3,0,0,'Données projet'!$E$9+1,1))-AVERAGE(OFFSET($H$3,0,0,'Données projet'!$E$9+1,1))</f>
        <v>422.10969295064359</v>
      </c>
      <c r="T85" s="59">
        <f t="shared" si="88"/>
        <v>184.04075143033037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12.482269075127244</v>
      </c>
      <c r="AA85" s="21">
        <f>EXP(-LN(2)/25)*AA84+(1-EXP(-LN(2)/25))/(LN(2)/25)*Calculateur!V85*Calculateur!X85*VLOOKUP('Données projet'!$B$9,Paramètres!$A$1:$I$89,3,0)*0.475*44/12</f>
        <v>25.225162515036608</v>
      </c>
      <c r="AB85" s="21">
        <f>EXP(-LN(2)/2)*AB84+(1-EXP(-LN(2)/2))/(LN(2)/2)*V85*Y85*VLOOKUP('Données projet'!$B$9,Paramètres!$A$1:$I$89,3,0)*0.475*44/12</f>
        <v>0.29393025034219911</v>
      </c>
      <c r="AC85" s="22">
        <f t="shared" si="57"/>
        <v>38.00136184050605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6.7984728957526396E-14</v>
      </c>
      <c r="AK85" s="13">
        <f t="shared" si="89"/>
        <v>1.0682447123141398E-12</v>
      </c>
      <c r="AL85" s="20">
        <f t="shared" si="58"/>
        <v>1.978932943548152E-12</v>
      </c>
      <c r="AM85" s="59">
        <f t="shared" si="59"/>
        <v>293.3333333333353</v>
      </c>
      <c r="AN85" s="59">
        <f ca="1">AVERAGE(OFFSET($AM$3,0,0,'Données projet'!$E$10+1,1))-AVERAGE(OFFSET($H$3,0,0,'Données projet'!$E$10+1,1))</f>
        <v>213.90220310357444</v>
      </c>
      <c r="AO85" s="59">
        <f t="shared" si="90"/>
        <v>209.61422409790703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89.822842478256192</v>
      </c>
      <c r="AV85" s="21">
        <f>EXP(-LN(2)/25)*AV84+(1-EXP(-LN(2)/25))/(LN(2)/25)*Calculateur!AQ85*Calculateur!AS85*VLOOKUP('Données projet'!$B$10,Paramètres!$A$1:$I$89,3,0)*0.475*44/12</f>
        <v>26.320999706395497</v>
      </c>
      <c r="AW85" s="21">
        <f>EXP(-LN(2)/2)*AW84+(1-EXP(-LN(2)/2))/(LN(2)/2)*AQ85*AT85*VLOOKUP('Données projet'!$B$10,Paramètres!$A$1:$I$89,3,0)*0.475*44/12</f>
        <v>2.9278048253590559E-2</v>
      </c>
      <c r="AX85" s="21">
        <f t="shared" si="60"/>
        <v>116.17312023290528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6">
        <f t="shared" si="56"/>
        <v>457.77923079416723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9.546999999999997</v>
      </c>
      <c r="N86" s="13">
        <f>IF('Données projet'!$A$36&gt;35,N85+M86-V85,IF(A86&lt;'Données projet'!$A$36,$K$205^A86,IF(A86='Données projet'!$A$36,'Données projet'!$B$36,N85+M86-V85)))</f>
        <v>345.54300000000046</v>
      </c>
      <c r="O86" s="13">
        <f>N86*VLOOKUP('Données projet'!$B$9,Paramètres!$A$1:$I$89,3,0)*VLOOKUP('Données projet'!$B$9,Paramètres!$A$1:$I$89,5,0)</f>
        <v>312.64730640000039</v>
      </c>
      <c r="P86" s="13">
        <f t="shared" si="87"/>
        <v>73.821419204446315</v>
      </c>
      <c r="Q86" s="20">
        <f t="shared" si="54"/>
        <v>673.09969709441123</v>
      </c>
      <c r="R86" s="59">
        <f t="shared" si="55"/>
        <v>966.4330304277446</v>
      </c>
      <c r="S86" s="59">
        <f ca="1">AVERAGE(OFFSET($R$3,0,0,'Données projet'!$E$9+1,1))-AVERAGE(OFFSET($H$3,0,0,'Données projet'!$E$9+1,1))</f>
        <v>422.10969295064359</v>
      </c>
      <c r="T86" s="59">
        <f t="shared" si="88"/>
        <v>184.04075143033037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12.237499391996371</v>
      </c>
      <c r="AA86" s="21">
        <f>EXP(-LN(2)/25)*AA85+(1-EXP(-LN(2)/25))/(LN(2)/25)*Calculateur!V86*Calculateur!X86*VLOOKUP('Données projet'!$B$9,Paramètres!$A$1:$I$89,3,0)*0.475*44/12</f>
        <v>24.535379119529289</v>
      </c>
      <c r="AB86" s="21">
        <f>EXP(-LN(2)/2)*AB85+(1-EXP(-LN(2)/2))/(LN(2)/2)*V86*Y86*VLOOKUP('Données projet'!$B$9,Paramètres!$A$1:$I$89,3,0)*0.475*44/12</f>
        <v>0.20784007321282855</v>
      </c>
      <c r="AC86" s="22">
        <f t="shared" si="57"/>
        <v>36.98071858473849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6.7984728957526396E-14</v>
      </c>
      <c r="AK86" s="13">
        <f t="shared" si="89"/>
        <v>1.0682447123141398E-12</v>
      </c>
      <c r="AL86" s="20">
        <f t="shared" si="58"/>
        <v>1.978932943548152E-12</v>
      </c>
      <c r="AM86" s="59">
        <f t="shared" si="59"/>
        <v>293.3333333333353</v>
      </c>
      <c r="AN86" s="59">
        <f ca="1">AVERAGE(OFFSET($AM$3,0,0,'Données projet'!$E$10+1,1))-AVERAGE(OFFSET($H$3,0,0,'Données projet'!$E$10+1,1))</f>
        <v>213.90220310357444</v>
      </c>
      <c r="AO86" s="59">
        <f t="shared" si="90"/>
        <v>209.61422409790703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88.061471323781774</v>
      </c>
      <c r="AV86" s="21">
        <f>EXP(-LN(2)/25)*AV85+(1-EXP(-LN(2)/25))/(LN(2)/25)*Calculateur!AQ86*Calculateur!AS86*VLOOKUP('Données projet'!$B$10,Paramètres!$A$1:$I$89,3,0)*0.475*44/12</f>
        <v>25.601250585262896</v>
      </c>
      <c r="AW86" s="21">
        <f>EXP(-LN(2)/2)*AW85+(1-EXP(-LN(2)/2))/(LN(2)/2)*AQ86*AT86*VLOOKUP('Données projet'!$B$10,Paramètres!$A$1:$I$89,3,0)*0.475*44/12</f>
        <v>2.0702706460020842E-2</v>
      </c>
      <c r="AX86" s="21">
        <f t="shared" si="60"/>
        <v>113.68342461550469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6">
        <f t="shared" si="56"/>
        <v>459.70988684212313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9.546999999999997</v>
      </c>
      <c r="M87" s="12">
        <f t="array" ref="M87">INDEX(L:L,MIN(IF(ISNUMBER(L87:L283),ROW(L87:L283),"")))</f>
        <v>9.546999999999997</v>
      </c>
      <c r="N87" s="13">
        <f>IF('Données projet'!$A$36&gt;35,N86+M87-V86,IF(A87&lt;'Données projet'!$A$36,$K$205^A87,IF(A87='Données projet'!$A$36,'Données projet'!$B$36,N86+M87-V86)))</f>
        <v>355.09000000000049</v>
      </c>
      <c r="O87" s="13">
        <f>N87*VLOOKUP('Données projet'!$B$9,Paramètres!$A$1:$I$89,3,0)*VLOOKUP('Données projet'!$B$9,Paramètres!$A$1:$I$89,5,0)</f>
        <v>321.28543200000041</v>
      </c>
      <c r="P87" s="13">
        <f t="shared" si="87"/>
        <v>75.620750353808944</v>
      </c>
      <c r="Q87" s="20">
        <f t="shared" si="54"/>
        <v>691.27826759955133</v>
      </c>
      <c r="R87" s="59">
        <f t="shared" si="55"/>
        <v>984.61160093288458</v>
      </c>
      <c r="S87" s="59">
        <f ca="1">AVERAGE(OFFSET($R$3,0,0,'Données projet'!$E$9+1,1))-AVERAGE(OFFSET($H$3,0,0,'Données projet'!$E$9+1,1))</f>
        <v>422.10969295064359</v>
      </c>
      <c r="T87" s="59">
        <f t="shared" si="88"/>
        <v>184.04075143033037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66.69</v>
      </c>
      <c r="W87" s="16">
        <f>IF(ISNA(VLOOKUP(A87,'Données projet'!$A$35:$I$55,5,0)),0%,VLOOKUP(A87,'Données projet'!$A$35:$I$55,5,0)*VLOOKUP('Données projet'!$B$9,Paramètres!$A$1:$I$89,7,0))</f>
        <v>0.15049999999999999</v>
      </c>
      <c r="X87" s="16">
        <f>IF(ISNA(VLOOKUP(A87,'Données projet'!$A$35:$I$55,6,0)),0%,VLOOKUP(A87,'Données projet'!$A$35:$I$55,6,0)*VLOOKUP('Données projet'!$B$9,Paramètres!$A$1:$I$89,7,0))</f>
        <v>8.6000000000000007E-2</v>
      </c>
      <c r="Y87" s="16">
        <f>IF(ISNA(VLOOKUP(A87,'Données projet'!$A$35:$I$55,7,0)),0%,VLOOKUP(A87,'Données projet'!$A$35:$I$55,7,0))</f>
        <v>0.1</v>
      </c>
      <c r="Z87" s="21">
        <f>EXP(-LN(2)/35)*Z86+(1-EXP(-LN(2)/35))/(LN(2)/35)*V87*W87*VLOOKUP('Données projet'!$B$9,Paramètres!$A$1:$I$89,3,0)*0.475*44/12</f>
        <v>22.036678946661006</v>
      </c>
      <c r="AA87" s="21">
        <f>EXP(-LN(2)/25)*AA86+(1-EXP(-LN(2)/25))/(LN(2)/25)*Calculateur!V87*Calculateur!X87*VLOOKUP('Données projet'!$B$9,Paramètres!$A$1:$I$89,3,0)*0.475*44/12</f>
        <v>29.578527314097339</v>
      </c>
      <c r="AB87" s="21">
        <f>EXP(-LN(2)/2)*AB86+(1-EXP(-LN(2)/2))/(LN(2)/2)*V87*Y87*VLOOKUP('Données projet'!$B$9,Paramètres!$A$1:$I$89,3,0)*0.475*44/12</f>
        <v>5.8403114480929164</v>
      </c>
      <c r="AC87" s="22">
        <f t="shared" si="57"/>
        <v>57.455517708851261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6.7984728957526396E-14</v>
      </c>
      <c r="AK87" s="13">
        <f t="shared" si="89"/>
        <v>1.0682447123141398E-12</v>
      </c>
      <c r="AL87" s="20">
        <f t="shared" si="58"/>
        <v>1.978932943548152E-12</v>
      </c>
      <c r="AM87" s="59">
        <f t="shared" si="59"/>
        <v>293.3333333333353</v>
      </c>
      <c r="AN87" s="59">
        <f ca="1">AVERAGE(OFFSET($AM$3,0,0,'Données projet'!$E$10+1,1))-AVERAGE(OFFSET($H$3,0,0,'Données projet'!$E$10+1,1))</f>
        <v>213.90220310357444</v>
      </c>
      <c r="AO87" s="59">
        <f t="shared" si="90"/>
        <v>209.61422409790703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86.334639583316289</v>
      </c>
      <c r="AV87" s="21">
        <f>EXP(-LN(2)/25)*AV86+(1-EXP(-LN(2)/25))/(LN(2)/25)*Calculateur!AQ87*Calculateur!AS87*VLOOKUP('Données projet'!$B$10,Paramètres!$A$1:$I$89,3,0)*0.475*44/12</f>
        <v>24.901183041697628</v>
      </c>
      <c r="AW87" s="21">
        <f>EXP(-LN(2)/2)*AW86+(1-EXP(-LN(2)/2))/(LN(2)/2)*AQ87*AT87*VLOOKUP('Données projet'!$B$10,Paramètres!$A$1:$I$89,3,0)*0.475*44/12</f>
        <v>1.4639024126795283E-2</v>
      </c>
      <c r="AX87" s="21">
        <f t="shared" si="60"/>
        <v>111.25046164914072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6">
        <f t="shared" si="56"/>
        <v>461.64001394761442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9.1730000000000018</v>
      </c>
      <c r="N88" s="13">
        <f>IF('Données projet'!$A$36&gt;35,N87+M88-V87,IF(A88&lt;'Données projet'!$A$36,$K$205^A88,IF(A88='Données projet'!$A$36,'Données projet'!$B$36,N87+M88-V87)))</f>
        <v>297.57300000000049</v>
      </c>
      <c r="O88" s="13">
        <f>N88*VLOOKUP('Données projet'!$B$9,Paramètres!$A$1:$I$89,3,0)*VLOOKUP('Données projet'!$B$9,Paramètres!$A$1:$I$89,5,0)</f>
        <v>269.24405040000045</v>
      </c>
      <c r="P88" s="13">
        <f t="shared" si="87"/>
        <v>64.688811534365087</v>
      </c>
      <c r="Q88" s="20">
        <f t="shared" si="54"/>
        <v>581.59973453568659</v>
      </c>
      <c r="R88" s="59">
        <f t="shared" si="55"/>
        <v>874.93306786901985</v>
      </c>
      <c r="S88" s="59">
        <f ca="1">AVERAGE(OFFSET($R$3,0,0,'Données projet'!$E$9+1,1))-AVERAGE(OFFSET($H$3,0,0,'Données projet'!$E$9+1,1))</f>
        <v>422.10969295064359</v>
      </c>
      <c r="T88" s="59">
        <f t="shared" si="88"/>
        <v>184.04075143033037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21.604553113563949</v>
      </c>
      <c r="AA88" s="21">
        <f>EXP(-LN(2)/25)*AA87+(1-EXP(-LN(2)/25))/(LN(2)/25)*Calculateur!V88*Calculateur!X88*VLOOKUP('Données projet'!$B$9,Paramètres!$A$1:$I$89,3,0)*0.475*44/12</f>
        <v>28.7697009292262</v>
      </c>
      <c r="AB88" s="21">
        <f>EXP(-LN(2)/2)*AB87+(1-EXP(-LN(2)/2))/(LN(2)/2)*V88*Y88*VLOOKUP('Données projet'!$B$9,Paramètres!$A$1:$I$89,3,0)*0.475*44/12</f>
        <v>4.1297238291879266</v>
      </c>
      <c r="AC88" s="22">
        <f t="shared" si="57"/>
        <v>54.503977871978073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6.7984728957526396E-14</v>
      </c>
      <c r="AK88" s="13">
        <f t="shared" si="89"/>
        <v>1.0682447123141398E-12</v>
      </c>
      <c r="AL88" s="20">
        <f t="shared" si="58"/>
        <v>1.978932943548152E-12</v>
      </c>
      <c r="AM88" s="59">
        <f t="shared" si="59"/>
        <v>293.3333333333353</v>
      </c>
      <c r="AN88" s="59">
        <f ca="1">AVERAGE(OFFSET($AM$3,0,0,'Données projet'!$E$10+1,1))-AVERAGE(OFFSET($H$3,0,0,'Données projet'!$E$10+1,1))</f>
        <v>213.90220310357444</v>
      </c>
      <c r="AO88" s="59">
        <f t="shared" si="90"/>
        <v>209.61422409790703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84.641669960017964</v>
      </c>
      <c r="AV88" s="21">
        <f>EXP(-LN(2)/25)*AV87+(1-EXP(-LN(2)/25))/(LN(2)/25)*Calculateur!AQ88*Calculateur!AS88*VLOOKUP('Données projet'!$B$10,Paramètres!$A$1:$I$89,3,0)*0.475*44/12</f>
        <v>24.220258881926103</v>
      </c>
      <c r="AW88" s="21">
        <f>EXP(-LN(2)/2)*AW87+(1-EXP(-LN(2)/2))/(LN(2)/2)*AQ88*AT88*VLOOKUP('Données projet'!$B$10,Paramètres!$A$1:$I$89,3,0)*0.475*44/12</f>
        <v>1.0351353230010423E-2</v>
      </c>
      <c r="AX88" s="21">
        <f t="shared" si="60"/>
        <v>108.87228019517407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6">
        <f t="shared" si="56"/>
        <v>463.56961905340103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9.1730000000000018</v>
      </c>
      <c r="N89" s="13">
        <f>IF('Données projet'!$A$36&gt;35,N88+M89-V88,IF(A89&lt;'Données projet'!$A$36,$K$205^A89,IF(A89='Données projet'!$A$36,'Données projet'!$B$36,N88+M89-V88)))</f>
        <v>306.74600000000049</v>
      </c>
      <c r="O89" s="13">
        <f>N89*VLOOKUP('Données projet'!$B$9,Paramètres!$A$1:$I$89,3,0)*VLOOKUP('Données projet'!$B$9,Paramètres!$A$1:$I$89,5,0)</f>
        <v>277.54378080000043</v>
      </c>
      <c r="P89" s="13">
        <f t="shared" si="87"/>
        <v>66.447673279805883</v>
      </c>
      <c r="Q89" s="20">
        <f t="shared" si="54"/>
        <v>599.11844918899601</v>
      </c>
      <c r="R89" s="59">
        <f t="shared" si="55"/>
        <v>892.45178252232927</v>
      </c>
      <c r="S89" s="59">
        <f ca="1">AVERAGE(OFFSET($R$3,0,0,'Données projet'!$E$9+1,1))-AVERAGE(OFFSET($H$3,0,0,'Données projet'!$E$9+1,1))</f>
        <v>422.10969295064359</v>
      </c>
      <c r="T89" s="59">
        <f t="shared" si="88"/>
        <v>184.04075143033037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21.180901004483189</v>
      </c>
      <c r="AA89" s="21">
        <f>EXP(-LN(2)/25)*AA88+(1-EXP(-LN(2)/25))/(LN(2)/25)*Calculateur!V89*Calculateur!X89*VLOOKUP('Données projet'!$B$9,Paramètres!$A$1:$I$89,3,0)*0.475*44/12</f>
        <v>27.982991944383691</v>
      </c>
      <c r="AB89" s="21">
        <f>EXP(-LN(2)/2)*AB88+(1-EXP(-LN(2)/2))/(LN(2)/2)*V89*Y89*VLOOKUP('Données projet'!$B$9,Paramètres!$A$1:$I$89,3,0)*0.475*44/12</f>
        <v>2.9201557240464586</v>
      </c>
      <c r="AC89" s="22">
        <f t="shared" si="57"/>
        <v>52.08404867291334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6.7984728957526396E-14</v>
      </c>
      <c r="AK89" s="13">
        <f t="shared" si="89"/>
        <v>1.0682447123141398E-12</v>
      </c>
      <c r="AL89" s="20">
        <f t="shared" si="58"/>
        <v>1.978932943548152E-12</v>
      </c>
      <c r="AM89" s="59">
        <f t="shared" si="59"/>
        <v>293.3333333333353</v>
      </c>
      <c r="AN89" s="59">
        <f ca="1">AVERAGE(OFFSET($AM$3,0,0,'Données projet'!$E$10+1,1))-AVERAGE(OFFSET($H$3,0,0,'Données projet'!$E$10+1,1))</f>
        <v>213.90220310357444</v>
      </c>
      <c r="AO89" s="59">
        <f t="shared" si="90"/>
        <v>209.61422409790703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82.981898438423016</v>
      </c>
      <c r="AV89" s="21">
        <f>EXP(-LN(2)/25)*AV88+(1-EXP(-LN(2)/25))/(LN(2)/25)*Calculateur!AQ89*Calculateur!AS89*VLOOKUP('Données projet'!$B$10,Paramètres!$A$1:$I$89,3,0)*0.475*44/12</f>
        <v>23.557954629111777</v>
      </c>
      <c r="AW89" s="21">
        <f>EXP(-LN(2)/2)*AW88+(1-EXP(-LN(2)/2))/(LN(2)/2)*AQ89*AT89*VLOOKUP('Données projet'!$B$10,Paramètres!$A$1:$I$89,3,0)*0.475*44/12</f>
        <v>7.3195120633976424E-3</v>
      </c>
      <c r="AX89" s="21">
        <f t="shared" si="60"/>
        <v>106.5471725795982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6">
        <f t="shared" si="56"/>
        <v>465.49870893149051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9.1730000000000018</v>
      </c>
      <c r="N90" s="13">
        <f>IF('Données projet'!$A$36&gt;35,N89+M90-V89,IF(A90&lt;'Données projet'!$A$36,$K$205^A90,IF(A90='Données projet'!$A$36,'Données projet'!$B$36,N89+M90-V89)))</f>
        <v>315.91900000000049</v>
      </c>
      <c r="O90" s="13">
        <f>N90*VLOOKUP('Données projet'!$B$9,Paramètres!$A$1:$I$89,3,0)*VLOOKUP('Données projet'!$B$9,Paramètres!$A$1:$I$89,5,0)</f>
        <v>285.84351120000042</v>
      </c>
      <c r="P90" s="13">
        <f t="shared" si="87"/>
        <v>68.200422369637309</v>
      </c>
      <c r="Q90" s="20">
        <f t="shared" si="54"/>
        <v>616.62651763378562</v>
      </c>
      <c r="R90" s="59">
        <f t="shared" si="55"/>
        <v>909.95985096711888</v>
      </c>
      <c r="S90" s="59">
        <f ca="1">AVERAGE(OFFSET($R$3,0,0,'Données projet'!$E$9+1,1))-AVERAGE(OFFSET($H$3,0,0,'Données projet'!$E$9+1,1))</f>
        <v>422.10969295064359</v>
      </c>
      <c r="T90" s="59">
        <f t="shared" si="88"/>
        <v>184.04075143033037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20.765556454859233</v>
      </c>
      <c r="AA90" s="21">
        <f>EXP(-LN(2)/25)*AA89+(1-EXP(-LN(2)/25))/(LN(2)/25)*Calculateur!V90*Calculateur!X90*VLOOKUP('Données projet'!$B$9,Paramètres!$A$1:$I$89,3,0)*0.475*44/12</f>
        <v>27.217795558102928</v>
      </c>
      <c r="AB90" s="21">
        <f>EXP(-LN(2)/2)*AB89+(1-EXP(-LN(2)/2))/(LN(2)/2)*V90*Y90*VLOOKUP('Données projet'!$B$9,Paramètres!$A$1:$I$89,3,0)*0.475*44/12</f>
        <v>2.0648619145939637</v>
      </c>
      <c r="AC90" s="22">
        <f t="shared" si="57"/>
        <v>50.04821392755612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6.7984728957526396E-14</v>
      </c>
      <c r="AK90" s="13">
        <f t="shared" si="89"/>
        <v>1.0682447123141398E-12</v>
      </c>
      <c r="AL90" s="20">
        <f t="shared" si="58"/>
        <v>1.978932943548152E-12</v>
      </c>
      <c r="AM90" s="59">
        <f t="shared" si="59"/>
        <v>293.3333333333353</v>
      </c>
      <c r="AN90" s="59">
        <f ca="1">AVERAGE(OFFSET($AM$3,0,0,'Données projet'!$E$10+1,1))-AVERAGE(OFFSET($H$3,0,0,'Données projet'!$E$10+1,1))</f>
        <v>213.90220310357444</v>
      </c>
      <c r="AO90" s="59">
        <f t="shared" si="90"/>
        <v>209.61422409790703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81.354674024005874</v>
      </c>
      <c r="AV90" s="21">
        <f>EXP(-LN(2)/25)*AV89+(1-EXP(-LN(2)/25))/(LN(2)/25)*Calculateur!AQ90*Calculateur!AS90*VLOOKUP('Données projet'!$B$10,Paramètres!$A$1:$I$89,3,0)*0.475*44/12</f>
        <v>22.913761120919723</v>
      </c>
      <c r="AW90" s="21">
        <f>EXP(-LN(2)/2)*AW89+(1-EXP(-LN(2)/2))/(LN(2)/2)*AQ90*AT90*VLOOKUP('Données projet'!$B$10,Paramètres!$A$1:$I$89,3,0)*0.475*44/12</f>
        <v>5.1756766150052123E-3</v>
      </c>
      <c r="AX90" s="21">
        <f t="shared" si="60"/>
        <v>104.27361082154061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6">
        <f t="shared" si="56"/>
        <v>467.42729018925121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9.1730000000000018</v>
      </c>
      <c r="N91" s="13">
        <f>IF('Données projet'!$A$36&gt;35,N90+M91-V90,IF(A91&lt;'Données projet'!$A$36,$K$205^A91,IF(A91='Données projet'!$A$36,'Données projet'!$B$36,N90+M91-V90)))</f>
        <v>325.0920000000005</v>
      </c>
      <c r="O91" s="13">
        <f>N91*VLOOKUP('Données projet'!$B$9,Paramètres!$A$1:$I$89,3,0)*VLOOKUP('Données projet'!$B$9,Paramètres!$A$1:$I$89,5,0)</f>
        <v>294.14324160000047</v>
      </c>
      <c r="P91" s="13">
        <f t="shared" si="87"/>
        <v>69.947256671789191</v>
      </c>
      <c r="Q91" s="20">
        <f t="shared" si="54"/>
        <v>634.12428449003357</v>
      </c>
      <c r="R91" s="59">
        <f t="shared" si="55"/>
        <v>927.45761782336695</v>
      </c>
      <c r="S91" s="59">
        <f ca="1">AVERAGE(OFFSET($R$3,0,0,'Données projet'!$E$9+1,1))-AVERAGE(OFFSET($H$3,0,0,'Données projet'!$E$9+1,1))</f>
        <v>422.10969295064359</v>
      </c>
      <c r="T91" s="59">
        <f t="shared" si="88"/>
        <v>184.04075143033037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20.358356558518242</v>
      </c>
      <c r="AA91" s="21">
        <f>EXP(-LN(2)/25)*AA90+(1-EXP(-LN(2)/25))/(LN(2)/25)*Calculateur!V91*Calculateur!X91*VLOOKUP('Données projet'!$B$9,Paramètres!$A$1:$I$89,3,0)*0.475*44/12</f>
        <v>26.473523507244941</v>
      </c>
      <c r="AB91" s="21">
        <f>EXP(-LN(2)/2)*AB90+(1-EXP(-LN(2)/2))/(LN(2)/2)*V91*Y91*VLOOKUP('Données projet'!$B$9,Paramètres!$A$1:$I$89,3,0)*0.475*44/12</f>
        <v>1.4600778620232295</v>
      </c>
      <c r="AC91" s="22">
        <f t="shared" si="57"/>
        <v>48.291957927786413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6.7984728957526396E-14</v>
      </c>
      <c r="AK91" s="13">
        <f t="shared" si="89"/>
        <v>1.0682447123141398E-12</v>
      </c>
      <c r="AL91" s="20">
        <f t="shared" si="58"/>
        <v>1.978932943548152E-12</v>
      </c>
      <c r="AM91" s="59">
        <f t="shared" si="59"/>
        <v>293.3333333333353</v>
      </c>
      <c r="AN91" s="59">
        <f ca="1">AVERAGE(OFFSET($AM$3,0,0,'Données projet'!$E$10+1,1))-AVERAGE(OFFSET($H$3,0,0,'Données projet'!$E$10+1,1))</f>
        <v>213.90220310357444</v>
      </c>
      <c r="AO91" s="59">
        <f t="shared" si="90"/>
        <v>209.61422409790703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79.759358487846555</v>
      </c>
      <c r="AV91" s="21">
        <f>EXP(-LN(2)/25)*AV90+(1-EXP(-LN(2)/25))/(LN(2)/25)*Calculateur!AQ91*Calculateur!AS91*VLOOKUP('Données projet'!$B$10,Paramètres!$A$1:$I$89,3,0)*0.475*44/12</f>
        <v>22.287183118085846</v>
      </c>
      <c r="AW91" s="21">
        <f>EXP(-LN(2)/2)*AW90+(1-EXP(-LN(2)/2))/(LN(2)/2)*AQ91*AT91*VLOOKUP('Données projet'!$B$10,Paramètres!$A$1:$I$89,3,0)*0.475*44/12</f>
        <v>3.6597560316988216E-3</v>
      </c>
      <c r="AX91" s="21">
        <f t="shared" si="60"/>
        <v>102.0502013619641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6">
        <f t="shared" si="56"/>
        <v>469.35536927523879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9.1730000000000018</v>
      </c>
      <c r="N92" s="13">
        <f>IF('Données projet'!$A$36&gt;35,N91+M92-V91,IF(A92&lt;'Données projet'!$A$36,$K$205^A92,IF(A92='Données projet'!$A$36,'Données projet'!$B$36,N91+M92-V91)))</f>
        <v>334.2650000000005</v>
      </c>
      <c r="O92" s="13">
        <f>N92*VLOOKUP('Données projet'!$B$9,Paramètres!$A$1:$I$89,3,0)*VLOOKUP('Données projet'!$B$9,Paramètres!$A$1:$I$89,5,0)</f>
        <v>302.44297200000045</v>
      </c>
      <c r="P92" s="13">
        <f t="shared" si="87"/>
        <v>71.688362252626035</v>
      </c>
      <c r="Q92" s="20">
        <f t="shared" si="54"/>
        <v>651.61207382332452</v>
      </c>
      <c r="R92" s="59">
        <f t="shared" si="55"/>
        <v>944.94540715665789</v>
      </c>
      <c r="S92" s="59">
        <f ca="1">AVERAGE(OFFSET($R$3,0,0,'Données projet'!$E$9+1,1))-AVERAGE(OFFSET($H$3,0,0,'Données projet'!$E$9+1,1))</f>
        <v>422.10969295064359</v>
      </c>
      <c r="T92" s="59">
        <f t="shared" si="88"/>
        <v>184.04075143033037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19.959141603777088</v>
      </c>
      <c r="AA92" s="21">
        <f>EXP(-LN(2)/25)*AA91+(1-EXP(-LN(2)/25))/(LN(2)/25)*Calculateur!V92*Calculateur!X92*VLOOKUP('Données projet'!$B$9,Paramètres!$A$1:$I$89,3,0)*0.475*44/12</f>
        <v>25.749603614757234</v>
      </c>
      <c r="AB92" s="21">
        <f>EXP(-LN(2)/2)*AB91+(1-EXP(-LN(2)/2))/(LN(2)/2)*V92*Y92*VLOOKUP('Données projet'!$B$9,Paramètres!$A$1:$I$89,3,0)*0.475*44/12</f>
        <v>1.0324309572969819</v>
      </c>
      <c r="AC92" s="22">
        <f t="shared" si="57"/>
        <v>46.741176175831299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6.7984728957526396E-14</v>
      </c>
      <c r="AK92" s="13">
        <f t="shared" si="89"/>
        <v>1.0682447123141398E-12</v>
      </c>
      <c r="AL92" s="20">
        <f t="shared" si="58"/>
        <v>1.978932943548152E-12</v>
      </c>
      <c r="AM92" s="59">
        <f t="shared" si="59"/>
        <v>293.3333333333353</v>
      </c>
      <c r="AN92" s="59">
        <f ca="1">AVERAGE(OFFSET($AM$3,0,0,'Données projet'!$E$10+1,1))-AVERAGE(OFFSET($H$3,0,0,'Données projet'!$E$10+1,1))</f>
        <v>213.90220310357444</v>
      </c>
      <c r="AO92" s="59">
        <f t="shared" si="90"/>
        <v>209.61422409790703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78.195326116304926</v>
      </c>
      <c r="AV92" s="21">
        <f>EXP(-LN(2)/25)*AV91+(1-EXP(-LN(2)/25))/(LN(2)/25)*Calculateur!AQ92*Calculateur!AS92*VLOOKUP('Données projet'!$B$10,Paramètres!$A$1:$I$89,3,0)*0.475*44/12</f>
        <v>21.677738923689766</v>
      </c>
      <c r="AW92" s="21">
        <f>EXP(-LN(2)/2)*AW91+(1-EXP(-LN(2)/2))/(LN(2)/2)*AQ92*AT92*VLOOKUP('Données projet'!$B$10,Paramètres!$A$1:$I$89,3,0)*0.475*44/12</f>
        <v>2.5878383075026061E-3</v>
      </c>
      <c r="AX92" s="21">
        <f t="shared" si="60"/>
        <v>99.875652878302191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6">
        <f t="shared" si="56"/>
        <v>471.2829524847545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9.1730000000000018</v>
      </c>
      <c r="N93" s="13">
        <f>IF('Données projet'!$A$36&gt;35,N92+M93-V92,IF(A93&lt;'Données projet'!$A$36,$K$205^A93,IF(A93='Données projet'!$A$36,'Données projet'!$B$36,N92+M93-V92)))</f>
        <v>343.4380000000005</v>
      </c>
      <c r="O93" s="13">
        <f>N93*VLOOKUP('Données projet'!$B$9,Paramètres!$A$1:$I$89,3,0)*VLOOKUP('Données projet'!$B$9,Paramètres!$A$1:$I$89,5,0)</f>
        <v>310.74270240000044</v>
      </c>
      <c r="P93" s="13">
        <f t="shared" si="87"/>
        <v>73.423914385133031</v>
      </c>
      <c r="Q93" s="20">
        <f t="shared" si="54"/>
        <v>669.09019090077402</v>
      </c>
      <c r="R93" s="59">
        <f t="shared" si="55"/>
        <v>962.42352423410739</v>
      </c>
      <c r="S93" s="59">
        <f ca="1">AVERAGE(OFFSET($R$3,0,0,'Données projet'!$E$9+1,1))-AVERAGE(OFFSET($H$3,0,0,'Données projet'!$E$9+1,1))</f>
        <v>422.10969295064359</v>
      </c>
      <c r="T93" s="59">
        <f t="shared" si="88"/>
        <v>184.04075143033037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19.567755010801328</v>
      </c>
      <c r="AA93" s="21">
        <f>EXP(-LN(2)/25)*AA92+(1-EXP(-LN(2)/25))/(LN(2)/25)*Calculateur!V93*Calculateur!X93*VLOOKUP('Données projet'!$B$9,Paramètres!$A$1:$I$89,3,0)*0.475*44/12</f>
        <v>25.045479349798896</v>
      </c>
      <c r="AB93" s="21">
        <f>EXP(-LN(2)/2)*AB92+(1-EXP(-LN(2)/2))/(LN(2)/2)*V93*Y93*VLOOKUP('Données projet'!$B$9,Paramètres!$A$1:$I$89,3,0)*0.475*44/12</f>
        <v>0.73003893101161477</v>
      </c>
      <c r="AC93" s="22">
        <f t="shared" si="57"/>
        <v>45.343273291611837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6.7984728957526396E-14</v>
      </c>
      <c r="AK93" s="13">
        <f t="shared" si="89"/>
        <v>1.0682447123141398E-12</v>
      </c>
      <c r="AL93" s="20">
        <f t="shared" si="58"/>
        <v>1.978932943548152E-12</v>
      </c>
      <c r="AM93" s="59">
        <f t="shared" si="59"/>
        <v>293.3333333333353</v>
      </c>
      <c r="AN93" s="59">
        <f ca="1">AVERAGE(OFFSET($AM$3,0,0,'Données projet'!$E$10+1,1))-AVERAGE(OFFSET($H$3,0,0,'Données projet'!$E$10+1,1))</f>
        <v>213.90220310357444</v>
      </c>
      <c r="AO93" s="59">
        <f t="shared" si="90"/>
        <v>209.61422409790703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76.661963465603677</v>
      </c>
      <c r="AV93" s="21">
        <f>EXP(-LN(2)/25)*AV92+(1-EXP(-LN(2)/25))/(LN(2)/25)*Calculateur!AQ93*Calculateur!AS93*VLOOKUP('Données projet'!$B$10,Paramètres!$A$1:$I$89,3,0)*0.475*44/12</f>
        <v>21.084960012838724</v>
      </c>
      <c r="AW93" s="21">
        <f>EXP(-LN(2)/2)*AW92+(1-EXP(-LN(2)/2))/(LN(2)/2)*AQ93*AT93*VLOOKUP('Données projet'!$B$10,Paramètres!$A$1:$I$89,3,0)*0.475*44/12</f>
        <v>1.8298780158494108E-3</v>
      </c>
      <c r="AX93" s="21">
        <f t="shared" si="60"/>
        <v>97.748753356458252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6">
        <f t="shared" si="56"/>
        <v>473.21004596514888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9.1730000000000018</v>
      </c>
      <c r="N94" s="13">
        <f>IF('Données projet'!$A$36&gt;35,N93+M94-V93,IF(A94&lt;'Données projet'!$A$36,$K$205^A94,IF(A94='Données projet'!$A$36,'Données projet'!$B$36,N93+M94-V93)))</f>
        <v>352.6110000000005</v>
      </c>
      <c r="O94" s="13">
        <f>N94*VLOOKUP('Données projet'!$B$9,Paramètres!$A$1:$I$89,3,0)*VLOOKUP('Données projet'!$B$9,Paramètres!$A$1:$I$89,5,0)</f>
        <v>319.04243280000043</v>
      </c>
      <c r="P94" s="13">
        <f t="shared" si="87"/>
        <v>75.154078446360543</v>
      </c>
      <c r="Q94" s="20">
        <f t="shared" si="54"/>
        <v>686.55892375407859</v>
      </c>
      <c r="R94" s="59">
        <f t="shared" si="55"/>
        <v>979.89225708741196</v>
      </c>
      <c r="S94" s="59">
        <f ca="1">AVERAGE(OFFSET($R$3,0,0,'Données projet'!$E$9+1,1))-AVERAGE(OFFSET($H$3,0,0,'Données projet'!$E$9+1,1))</f>
        <v>422.10969295064359</v>
      </c>
      <c r="T94" s="59">
        <f t="shared" si="88"/>
        <v>184.04075143033037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19.184043270191573</v>
      </c>
      <c r="AA94" s="21">
        <f>EXP(-LN(2)/25)*AA93+(1-EXP(-LN(2)/25))/(LN(2)/25)*Calculateur!V94*Calculateur!X94*VLOOKUP('Données projet'!$B$9,Paramètres!$A$1:$I$89,3,0)*0.475*44/12</f>
        <v>24.360609399894127</v>
      </c>
      <c r="AB94" s="21">
        <f>EXP(-LN(2)/2)*AB93+(1-EXP(-LN(2)/2))/(LN(2)/2)*V94*Y94*VLOOKUP('Données projet'!$B$9,Paramètres!$A$1:$I$89,3,0)*0.475*44/12</f>
        <v>0.51621547864849093</v>
      </c>
      <c r="AC94" s="22">
        <f t="shared" si="57"/>
        <v>44.060868148734187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6.7984728957526396E-14</v>
      </c>
      <c r="AK94" s="13">
        <f t="shared" si="89"/>
        <v>1.0682447123141398E-12</v>
      </c>
      <c r="AL94" s="20">
        <f t="shared" si="58"/>
        <v>1.978932943548152E-12</v>
      </c>
      <c r="AM94" s="59">
        <f t="shared" si="59"/>
        <v>293.3333333333353</v>
      </c>
      <c r="AN94" s="59">
        <f ca="1">AVERAGE(OFFSET($AM$3,0,0,'Données projet'!$E$10+1,1))-AVERAGE(OFFSET($H$3,0,0,'Données projet'!$E$10+1,1))</f>
        <v>213.90220310357444</v>
      </c>
      <c r="AO94" s="59">
        <f t="shared" si="90"/>
        <v>209.61422409790703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75.158669121223824</v>
      </c>
      <c r="AV94" s="21">
        <f>EXP(-LN(2)/25)*AV93+(1-EXP(-LN(2)/25))/(LN(2)/25)*Calculateur!AQ94*Calculateur!AS94*VLOOKUP('Données projet'!$B$10,Paramètres!$A$1:$I$89,3,0)*0.475*44/12</f>
        <v>20.508390672477791</v>
      </c>
      <c r="AW94" s="21">
        <f>EXP(-LN(2)/2)*AW93+(1-EXP(-LN(2)/2))/(LN(2)/2)*AQ94*AT94*VLOOKUP('Données projet'!$B$10,Paramètres!$A$1:$I$89,3,0)*0.475*44/12</f>
        <v>1.2939191537513031E-3</v>
      </c>
      <c r="AX94" s="21">
        <f t="shared" si="60"/>
        <v>95.668353712855364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6">
        <f t="shared" si="56"/>
        <v>475.1366557208853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9.1730000000000018</v>
      </c>
      <c r="N95" s="13">
        <f>IF('Données projet'!$A$36&gt;35,N94+M95-V94,IF(A95&lt;'Données projet'!$A$36,$K$205^A95,IF(A95='Données projet'!$A$36,'Données projet'!$B$36,N94+M95-V94)))</f>
        <v>361.7840000000005</v>
      </c>
      <c r="O95" s="13">
        <f>N95*VLOOKUP('Données projet'!$B$9,Paramètres!$A$1:$I$89,3,0)*VLOOKUP('Données projet'!$B$9,Paramètres!$A$1:$I$89,5,0)</f>
        <v>327.34216320000047</v>
      </c>
      <c r="P95" s="13">
        <f t="shared" si="87"/>
        <v>76.87901071885527</v>
      </c>
      <c r="Q95" s="20">
        <f t="shared" si="54"/>
        <v>704.01854457534034</v>
      </c>
      <c r="R95" s="59">
        <f t="shared" si="55"/>
        <v>997.35187790867371</v>
      </c>
      <c r="S95" s="59">
        <f ca="1">AVERAGE(OFFSET($R$3,0,0,'Données projet'!$E$9+1,1))-AVERAGE(OFFSET($H$3,0,0,'Données projet'!$E$9+1,1))</f>
        <v>422.10969295064359</v>
      </c>
      <c r="T95" s="59">
        <f t="shared" si="88"/>
        <v>184.04075143033037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18.807855882774124</v>
      </c>
      <c r="AA95" s="21">
        <f>EXP(-LN(2)/25)*AA94+(1-EXP(-LN(2)/25))/(LN(2)/25)*Calculateur!V95*Calculateur!X95*VLOOKUP('Données projet'!$B$9,Paramètres!$A$1:$I$89,3,0)*0.475*44/12</f>
        <v>23.694467254785252</v>
      </c>
      <c r="AB95" s="21">
        <f>EXP(-LN(2)/2)*AB94+(1-EXP(-LN(2)/2))/(LN(2)/2)*V95*Y95*VLOOKUP('Données projet'!$B$9,Paramètres!$A$1:$I$89,3,0)*0.475*44/12</f>
        <v>0.36501946550580738</v>
      </c>
      <c r="AC95" s="22">
        <f t="shared" si="57"/>
        <v>42.867342603065183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6.7984728957526396E-14</v>
      </c>
      <c r="AK95" s="13">
        <f t="shared" si="89"/>
        <v>1.0682447123141398E-12</v>
      </c>
      <c r="AL95" s="20">
        <f t="shared" si="58"/>
        <v>1.978932943548152E-12</v>
      </c>
      <c r="AM95" s="59">
        <f t="shared" si="59"/>
        <v>293.3333333333353</v>
      </c>
      <c r="AN95" s="59">
        <f ca="1">AVERAGE(OFFSET($AM$3,0,0,'Données projet'!$E$10+1,1))-AVERAGE(OFFSET($H$3,0,0,'Données projet'!$E$10+1,1))</f>
        <v>213.90220310357444</v>
      </c>
      <c r="AO95" s="59">
        <f t="shared" si="90"/>
        <v>209.61422409790703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73.684853462018239</v>
      </c>
      <c r="AV95" s="21">
        <f>EXP(-LN(2)/25)*AV94+(1-EXP(-LN(2)/25))/(LN(2)/25)*Calculateur!AQ95*Calculateur!AS95*VLOOKUP('Données projet'!$B$10,Paramètres!$A$1:$I$89,3,0)*0.475*44/12</f>
        <v>19.947587651049492</v>
      </c>
      <c r="AW95" s="21">
        <f>EXP(-LN(2)/2)*AW94+(1-EXP(-LN(2)/2))/(LN(2)/2)*AQ95*AT95*VLOOKUP('Données projet'!$B$10,Paramètres!$A$1:$I$89,3,0)*0.475*44/12</f>
        <v>9.1493900792470541E-4</v>
      </c>
      <c r="AX95" s="21">
        <f t="shared" si="60"/>
        <v>93.633356052075655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6">
        <f t="shared" si="56"/>
        <v>477.06278761837774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9.1730000000000018</v>
      </c>
      <c r="N96" s="13">
        <f>IF('Données projet'!$A$36&gt;35,N95+M96-V95,IF(A96&lt;'Données projet'!$A$36,$K$205^A96,IF(A96='Données projet'!$A$36,'Données projet'!$B$36,N95+M96-V95)))</f>
        <v>370.95700000000051</v>
      </c>
      <c r="O96" s="13">
        <f>N96*VLOOKUP('Données projet'!$B$9,Paramètres!$A$1:$I$89,3,0)*VLOOKUP('Données projet'!$B$9,Paramètres!$A$1:$I$89,5,0)</f>
        <v>335.64189360000046</v>
      </c>
      <c r="P96" s="13">
        <f t="shared" si="87"/>
        <v>78.598859108522404</v>
      </c>
      <c r="Q96" s="20">
        <f t="shared" si="54"/>
        <v>721.46931096734397</v>
      </c>
      <c r="R96" s="59">
        <f t="shared" si="55"/>
        <v>1014.8026443006772</v>
      </c>
      <c r="S96" s="59">
        <f ca="1">AVERAGE(OFFSET($R$3,0,0,'Données projet'!$E$9+1,1))-AVERAGE(OFFSET($H$3,0,0,'Données projet'!$E$9+1,1))</f>
        <v>422.10969295064359</v>
      </c>
      <c r="T96" s="59">
        <f t="shared" si="88"/>
        <v>184.04075143033037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18.439045300572278</v>
      </c>
      <c r="AA96" s="21">
        <f>EXP(-LN(2)/25)*AA95+(1-EXP(-LN(2)/25))/(LN(2)/25)*Calculateur!V96*Calculateur!X96*VLOOKUP('Données projet'!$B$9,Paramètres!$A$1:$I$89,3,0)*0.475*44/12</f>
        <v>23.04654080166527</v>
      </c>
      <c r="AB96" s="21">
        <f>EXP(-LN(2)/2)*AB95+(1-EXP(-LN(2)/2))/(LN(2)/2)*V96*Y96*VLOOKUP('Données projet'!$B$9,Paramètres!$A$1:$I$89,3,0)*0.475*44/12</f>
        <v>0.25810773932424547</v>
      </c>
      <c r="AC96" s="22">
        <f t="shared" si="57"/>
        <v>41.743693841561793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6.7984728957526396E-14</v>
      </c>
      <c r="AK96" s="13">
        <f t="shared" si="89"/>
        <v>1.0682447123141398E-12</v>
      </c>
      <c r="AL96" s="20">
        <f t="shared" si="58"/>
        <v>1.978932943548152E-12</v>
      </c>
      <c r="AM96" s="59">
        <f t="shared" si="59"/>
        <v>293.3333333333353</v>
      </c>
      <c r="AN96" s="59">
        <f ca="1">AVERAGE(OFFSET($AM$3,0,0,'Données projet'!$E$10+1,1))-AVERAGE(OFFSET($H$3,0,0,'Données projet'!$E$10+1,1))</f>
        <v>213.90220310357444</v>
      </c>
      <c r="AO96" s="59">
        <f t="shared" si="90"/>
        <v>209.61422409790703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72.239938428950893</v>
      </c>
      <c r="AV96" s="21">
        <f>EXP(-LN(2)/25)*AV95+(1-EXP(-LN(2)/25))/(LN(2)/25)*Calculateur!AQ96*Calculateur!AS96*VLOOKUP('Données projet'!$B$10,Paramètres!$A$1:$I$89,3,0)*0.475*44/12</f>
        <v>19.402119817733499</v>
      </c>
      <c r="AW96" s="21">
        <f>EXP(-LN(2)/2)*AW95+(1-EXP(-LN(2)/2))/(LN(2)/2)*AQ96*AT96*VLOOKUP('Données projet'!$B$10,Paramètres!$A$1:$I$89,3,0)*0.475*44/12</f>
        <v>6.4695957687565153E-4</v>
      </c>
      <c r="AX96" s="21">
        <f t="shared" si="60"/>
        <v>91.642705206261269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6">
        <f t="shared" si="56"/>
        <v>478.98844739061411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9.1730000000000018</v>
      </c>
      <c r="M97" s="12">
        <f t="array" ref="M97">INDEX(L:L,MIN(IF(ISNUMBER(L97:L293),ROW(L97:L293),"")))</f>
        <v>9.1730000000000018</v>
      </c>
      <c r="N97" s="13">
        <f>IF('Données projet'!$A$36&gt;35,N96+M97-V96,IF(A97&lt;'Données projet'!$A$36,$K$205^A97,IF(A97='Données projet'!$A$36,'Données projet'!$B$36,N96+M97-V96)))</f>
        <v>380.13000000000051</v>
      </c>
      <c r="O97" s="13">
        <f>N97*VLOOKUP('Données projet'!$B$9,Paramètres!$A$1:$I$89,3,0)*VLOOKUP('Données projet'!$B$9,Paramètres!$A$1:$I$89,5,0)</f>
        <v>343.94162400000044</v>
      </c>
      <c r="P97" s="13">
        <f t="shared" si="87"/>
        <v>80.313763789484966</v>
      </c>
      <c r="Q97" s="20">
        <f t="shared" si="54"/>
        <v>738.91146706668712</v>
      </c>
      <c r="R97" s="59">
        <f t="shared" si="55"/>
        <v>1032.2448004000205</v>
      </c>
      <c r="S97" s="59">
        <f ca="1">AVERAGE(OFFSET($R$3,0,0,'Données projet'!$E$9+1,1))-AVERAGE(OFFSET($H$3,0,0,'Données projet'!$E$9+1,1))</f>
        <v>422.10969295064359</v>
      </c>
      <c r="T97" s="59">
        <f t="shared" si="88"/>
        <v>184.04075143033037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67.350000000000023</v>
      </c>
      <c r="W97" s="16">
        <f>IF(ISNA(VLOOKUP(A97,'Données projet'!$A$35:$I$55,5,0)),0%,VLOOKUP(A97,'Données projet'!$A$35:$I$55,5,0)*VLOOKUP('Données projet'!$B$9,Paramètres!$A$1:$I$89,7,0))</f>
        <v>0.15049999999999999</v>
      </c>
      <c r="X97" s="16">
        <f>IF(ISNA(VLOOKUP(A97,'Données projet'!$A$35:$I$55,6,0)),0%,VLOOKUP(A97,'Données projet'!$A$35:$I$55,6,0)*VLOOKUP('Données projet'!$B$9,Paramètres!$A$1:$I$89,7,0))</f>
        <v>8.6000000000000007E-2</v>
      </c>
      <c r="Y97" s="16">
        <f>IF(ISNA(VLOOKUP(A97,'Données projet'!$A$35:$I$55,7,0)),0%,VLOOKUP(A97,'Données projet'!$A$35:$I$55,7,0))</f>
        <v>0.1</v>
      </c>
      <c r="Z97" s="21">
        <f>EXP(-LN(2)/35)*Z96+(1-EXP(-LN(2)/35))/(LN(2)/35)*V97*W97*VLOOKUP('Données projet'!$B$9,Paramètres!$A$1:$I$89,3,0)*0.475*44/12</f>
        <v>28.215969128647792</v>
      </c>
      <c r="AA97" s="21">
        <f>EXP(-LN(2)/25)*AA96+(1-EXP(-LN(2)/25))/(LN(2)/25)*Calculateur!V97*Calculateur!X97*VLOOKUP('Données projet'!$B$9,Paramètres!$A$1:$I$89,3,0)*0.475*44/12</f>
        <v>28.18695085333249</v>
      </c>
      <c r="AB97" s="21">
        <f>EXP(-LN(2)/2)*AB96+(1-EXP(-LN(2)/2))/(LN(2)/2)*V97*Y97*VLOOKUP('Données projet'!$B$9,Paramètres!$A$1:$I$89,3,0)*0.475*44/12</f>
        <v>5.9322004637288286</v>
      </c>
      <c r="AC97" s="22">
        <f t="shared" si="57"/>
        <v>62.335120445709109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6.7984728957526396E-14</v>
      </c>
      <c r="AK97" s="13">
        <f t="shared" si="89"/>
        <v>1.0682447123141398E-12</v>
      </c>
      <c r="AL97" s="20">
        <f t="shared" si="58"/>
        <v>1.978932943548152E-12</v>
      </c>
      <c r="AM97" s="59">
        <f t="shared" si="59"/>
        <v>293.3333333333353</v>
      </c>
      <c r="AN97" s="59">
        <f ca="1">AVERAGE(OFFSET($AM$3,0,0,'Données projet'!$E$10+1,1))-AVERAGE(OFFSET($H$3,0,0,'Données projet'!$E$10+1,1))</f>
        <v>213.90220310357444</v>
      </c>
      <c r="AO97" s="59">
        <f t="shared" si="90"/>
        <v>209.61422409790703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70.823357298370851</v>
      </c>
      <c r="AV97" s="21">
        <f>EXP(-LN(2)/25)*AV96+(1-EXP(-LN(2)/25))/(LN(2)/25)*Calculateur!AQ97*Calculateur!AS97*VLOOKUP('Données projet'!$B$10,Paramètres!$A$1:$I$89,3,0)*0.475*44/12</f>
        <v>18.871567831004441</v>
      </c>
      <c r="AW97" s="21">
        <f>EXP(-LN(2)/2)*AW96+(1-EXP(-LN(2)/2))/(LN(2)/2)*AQ97*AT97*VLOOKUP('Données projet'!$B$10,Paramètres!$A$1:$I$89,3,0)*0.475*44/12</f>
        <v>4.574695039623527E-4</v>
      </c>
      <c r="AX97" s="21">
        <f t="shared" si="60"/>
        <v>89.695382598879249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6">
        <f t="shared" si="56"/>
        <v>480.91364064157727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8.9420000000000019</v>
      </c>
      <c r="N98" s="13">
        <f>IF('Données projet'!$A$36&gt;35,N97+M98-V97,IF(A98&lt;'Données projet'!$A$36,$K$205^A98,IF(A98='Données projet'!$A$36,'Données projet'!$B$36,N97+M98-V97)))</f>
        <v>321.72200000000049</v>
      </c>
      <c r="O98" s="13">
        <f>N98*VLOOKUP('Données projet'!$B$9,Paramètres!$A$1:$I$89,3,0)*VLOOKUP('Données projet'!$B$9,Paramètres!$A$1:$I$89,5,0)</f>
        <v>291.09406560000048</v>
      </c>
      <c r="P98" s="13">
        <f t="shared" si="87"/>
        <v>69.306175582041092</v>
      </c>
      <c r="Q98" s="20">
        <f t="shared" si="54"/>
        <v>627.697086725389</v>
      </c>
      <c r="R98" s="59">
        <f t="shared" si="55"/>
        <v>921.03042005872226</v>
      </c>
      <c r="S98" s="59">
        <f ca="1">AVERAGE(OFFSET($R$3,0,0,'Données projet'!$E$9+1,1))-AVERAGE(OFFSET($H$3,0,0,'Données projet'!$E$9+1,1))</f>
        <v>422.10969295064359</v>
      </c>
      <c r="T98" s="59">
        <f t="shared" si="88"/>
        <v>184.04075143033037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27.662671184076828</v>
      </c>
      <c r="AA98" s="21">
        <f>EXP(-LN(2)/25)*AA97+(1-EXP(-LN(2)/25))/(LN(2)/25)*Calculateur!V98*Calculateur!X98*VLOOKUP('Données projet'!$B$9,Paramètres!$A$1:$I$89,3,0)*0.475*44/12</f>
        <v>27.416177199960789</v>
      </c>
      <c r="AB98" s="21">
        <f>EXP(-LN(2)/2)*AB97+(1-EXP(-LN(2)/2))/(LN(2)/2)*V98*Y98*VLOOKUP('Données projet'!$B$9,Paramètres!$A$1:$I$89,3,0)*0.475*44/12</f>
        <v>4.1946991752606371</v>
      </c>
      <c r="AC98" s="22">
        <f t="shared" si="57"/>
        <v>59.273547559298251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6.7984728957526396E-14</v>
      </c>
      <c r="AK98" s="13">
        <f t="shared" si="89"/>
        <v>1.0682447123141398E-12</v>
      </c>
      <c r="AL98" s="20">
        <f t="shared" si="58"/>
        <v>1.978932943548152E-12</v>
      </c>
      <c r="AM98" s="59">
        <f t="shared" si="59"/>
        <v>293.3333333333353</v>
      </c>
      <c r="AN98" s="59">
        <f ca="1">AVERAGE(OFFSET($AM$3,0,0,'Données projet'!$E$10+1,1))-AVERAGE(OFFSET($H$3,0,0,'Données projet'!$E$10+1,1))</f>
        <v>213.90220310357444</v>
      </c>
      <c r="AO98" s="59">
        <f t="shared" si="90"/>
        <v>209.61422409790703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69.434554459732311</v>
      </c>
      <c r="AV98" s="21">
        <f>EXP(-LN(2)/25)*AV97+(1-EXP(-LN(2)/25))/(LN(2)/25)*Calculateur!AQ98*Calculateur!AS98*VLOOKUP('Données projet'!$B$10,Paramètres!$A$1:$I$89,3,0)*0.475*44/12</f>
        <v>18.355523816253005</v>
      </c>
      <c r="AW98" s="21">
        <f>EXP(-LN(2)/2)*AW97+(1-EXP(-LN(2)/2))/(LN(2)/2)*AQ98*AT98*VLOOKUP('Données projet'!$B$10,Paramètres!$A$1:$I$89,3,0)*0.475*44/12</f>
        <v>3.2347978843782577E-4</v>
      </c>
      <c r="AX98" s="21">
        <f t="shared" si="60"/>
        <v>87.790401755773743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6">
        <f t="shared" si="56"/>
        <v>482.83837285047491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8.9420000000000019</v>
      </c>
      <c r="N99" s="13">
        <f>IF('Données projet'!$A$36&gt;35,N98+M99-V98,IF(A99&lt;'Données projet'!$A$36,$K$205^A99,IF(A99='Données projet'!$A$36,'Données projet'!$B$36,N98+M99-V98)))</f>
        <v>330.6640000000005</v>
      </c>
      <c r="O99" s="13">
        <f>N99*VLOOKUP('Données projet'!$B$9,Paramètres!$A$1:$I$89,3,0)*VLOOKUP('Données projet'!$B$9,Paramètres!$A$1:$I$89,5,0)</f>
        <v>299.18478720000041</v>
      </c>
      <c r="P99" s="13">
        <f t="shared" si="87"/>
        <v>71.005536504727559</v>
      </c>
      <c r="Q99" s="20">
        <f t="shared" ref="Q99:Q130" si="107">(O99+P99)*0.475*44/12</f>
        <v>644.74814711906788</v>
      </c>
      <c r="R99" s="59">
        <f t="shared" si="55"/>
        <v>938.08148045240114</v>
      </c>
      <c r="S99" s="59">
        <f ca="1">AVERAGE(OFFSET($R$3,0,0,'Données projet'!$E$9+1,1))-AVERAGE(OFFSET($H$3,0,0,'Données projet'!$E$9+1,1))</f>
        <v>422.10969295064359</v>
      </c>
      <c r="T99" s="59">
        <f t="shared" si="88"/>
        <v>184.04075143033037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27.120223074720478</v>
      </c>
      <c r="AA99" s="21">
        <f>EXP(-LN(2)/25)*AA98+(1-EXP(-LN(2)/25))/(LN(2)/25)*Calculateur!V99*Calculateur!X99*VLOOKUP('Données projet'!$B$9,Paramètres!$A$1:$I$89,3,0)*0.475*44/12</f>
        <v>26.666480392673762</v>
      </c>
      <c r="AB99" s="21">
        <f>EXP(-LN(2)/2)*AB98+(1-EXP(-LN(2)/2))/(LN(2)/2)*V99*Y99*VLOOKUP('Données projet'!$B$9,Paramètres!$A$1:$I$89,3,0)*0.475*44/12</f>
        <v>2.9661002318644147</v>
      </c>
      <c r="AC99" s="22">
        <f t="shared" si="57"/>
        <v>56.752803699258656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6.7984728957526396E-14</v>
      </c>
      <c r="AK99" s="13">
        <f t="shared" si="89"/>
        <v>1.0682447123141398E-12</v>
      </c>
      <c r="AL99" s="20">
        <f t="shared" si="58"/>
        <v>1.978932943548152E-12</v>
      </c>
      <c r="AM99" s="59">
        <f t="shared" si="59"/>
        <v>293.3333333333353</v>
      </c>
      <c r="AN99" s="59">
        <f ca="1">AVERAGE(OFFSET($AM$3,0,0,'Données projet'!$E$10+1,1))-AVERAGE(OFFSET($H$3,0,0,'Données projet'!$E$10+1,1))</f>
        <v>213.90220310357444</v>
      </c>
      <c r="AO99" s="59">
        <f t="shared" si="90"/>
        <v>209.61422409790703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68.072985197673376</v>
      </c>
      <c r="AV99" s="21">
        <f>EXP(-LN(2)/25)*AV98+(1-EXP(-LN(2)/25))/(LN(2)/25)*Calculateur!AQ99*Calculateur!AS99*VLOOKUP('Données projet'!$B$10,Paramètres!$A$1:$I$89,3,0)*0.475*44/12</f>
        <v>17.853591052222519</v>
      </c>
      <c r="AW99" s="21">
        <f>EXP(-LN(2)/2)*AW98+(1-EXP(-LN(2)/2))/(LN(2)/2)*AQ99*AT99*VLOOKUP('Données projet'!$B$10,Paramètres!$A$1:$I$89,3,0)*0.475*44/12</f>
        <v>2.2873475198117635E-4</v>
      </c>
      <c r="AX99" s="21">
        <f t="shared" si="60"/>
        <v>85.926804984647887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6">
        <f t="shared" si="56"/>
        <v>484.76264937578765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8.9420000000000019</v>
      </c>
      <c r="N100" s="13">
        <f>IF('Données projet'!$A$36&gt;35,N99+M100-V99,IF(A100&lt;'Données projet'!$A$36,$K$205^A100,IF(A100='Données projet'!$A$36,'Données projet'!$B$36,N99+M100-V99)))</f>
        <v>339.60600000000051</v>
      </c>
      <c r="O100" s="13">
        <f>N100*VLOOKUP('Données projet'!$B$9,Paramètres!$A$1:$I$89,3,0)*VLOOKUP('Données projet'!$B$9,Paramètres!$A$1:$I$89,5,0)</f>
        <v>307.27550880000041</v>
      </c>
      <c r="P100" s="13">
        <f t="shared" si="87"/>
        <v>72.699555980078841</v>
      </c>
      <c r="Q100" s="20">
        <f t="shared" si="107"/>
        <v>661.78990449197136</v>
      </c>
      <c r="R100" s="59">
        <f t="shared" si="55"/>
        <v>955.12323782530461</v>
      </c>
      <c r="S100" s="59">
        <f ca="1">AVERAGE(OFFSET($R$3,0,0,'Données projet'!$E$9+1,1))-AVERAGE(OFFSET($H$3,0,0,'Données projet'!$E$9+1,1))</f>
        <v>422.10969295064359</v>
      </c>
      <c r="T100" s="59">
        <f t="shared" si="88"/>
        <v>184.04075143033037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26.588412041927928</v>
      </c>
      <c r="AA100" s="21">
        <f>EXP(-LN(2)/25)*AA99+(1-EXP(-LN(2)/25))/(LN(2)/25)*Calculateur!V100*Calculateur!X100*VLOOKUP('Données projet'!$B$9,Paramètres!$A$1:$I$89,3,0)*0.475*44/12</f>
        <v>25.937284084006841</v>
      </c>
      <c r="AB100" s="21">
        <f>EXP(-LN(2)/2)*AB99+(1-EXP(-LN(2)/2))/(LN(2)/2)*V100*Y100*VLOOKUP('Données projet'!$B$9,Paramètres!$A$1:$I$89,3,0)*0.475*44/12</f>
        <v>2.0973495876303185</v>
      </c>
      <c r="AC100" s="22">
        <f t="shared" si="57"/>
        <v>54.623045713565091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6.7984728957526396E-14</v>
      </c>
      <c r="AK100" s="13">
        <f t="shared" si="89"/>
        <v>1.0682447123141398E-12</v>
      </c>
      <c r="AL100" s="20">
        <f t="shared" si="58"/>
        <v>1.978932943548152E-12</v>
      </c>
      <c r="AM100" s="59">
        <f t="shared" si="59"/>
        <v>293.3333333333353</v>
      </c>
      <c r="AN100" s="59">
        <f ca="1">AVERAGE(OFFSET($AM$3,0,0,'Données projet'!$E$10+1,1))-AVERAGE(OFFSET($H$3,0,0,'Données projet'!$E$10+1,1))</f>
        <v>213.90220310357444</v>
      </c>
      <c r="AO100" s="59">
        <f t="shared" si="90"/>
        <v>209.61422409790703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66.738115478368172</v>
      </c>
      <c r="AV100" s="21">
        <f>EXP(-LN(2)/25)*AV99+(1-EXP(-LN(2)/25))/(LN(2)/25)*Calculateur!AQ100*Calculateur!AS100*VLOOKUP('Données projet'!$B$10,Paramètres!$A$1:$I$89,3,0)*0.475*44/12</f>
        <v>17.365383666019945</v>
      </c>
      <c r="AW100" s="21">
        <f>EXP(-LN(2)/2)*AW99+(1-EXP(-LN(2)/2))/(LN(2)/2)*AQ100*AT100*VLOOKUP('Données projet'!$B$10,Paramètres!$A$1:$I$89,3,0)*0.475*44/12</f>
        <v>1.6173989421891288E-4</v>
      </c>
      <c r="AX100" s="21">
        <f t="shared" si="60"/>
        <v>84.103660884282334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6">
        <f t="shared" si="56"/>
        <v>486.68647545914564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8.9420000000000019</v>
      </c>
      <c r="N101" s="13">
        <f>IF('Données projet'!$A$36&gt;35,N100+M101-V100,IF(A101&lt;'Données projet'!$A$36,$K$205^A101,IF(A101='Données projet'!$A$36,'Données projet'!$B$36,N100+M101-V100)))</f>
        <v>348.54800000000051</v>
      </c>
      <c r="O101" s="13">
        <f>N101*VLOOKUP('Données projet'!$B$9,Paramètres!$A$1:$I$89,3,0)*VLOOKUP('Données projet'!$B$9,Paramètres!$A$1:$I$89,5,0)</f>
        <v>315.36623040000046</v>
      </c>
      <c r="P101" s="13">
        <f t="shared" si="87"/>
        <v>74.38839081830163</v>
      </c>
      <c r="Q101" s="20">
        <f t="shared" si="107"/>
        <v>678.82263195520943</v>
      </c>
      <c r="R101" s="59">
        <f t="shared" si="55"/>
        <v>972.1559652885428</v>
      </c>
      <c r="S101" s="59">
        <f ca="1">AVERAGE(OFFSET($R$3,0,0,'Données projet'!$E$9+1,1))-AVERAGE(OFFSET($H$3,0,0,'Données projet'!$E$9+1,1))</f>
        <v>422.10969295064359</v>
      </c>
      <c r="T101" s="59">
        <f t="shared" si="88"/>
        <v>184.04075143033037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26.067029499115737</v>
      </c>
      <c r="AA101" s="21">
        <f>EXP(-LN(2)/25)*AA100+(1-EXP(-LN(2)/25))/(LN(2)/25)*Calculateur!V101*Calculateur!X101*VLOOKUP('Données projet'!$B$9,Paramètres!$A$1:$I$89,3,0)*0.475*44/12</f>
        <v>25.228027686747183</v>
      </c>
      <c r="AB101" s="21">
        <f>EXP(-LN(2)/2)*AB100+(1-EXP(-LN(2)/2))/(LN(2)/2)*V101*Y101*VLOOKUP('Données projet'!$B$9,Paramètres!$A$1:$I$89,3,0)*0.475*44/12</f>
        <v>1.4830501159322074</v>
      </c>
      <c r="AC101" s="22">
        <f t="shared" si="57"/>
        <v>52.778107301795124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6.7984728957526396E-14</v>
      </c>
      <c r="AK101" s="13">
        <f t="shared" si="89"/>
        <v>1.0682447123141398E-12</v>
      </c>
      <c r="AL101" s="20">
        <f t="shared" si="58"/>
        <v>1.978932943548152E-12</v>
      </c>
      <c r="AM101" s="59">
        <f t="shared" si="59"/>
        <v>293.3333333333353</v>
      </c>
      <c r="AN101" s="59">
        <f ca="1">AVERAGE(OFFSET($AM$3,0,0,'Données projet'!$E$10+1,1))-AVERAGE(OFFSET($H$3,0,0,'Données projet'!$E$10+1,1))</f>
        <v>213.90220310357444</v>
      </c>
      <c r="AO101" s="59">
        <f t="shared" si="90"/>
        <v>209.61422409790703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65.429421740068406</v>
      </c>
      <c r="AV101" s="21">
        <f>EXP(-LN(2)/25)*AV100+(1-EXP(-LN(2)/25))/(LN(2)/25)*Calculateur!AQ101*Calculateur!AS101*VLOOKUP('Données projet'!$B$10,Paramètres!$A$1:$I$89,3,0)*0.475*44/12</f>
        <v>16.890526336466792</v>
      </c>
      <c r="AW101" s="21">
        <f>EXP(-LN(2)/2)*AW100+(1-EXP(-LN(2)/2))/(LN(2)/2)*AQ101*AT101*VLOOKUP('Données projet'!$B$10,Paramètres!$A$1:$I$89,3,0)*0.475*44/12</f>
        <v>1.1436737599058818E-4</v>
      </c>
      <c r="AX101" s="21">
        <f t="shared" si="60"/>
        <v>82.320062443911183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6">
        <f t="shared" si="56"/>
        <v>488.6098562290428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8.9420000000000019</v>
      </c>
      <c r="N102" s="13">
        <f>IF('Données projet'!$A$36&gt;35,N101+M102-V101,IF(A102&lt;'Données projet'!$A$36,$K$205^A102,IF(A102='Données projet'!$A$36,'Données projet'!$B$36,N101+M102-V101)))</f>
        <v>357.49000000000052</v>
      </c>
      <c r="O102" s="13">
        <f>N102*VLOOKUP('Données projet'!$B$9,Paramètres!$A$1:$I$89,3,0)*VLOOKUP('Données projet'!$B$9,Paramètres!$A$1:$I$89,5,0)</f>
        <v>323.45695200000046</v>
      </c>
      <c r="P102" s="13">
        <f t="shared" si="87"/>
        <v>76.072189325282608</v>
      </c>
      <c r="Q102" s="20">
        <f t="shared" si="107"/>
        <v>695.84658780820121</v>
      </c>
      <c r="R102" s="59">
        <f t="shared" si="55"/>
        <v>989.17992114153458</v>
      </c>
      <c r="S102" s="59">
        <f ca="1">AVERAGE(OFFSET($R$3,0,0,'Données projet'!$E$9+1,1))-AVERAGE(OFFSET($H$3,0,0,'Données projet'!$E$9+1,1))</f>
        <v>422.10969295064359</v>
      </c>
      <c r="T102" s="59">
        <f t="shared" si="88"/>
        <v>184.04075143033037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25.555870949956144</v>
      </c>
      <c r="AA102" s="21">
        <f>EXP(-LN(2)/25)*AA101+(1-EXP(-LN(2)/25))/(LN(2)/25)*Calculateur!V102*Calculateur!X102*VLOOKUP('Données projet'!$B$9,Paramètres!$A$1:$I$89,3,0)*0.475*44/12</f>
        <v>24.538165942968764</v>
      </c>
      <c r="AB102" s="21">
        <f>EXP(-LN(2)/2)*AB101+(1-EXP(-LN(2)/2))/(LN(2)/2)*V102*Y102*VLOOKUP('Données projet'!$B$9,Paramètres!$A$1:$I$89,3,0)*0.475*44/12</f>
        <v>1.0486747938151593</v>
      </c>
      <c r="AC102" s="22">
        <f t="shared" si="57"/>
        <v>51.142711686740064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6.7984728957526396E-14</v>
      </c>
      <c r="AK102" s="13">
        <f t="shared" si="89"/>
        <v>1.0682447123141398E-12</v>
      </c>
      <c r="AL102" s="20">
        <f t="shared" si="58"/>
        <v>1.978932943548152E-12</v>
      </c>
      <c r="AM102" s="59">
        <f t="shared" si="59"/>
        <v>293.3333333333353</v>
      </c>
      <c r="AN102" s="59">
        <f ca="1">AVERAGE(OFFSET($AM$3,0,0,'Données projet'!$E$10+1,1))-AVERAGE(OFFSET($H$3,0,0,'Données projet'!$E$10+1,1))</f>
        <v>213.90220310357444</v>
      </c>
      <c r="AO102" s="59">
        <f t="shared" si="90"/>
        <v>209.61422409790703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64.146390687752344</v>
      </c>
      <c r="AV102" s="21">
        <f>EXP(-LN(2)/25)*AV101+(1-EXP(-LN(2)/25))/(LN(2)/25)*Calculateur!AQ102*Calculateur!AS102*VLOOKUP('Données projet'!$B$10,Paramètres!$A$1:$I$89,3,0)*0.475*44/12</f>
        <v>16.428654005561931</v>
      </c>
      <c r="AW102" s="21">
        <f>EXP(-LN(2)/2)*AW101+(1-EXP(-LN(2)/2))/(LN(2)/2)*AQ102*AT102*VLOOKUP('Données projet'!$B$10,Paramètres!$A$1:$I$89,3,0)*0.475*44/12</f>
        <v>8.0869947109456442E-5</v>
      </c>
      <c r="AX102" s="21">
        <f t="shared" si="60"/>
        <v>80.575125563261395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6">
        <f t="shared" si="56"/>
        <v>490.53279670439605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8.9420000000000019</v>
      </c>
      <c r="N103" s="13">
        <f>IF('Données projet'!$A$36&gt;35,N102+M103-V102,IF(A103&lt;'Données projet'!$A$36,$K$205^A103,IF(A103='Données projet'!$A$36,'Données projet'!$B$36,N102+M103-V102)))</f>
        <v>366.43200000000053</v>
      </c>
      <c r="O103" s="13">
        <f>N103*VLOOKUP('Données projet'!$B$9,Paramètres!$A$1:$I$89,3,0)*VLOOKUP('Données projet'!$B$9,Paramètres!$A$1:$I$89,5,0)</f>
        <v>331.54767360000045</v>
      </c>
      <c r="P103" s="13">
        <f t="shared" si="87"/>
        <v>77.751091964826287</v>
      </c>
      <c r="Q103" s="20">
        <f t="shared" si="107"/>
        <v>712.86201669207321</v>
      </c>
      <c r="R103" s="59">
        <f t="shared" si="55"/>
        <v>1006.1953500254065</v>
      </c>
      <c r="S103" s="59">
        <f ca="1">AVERAGE(OFFSET($R$3,0,0,'Données projet'!$E$9+1,1))-AVERAGE(OFFSET($H$3,0,0,'Données projet'!$E$9+1,1))</f>
        <v>422.10969295064359</v>
      </c>
      <c r="T103" s="59">
        <f t="shared" si="88"/>
        <v>184.04075143033037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25.054735908169643</v>
      </c>
      <c r="AA103" s="21">
        <f>EXP(-LN(2)/25)*AA102+(1-EXP(-LN(2)/25))/(LN(2)/25)*Calculateur!V103*Calculateur!X103*VLOOKUP('Données projet'!$B$9,Paramètres!$A$1:$I$89,3,0)*0.475*44/12</f>
        <v>23.86716850485222</v>
      </c>
      <c r="AB103" s="21">
        <f>EXP(-LN(2)/2)*AB102+(1-EXP(-LN(2)/2))/(LN(2)/2)*V103*Y103*VLOOKUP('Données projet'!$B$9,Paramètres!$A$1:$I$89,3,0)*0.475*44/12</f>
        <v>0.74152505796610368</v>
      </c>
      <c r="AC103" s="22">
        <f t="shared" si="57"/>
        <v>49.663429470987964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6.7984728957526396E-14</v>
      </c>
      <c r="AK103" s="13">
        <f t="shared" si="89"/>
        <v>1.0682447123141398E-12</v>
      </c>
      <c r="AL103" s="20">
        <f t="shared" si="58"/>
        <v>1.978932943548152E-12</v>
      </c>
      <c r="AM103" s="59">
        <f t="shared" si="59"/>
        <v>293.3333333333353</v>
      </c>
      <c r="AN103" s="59">
        <f ca="1">AVERAGE(OFFSET($AM$3,0,0,'Données projet'!$E$10+1,1))-AVERAGE(OFFSET($H$3,0,0,'Données projet'!$E$10+1,1))</f>
        <v>213.90220310357444</v>
      </c>
      <c r="AO103" s="59">
        <f t="shared" si="90"/>
        <v>209.61422409790703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62.888519091800525</v>
      </c>
      <c r="AV103" s="21">
        <f>EXP(-LN(2)/25)*AV102+(1-EXP(-LN(2)/25))/(LN(2)/25)*Calculateur!AQ103*Calculateur!AS103*VLOOKUP('Données projet'!$B$10,Paramètres!$A$1:$I$89,3,0)*0.475*44/12</f>
        <v>15.979411597834474</v>
      </c>
      <c r="AW103" s="21">
        <f>EXP(-LN(2)/2)*AW102+(1-EXP(-LN(2)/2))/(LN(2)/2)*AQ103*AT103*VLOOKUP('Données projet'!$B$10,Paramètres!$A$1:$I$89,3,0)*0.475*44/12</f>
        <v>5.7183687995294088E-5</v>
      </c>
      <c r="AX103" s="21">
        <f t="shared" si="60"/>
        <v>78.867987873323003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6">
        <f t="shared" si="56"/>
        <v>492.4553017979585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8.9420000000000019</v>
      </c>
      <c r="N104" s="13">
        <f>IF('Données projet'!$A$36&gt;35,N103+M104-V103,IF(A104&lt;'Données projet'!$A$36,$K$205^A104,IF(A104='Données projet'!$A$36,'Données projet'!$B$36,N103+M104-V103)))</f>
        <v>375.37400000000054</v>
      </c>
      <c r="O104" s="13">
        <f>N104*VLOOKUP('Données projet'!$B$9,Paramètres!$A$1:$I$89,3,0)*VLOOKUP('Données projet'!$B$9,Paramètres!$A$1:$I$89,5,0)</f>
        <v>339.6383952000005</v>
      </c>
      <c r="P104" s="13">
        <f t="shared" si="87"/>
        <v>79.425231954431325</v>
      </c>
      <c r="Q104" s="20">
        <f t="shared" si="107"/>
        <v>729.86915062730213</v>
      </c>
      <c r="R104" s="59">
        <f t="shared" si="55"/>
        <v>1023.2024839606354</v>
      </c>
      <c r="S104" s="59">
        <f ca="1">AVERAGE(OFFSET($R$3,0,0,'Données projet'!$E$9+1,1))-AVERAGE(OFFSET($H$3,0,0,'Données projet'!$E$9+1,1))</f>
        <v>422.10969295064359</v>
      </c>
      <c r="T104" s="59">
        <f t="shared" si="88"/>
        <v>184.04075143033037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24.563427818890382</v>
      </c>
      <c r="AA104" s="21">
        <f>EXP(-LN(2)/25)*AA103+(1-EXP(-LN(2)/25))/(LN(2)/25)*Calculateur!V104*Calculateur!X104*VLOOKUP('Données projet'!$B$9,Paramètres!$A$1:$I$89,3,0)*0.475*44/12</f>
        <v>23.214519526967194</v>
      </c>
      <c r="AB104" s="21">
        <f>EXP(-LN(2)/2)*AB103+(1-EXP(-LN(2)/2))/(LN(2)/2)*V104*Y104*VLOOKUP('Données projet'!$B$9,Paramètres!$A$1:$I$89,3,0)*0.475*44/12</f>
        <v>0.52433739690757963</v>
      </c>
      <c r="AC104" s="22">
        <f t="shared" si="57"/>
        <v>48.302284742765153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6.7984728957526396E-14</v>
      </c>
      <c r="AK104" s="13">
        <f t="shared" si="89"/>
        <v>1.0682447123141398E-12</v>
      </c>
      <c r="AL104" s="20">
        <f t="shared" si="58"/>
        <v>1.978932943548152E-12</v>
      </c>
      <c r="AM104" s="59">
        <f t="shared" si="59"/>
        <v>293.3333333333353</v>
      </c>
      <c r="AN104" s="59">
        <f ca="1">AVERAGE(OFFSET($AM$3,0,0,'Données projet'!$E$10+1,1))-AVERAGE(OFFSET($H$3,0,0,'Données projet'!$E$10+1,1))</f>
        <v>213.90220310357444</v>
      </c>
      <c r="AO104" s="59">
        <f t="shared" si="90"/>
        <v>209.61422409790703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61.655313590619407</v>
      </c>
      <c r="AV104" s="21">
        <f>EXP(-LN(2)/25)*AV103+(1-EXP(-LN(2)/25))/(LN(2)/25)*Calculateur!AQ104*Calculateur!AS104*VLOOKUP('Données projet'!$B$10,Paramètres!$A$1:$I$89,3,0)*0.475*44/12</f>
        <v>15.542453747370956</v>
      </c>
      <c r="AW104" s="21">
        <f>EXP(-LN(2)/2)*AW103+(1-EXP(-LN(2)/2))/(LN(2)/2)*AQ104*AT104*VLOOKUP('Données projet'!$B$10,Paramètres!$A$1:$I$89,3,0)*0.475*44/12</f>
        <v>4.0434973554728221E-5</v>
      </c>
      <c r="AX104" s="21">
        <f t="shared" si="60"/>
        <v>77.197807772963927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6">
        <f t="shared" si="56"/>
        <v>494.37737631959351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8.9420000000000019</v>
      </c>
      <c r="N105" s="13">
        <f>IF('Données projet'!$A$36&gt;35,N104+M105-V104,IF(A105&lt;'Données projet'!$A$36,$K$205^A105,IF(A105='Données projet'!$A$36,'Données projet'!$B$36,N104+M105-V104)))</f>
        <v>384.31600000000054</v>
      </c>
      <c r="O105" s="13">
        <f>N105*VLOOKUP('Données projet'!$B$9,Paramètres!$A$1:$I$89,3,0)*VLOOKUP('Données projet'!$B$9,Paramètres!$A$1:$I$89,5,0)</f>
        <v>347.7291168000005</v>
      </c>
      <c r="P105" s="13">
        <f t="shared" si="87"/>
        <v>81.094735802697301</v>
      </c>
      <c r="Q105" s="20">
        <f t="shared" si="107"/>
        <v>746.86820994969855</v>
      </c>
      <c r="R105" s="59">
        <f t="shared" si="55"/>
        <v>1040.2015432830319</v>
      </c>
      <c r="S105" s="59">
        <f ca="1">AVERAGE(OFFSET($R$3,0,0,'Données projet'!$E$9+1,1))-AVERAGE(OFFSET($H$3,0,0,'Données projet'!$E$9+1,1))</f>
        <v>422.10969295064359</v>
      </c>
      <c r="T105" s="59">
        <f t="shared" si="88"/>
        <v>184.04075143033037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24.081753981573542</v>
      </c>
      <c r="AA105" s="21">
        <f>EXP(-LN(2)/25)*AA104+(1-EXP(-LN(2)/25))/(LN(2)/25)*Calculateur!V105*Calculateur!X105*VLOOKUP('Données projet'!$B$9,Paramètres!$A$1:$I$89,3,0)*0.475*44/12</f>
        <v>22.579717269703753</v>
      </c>
      <c r="AB105" s="21">
        <f>EXP(-LN(2)/2)*AB104+(1-EXP(-LN(2)/2))/(LN(2)/2)*V105*Y105*VLOOKUP('Données projet'!$B$9,Paramètres!$A$1:$I$89,3,0)*0.475*44/12</f>
        <v>0.37076252898305184</v>
      </c>
      <c r="AC105" s="22">
        <f t="shared" si="57"/>
        <v>47.032233780260341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6.7984728957526396E-14</v>
      </c>
      <c r="AK105" s="13">
        <f t="shared" si="89"/>
        <v>1.0682447123141398E-12</v>
      </c>
      <c r="AL105" s="20">
        <f t="shared" si="58"/>
        <v>1.978932943548152E-12</v>
      </c>
      <c r="AM105" s="59">
        <f t="shared" si="59"/>
        <v>293.3333333333353</v>
      </c>
      <c r="AN105" s="59">
        <f ca="1">AVERAGE(OFFSET($AM$3,0,0,'Données projet'!$E$10+1,1))-AVERAGE(OFFSET($H$3,0,0,'Données projet'!$E$10+1,1))</f>
        <v>213.90220310357444</v>
      </c>
      <c r="AO105" s="59">
        <f t="shared" si="90"/>
        <v>209.61422409790703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60.446290497135365</v>
      </c>
      <c r="AV105" s="21">
        <f>EXP(-LN(2)/25)*AV104+(1-EXP(-LN(2)/25))/(LN(2)/25)*Calculateur!AQ105*Calculateur!AS105*VLOOKUP('Données projet'!$B$10,Paramètres!$A$1:$I$89,3,0)*0.475*44/12</f>
        <v>15.117444532306978</v>
      </c>
      <c r="AW105" s="21">
        <f>EXP(-LN(2)/2)*AW104+(1-EXP(-LN(2)/2))/(LN(2)/2)*AQ105*AT105*VLOOKUP('Données projet'!$B$10,Paramètres!$A$1:$I$89,3,0)*0.475*44/12</f>
        <v>2.8591843997647044E-5</v>
      </c>
      <c r="AX105" s="21">
        <f t="shared" si="60"/>
        <v>75.563763621286341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6">
        <f t="shared" si="56"/>
        <v>496.29902497941657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8.9420000000000019</v>
      </c>
      <c r="N106" s="13">
        <f>IF('Données projet'!$A$36&gt;35,N105+M106-V105,IF(A106&lt;'Données projet'!$A$36,$K$205^A106,IF(A106='Données projet'!$A$36,'Données projet'!$B$36,N105+M106-V105)))</f>
        <v>393.25800000000055</v>
      </c>
      <c r="O106" s="13">
        <f>N106*VLOOKUP('Données projet'!$B$9,Paramètres!$A$1:$I$89,3,0)*VLOOKUP('Données projet'!$B$9,Paramètres!$A$1:$I$89,5,0)</f>
        <v>355.81983840000049</v>
      </c>
      <c r="P106" s="13">
        <f t="shared" si="87"/>
        <v>82.759723795307863</v>
      </c>
      <c r="Q106" s="20">
        <f t="shared" si="107"/>
        <v>763.85940415682887</v>
      </c>
      <c r="R106" s="59">
        <f t="shared" si="55"/>
        <v>1057.1927374901622</v>
      </c>
      <c r="S106" s="59">
        <f ca="1">AVERAGE(OFFSET($R$3,0,0,'Données projet'!$E$9+1,1))-AVERAGE(OFFSET($H$3,0,0,'Données projet'!$E$9+1,1))</f>
        <v>422.10969295064359</v>
      </c>
      <c r="T106" s="59">
        <f t="shared" si="88"/>
        <v>184.04075143033037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23.60952547441445</v>
      </c>
      <c r="AA106" s="21">
        <f>EXP(-LN(2)/25)*AA105+(1-EXP(-LN(2)/25))/(LN(2)/25)*Calculateur!V106*Calculateur!X106*VLOOKUP('Données projet'!$B$9,Paramètres!$A$1:$I$89,3,0)*0.475*44/12</f>
        <v>21.96227371354798</v>
      </c>
      <c r="AB106" s="21">
        <f>EXP(-LN(2)/2)*AB105+(1-EXP(-LN(2)/2))/(LN(2)/2)*V106*Y106*VLOOKUP('Données projet'!$B$9,Paramètres!$A$1:$I$89,3,0)*0.475*44/12</f>
        <v>0.26216869845378982</v>
      </c>
      <c r="AC106" s="22">
        <f t="shared" si="57"/>
        <v>45.833967886416218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6.7984728957526396E-14</v>
      </c>
      <c r="AK106" s="13">
        <f t="shared" si="89"/>
        <v>1.0682447123141398E-12</v>
      </c>
      <c r="AL106" s="20">
        <f t="shared" si="58"/>
        <v>1.978932943548152E-12</v>
      </c>
      <c r="AM106" s="59">
        <f t="shared" si="59"/>
        <v>293.3333333333353</v>
      </c>
      <c r="AN106" s="59">
        <f ca="1">AVERAGE(OFFSET($AM$3,0,0,'Données projet'!$E$10+1,1))-AVERAGE(OFFSET($H$3,0,0,'Données projet'!$E$10+1,1))</f>
        <v>213.90220310357444</v>
      </c>
      <c r="AO106" s="59">
        <f t="shared" si="90"/>
        <v>209.61422409790703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59.260975609083275</v>
      </c>
      <c r="AV106" s="21">
        <f>EXP(-LN(2)/25)*AV105+(1-EXP(-LN(2)/25))/(LN(2)/25)*Calculateur!AQ106*Calculateur!AS106*VLOOKUP('Données projet'!$B$10,Paramètres!$A$1:$I$89,3,0)*0.475*44/12</f>
        <v>14.704057216579187</v>
      </c>
      <c r="AW106" s="21">
        <f>EXP(-LN(2)/2)*AW105+(1-EXP(-LN(2)/2))/(LN(2)/2)*AQ106*AT106*VLOOKUP('Données projet'!$B$10,Paramètres!$A$1:$I$89,3,0)*0.475*44/12</f>
        <v>2.021748677736411E-5</v>
      </c>
      <c r="AX106" s="21">
        <f t="shared" si="60"/>
        <v>73.96505304314924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6">
        <f t="shared" si="56"/>
        <v>498.22025239081199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8.9420000000000019</v>
      </c>
      <c r="M107" s="12">
        <f t="array" ref="M107">INDEX(L:L,MIN(IF(ISNUMBER(L107:L303),ROW(L107:L303),"")))</f>
        <v>8.9420000000000019</v>
      </c>
      <c r="N107" s="13">
        <f>IF('Données projet'!$A$36&gt;35,N106+M107-V106,IF(A107&lt;'Données projet'!$A$36,$K$205^A107,IF(A107='Données projet'!$A$36,'Données projet'!$B$36,N106+M107-V106)))</f>
        <v>402.20000000000056</v>
      </c>
      <c r="O107" s="13">
        <f>N107*VLOOKUP('Données projet'!$B$9,Paramètres!$A$1:$I$89,3,0)*VLOOKUP('Données projet'!$B$9,Paramètres!$A$1:$I$89,5,0)</f>
        <v>363.91056000000049</v>
      </c>
      <c r="P107" s="13">
        <f t="shared" si="87"/>
        <v>84.42031043556446</v>
      </c>
      <c r="Q107" s="20">
        <f t="shared" si="107"/>
        <v>780.84293267527562</v>
      </c>
      <c r="R107" s="59">
        <f t="shared" si="55"/>
        <v>1074.176266008609</v>
      </c>
      <c r="S107" s="59">
        <f ca="1">AVERAGE(OFFSET($R$3,0,0,'Données projet'!$E$9+1,1))-AVERAGE(OFFSET($H$3,0,0,'Données projet'!$E$9+1,1))</f>
        <v>422.10969295064359</v>
      </c>
      <c r="T107" s="59">
        <f t="shared" si="88"/>
        <v>184.04075143033037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66.089999999999975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33.09538580102793</v>
      </c>
      <c r="AA107" s="21">
        <f>EXP(-LN(2)/25)*AA106+(1-EXP(-LN(2)/25))/(LN(2)/25)*Calculateur!V107*Calculateur!X107*VLOOKUP('Données projet'!$B$9,Paramètres!$A$1:$I$89,3,0)*0.475*44/12</f>
        <v>27.024374978935796</v>
      </c>
      <c r="AB107" s="21">
        <f>EXP(-LN(2)/2)*AB106+(1-EXP(-LN(2)/2))/(LN(2)/2)*V107*Y107*VLOOKUP('Données projet'!$B$9,Paramètres!$A$1:$I$89,3,0)*0.475*44/12</f>
        <v>5.8275053982732432</v>
      </c>
      <c r="AC107" s="22">
        <f t="shared" si="57"/>
        <v>65.947266178236973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6.7984728957526396E-14</v>
      </c>
      <c r="AK107" s="13">
        <f t="shared" si="89"/>
        <v>1.0682447123141398E-12</v>
      </c>
      <c r="AL107" s="20">
        <f t="shared" si="58"/>
        <v>1.978932943548152E-12</v>
      </c>
      <c r="AM107" s="59">
        <f t="shared" si="59"/>
        <v>293.3333333333353</v>
      </c>
      <c r="AN107" s="59">
        <f ca="1">AVERAGE(OFFSET($AM$3,0,0,'Données projet'!$E$10+1,1))-AVERAGE(OFFSET($H$3,0,0,'Données projet'!$E$10+1,1))</f>
        <v>213.90220310357444</v>
      </c>
      <c r="AO107" s="59">
        <f t="shared" si="90"/>
        <v>209.61422409790703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58.098904023015187</v>
      </c>
      <c r="AV107" s="21">
        <f>EXP(-LN(2)/25)*AV106+(1-EXP(-LN(2)/25))/(LN(2)/25)*Calculateur!AQ107*Calculateur!AS107*VLOOKUP('Données projet'!$B$10,Paramètres!$A$1:$I$89,3,0)*0.475*44/12</f>
        <v>14.301973998739067</v>
      </c>
      <c r="AW107" s="21">
        <f>EXP(-LN(2)/2)*AW106+(1-EXP(-LN(2)/2))/(LN(2)/2)*AQ107*AT107*VLOOKUP('Données projet'!$B$10,Paramètres!$A$1:$I$89,3,0)*0.475*44/12</f>
        <v>1.4295921998823522E-5</v>
      </c>
      <c r="AX107" s="21">
        <f t="shared" si="60"/>
        <v>72.400892317676252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6">
        <f t="shared" si="56"/>
        <v>500.14106307332992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8.8449999999999989</v>
      </c>
      <c r="N108" s="13">
        <f>IF('Données projet'!$A$36&gt;35,N107+M108-V107,IF(A108&lt;'Données projet'!$A$36,$K$205^A108,IF(A108='Données projet'!$A$36,'Données projet'!$B$36,N107+M108-V107)))</f>
        <v>344.95500000000055</v>
      </c>
      <c r="O108" s="13">
        <f>N108*VLOOKUP('Données projet'!$B$9,Paramètres!$A$1:$I$89,3,0)*VLOOKUP('Données projet'!$B$9,Paramètres!$A$1:$I$89,5,0)</f>
        <v>312.11528400000049</v>
      </c>
      <c r="P108" s="13">
        <f t="shared" si="87"/>
        <v>73.71041067221141</v>
      </c>
      <c r="Q108" s="20">
        <f t="shared" si="107"/>
        <v>671.97975155410234</v>
      </c>
      <c r="R108" s="59">
        <f t="shared" si="55"/>
        <v>965.31308488743571</v>
      </c>
      <c r="S108" s="59">
        <f ca="1">AVERAGE(OFFSET($R$3,0,0,'Données projet'!$E$9+1,1))-AVERAGE(OFFSET($H$3,0,0,'Données projet'!$E$9+1,1))</f>
        <v>422.10969295064359</v>
      </c>
      <c r="T108" s="59">
        <f t="shared" si="88"/>
        <v>184.04075143033037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32.44640547166189</v>
      </c>
      <c r="AA108" s="21">
        <f>EXP(-LN(2)/25)*AA107+(1-EXP(-LN(2)/25))/(LN(2)/25)*Calculateur!V108*Calculateur!X108*VLOOKUP('Données projet'!$B$9,Paramètres!$A$1:$I$89,3,0)*0.475*44/12</f>
        <v>26.285392023986681</v>
      </c>
      <c r="AB108" s="21">
        <f>EXP(-LN(2)/2)*AB107+(1-EXP(-LN(2)/2))/(LN(2)/2)*V108*Y108*VLOOKUP('Données projet'!$B$9,Paramètres!$A$1:$I$89,3,0)*0.475*44/12</f>
        <v>4.1206685845202227</v>
      </c>
      <c r="AC108" s="22">
        <f t="shared" si="57"/>
        <v>62.852466080168796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6.7984728957526396E-14</v>
      </c>
      <c r="AK108" s="13">
        <f t="shared" si="89"/>
        <v>1.0682447123141398E-12</v>
      </c>
      <c r="AL108" s="20">
        <f t="shared" si="58"/>
        <v>1.978932943548152E-12</v>
      </c>
      <c r="AM108" s="59">
        <f t="shared" si="59"/>
        <v>293.3333333333353</v>
      </c>
      <c r="AN108" s="59">
        <f ca="1">AVERAGE(OFFSET($AM$3,0,0,'Données projet'!$E$10+1,1))-AVERAGE(OFFSET($H$3,0,0,'Données projet'!$E$10+1,1))</f>
        <v>213.90220310357444</v>
      </c>
      <c r="AO108" s="59">
        <f t="shared" si="90"/>
        <v>209.61422409790703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56.959619951956213</v>
      </c>
      <c r="AV108" s="21">
        <f>EXP(-LN(2)/25)*AV107+(1-EXP(-LN(2)/25))/(LN(2)/25)*Calculateur!AQ108*Calculateur!AS108*VLOOKUP('Données projet'!$B$10,Paramètres!$A$1:$I$89,3,0)*0.475*44/12</f>
        <v>13.910885767635422</v>
      </c>
      <c r="AW108" s="21">
        <f>EXP(-LN(2)/2)*AW107+(1-EXP(-LN(2)/2))/(LN(2)/2)*AQ108*AT108*VLOOKUP('Données projet'!$B$10,Paramètres!$A$1:$I$89,3,0)*0.475*44/12</f>
        <v>1.0108743388682055E-5</v>
      </c>
      <c r="AX108" s="21">
        <f t="shared" si="60"/>
        <v>70.870515828335016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6">
        <f t="shared" si="56"/>
        <v>502.06146145546995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8.8449999999999989</v>
      </c>
      <c r="N109" s="13">
        <f>IF('Données projet'!$A$36&gt;35,N108+M109-V108,IF(A109&lt;'Données projet'!$A$36,$K$205^A109,IF(A109='Données projet'!$A$36,'Données projet'!$B$36,N108+M109-V108)))</f>
        <v>353.80000000000052</v>
      </c>
      <c r="O109" s="13">
        <f>N109*VLOOKUP('Données projet'!$B$9,Paramètres!$A$1:$I$89,3,0)*VLOOKUP('Données projet'!$B$9,Paramètres!$A$1:$I$89,5,0)</f>
        <v>320.11824000000047</v>
      </c>
      <c r="P109" s="13">
        <f t="shared" si="87"/>
        <v>75.377955265343587</v>
      </c>
      <c r="Q109" s="20">
        <f t="shared" si="107"/>
        <v>688.82254008714096</v>
      </c>
      <c r="R109" s="59">
        <f t="shared" si="55"/>
        <v>982.15587342047434</v>
      </c>
      <c r="S109" s="59">
        <f ca="1">AVERAGE(OFFSET($R$3,0,0,'Données projet'!$E$9+1,1))-AVERAGE(OFFSET($H$3,0,0,'Données projet'!$E$9+1,1))</f>
        <v>422.10969295064359</v>
      </c>
      <c r="T109" s="59">
        <f t="shared" si="88"/>
        <v>184.04075143033037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31.810151250715805</v>
      </c>
      <c r="AA109" s="21">
        <f>EXP(-LN(2)/25)*AA108+(1-EXP(-LN(2)/25))/(LN(2)/25)*Calculateur!V109*Calculateur!X109*VLOOKUP('Données projet'!$B$9,Paramètres!$A$1:$I$89,3,0)*0.475*44/12</f>
        <v>25.566616596802074</v>
      </c>
      <c r="AB109" s="21">
        <f>EXP(-LN(2)/2)*AB108+(1-EXP(-LN(2)/2))/(LN(2)/2)*V109*Y109*VLOOKUP('Données projet'!$B$9,Paramètres!$A$1:$I$89,3,0)*0.475*44/12</f>
        <v>2.9137526991366216</v>
      </c>
      <c r="AC109" s="22">
        <f t="shared" si="57"/>
        <v>60.290520546654506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6.7984728957526396E-14</v>
      </c>
      <c r="AK109" s="13">
        <f t="shared" si="89"/>
        <v>1.0682447123141398E-12</v>
      </c>
      <c r="AL109" s="20">
        <f t="shared" si="58"/>
        <v>1.978932943548152E-12</v>
      </c>
      <c r="AM109" s="59">
        <f t="shared" si="59"/>
        <v>293.3333333333353</v>
      </c>
      <c r="AN109" s="59">
        <f ca="1">AVERAGE(OFFSET($AM$3,0,0,'Données projet'!$E$10+1,1))-AVERAGE(OFFSET($H$3,0,0,'Données projet'!$E$10+1,1))</f>
        <v>213.90220310357444</v>
      </c>
      <c r="AO109" s="59">
        <f t="shared" si="90"/>
        <v>209.61422409790703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55.842676546636042</v>
      </c>
      <c r="AV109" s="21">
        <f>EXP(-LN(2)/25)*AV108+(1-EXP(-LN(2)/25))/(LN(2)/25)*Calculateur!AQ109*Calculateur!AS109*VLOOKUP('Données projet'!$B$10,Paramètres!$A$1:$I$89,3,0)*0.475*44/12</f>
        <v>13.530491864777742</v>
      </c>
      <c r="AW109" s="21">
        <f>EXP(-LN(2)/2)*AW108+(1-EXP(-LN(2)/2))/(LN(2)/2)*AQ109*AT109*VLOOKUP('Données projet'!$B$10,Paramètres!$A$1:$I$89,3,0)*0.475*44/12</f>
        <v>7.147960999411761E-6</v>
      </c>
      <c r="AX109" s="21">
        <f t="shared" si="60"/>
        <v>69.373175559374786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6">
        <f t="shared" si="56"/>
        <v>503.98145187735673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8.8449999999999989</v>
      </c>
      <c r="N110" s="13">
        <f>IF('Données projet'!$A$36&gt;35,N109+M110-V109,IF(A110&lt;'Données projet'!$A$36,$K$205^A110,IF(A110='Données projet'!$A$36,'Données projet'!$B$36,N109+M110-V109)))</f>
        <v>362.64500000000055</v>
      </c>
      <c r="O110" s="13">
        <f>N110*VLOOKUP('Données projet'!$B$9,Paramètres!$A$1:$I$89,3,0)*VLOOKUP('Données projet'!$B$9,Paramètres!$A$1:$I$89,5,0)</f>
        <v>328.12119600000045</v>
      </c>
      <c r="P110" s="13">
        <f t="shared" si="87"/>
        <v>77.040653823854953</v>
      </c>
      <c r="Q110" s="20">
        <f t="shared" si="107"/>
        <v>705.65688844321483</v>
      </c>
      <c r="R110" s="59">
        <f t="shared" si="55"/>
        <v>998.9902217765482</v>
      </c>
      <c r="S110" s="59">
        <f ca="1">AVERAGE(OFFSET($R$3,0,0,'Données projet'!$E$9+1,1))-AVERAGE(OFFSET($H$3,0,0,'Données projet'!$E$9+1,1))</f>
        <v>422.10969295064359</v>
      </c>
      <c r="T110" s="59">
        <f t="shared" si="88"/>
        <v>184.04075143033037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31.186373586965715</v>
      </c>
      <c r="AA110" s="21">
        <f>EXP(-LN(2)/25)*AA109+(1-EXP(-LN(2)/25))/(LN(2)/25)*Calculateur!V110*Calculateur!X110*VLOOKUP('Données projet'!$B$9,Paramètres!$A$1:$I$89,3,0)*0.475*44/12</f>
        <v>24.867496121472588</v>
      </c>
      <c r="AB110" s="21">
        <f>EXP(-LN(2)/2)*AB109+(1-EXP(-LN(2)/2))/(LN(2)/2)*V110*Y110*VLOOKUP('Données projet'!$B$9,Paramètres!$A$1:$I$89,3,0)*0.475*44/12</f>
        <v>2.0603342922601113</v>
      </c>
      <c r="AC110" s="22">
        <f t="shared" si="57"/>
        <v>58.114204000698408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6.7984728957526396E-14</v>
      </c>
      <c r="AK110" s="13">
        <f t="shared" si="89"/>
        <v>1.0682447123141398E-12</v>
      </c>
      <c r="AL110" s="20">
        <f t="shared" si="58"/>
        <v>1.978932943548152E-12</v>
      </c>
      <c r="AM110" s="59">
        <f t="shared" si="59"/>
        <v>293.3333333333353</v>
      </c>
      <c r="AN110" s="59">
        <f ca="1">AVERAGE(OFFSET($AM$3,0,0,'Données projet'!$E$10+1,1))-AVERAGE(OFFSET($H$3,0,0,'Données projet'!$E$10+1,1))</f>
        <v>213.90220310357444</v>
      </c>
      <c r="AO110" s="59">
        <f t="shared" si="90"/>
        <v>209.61422409790703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54.747635720225993</v>
      </c>
      <c r="AV110" s="21">
        <f>EXP(-LN(2)/25)*AV109+(1-EXP(-LN(2)/25))/(LN(2)/25)*Calculateur!AQ110*Calculateur!AS110*VLOOKUP('Données projet'!$B$10,Paramètres!$A$1:$I$89,3,0)*0.475*44/12</f>
        <v>13.160499853197752</v>
      </c>
      <c r="AW110" s="21">
        <f>EXP(-LN(2)/2)*AW109+(1-EXP(-LN(2)/2))/(LN(2)/2)*AQ110*AT110*VLOOKUP('Données projet'!$B$10,Paramètres!$A$1:$I$89,3,0)*0.475*44/12</f>
        <v>5.0543716943410276E-6</v>
      </c>
      <c r="AX110" s="21">
        <f t="shared" si="60"/>
        <v>67.908140627795447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6">
        <f t="shared" si="56"/>
        <v>505.90103859331265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8.8449999999999989</v>
      </c>
      <c r="N111" s="13">
        <f>IF('Données projet'!$A$36&gt;35,N110+M111-V110,IF(A111&lt;'Données projet'!$A$36,$K$205^A111,IF(A111='Données projet'!$A$36,'Données projet'!$B$36,N110+M111-V110)))</f>
        <v>371.49000000000058</v>
      </c>
      <c r="O111" s="13">
        <f>N111*VLOOKUP('Données projet'!$B$9,Paramètres!$A$1:$I$89,3,0)*VLOOKUP('Données projet'!$B$9,Paramètres!$A$1:$I$89,5,0)</f>
        <v>336.12415200000049</v>
      </c>
      <c r="P111" s="13">
        <f t="shared" si="87"/>
        <v>78.698638141016232</v>
      </c>
      <c r="Q111" s="20">
        <f t="shared" si="107"/>
        <v>722.4830261622709</v>
      </c>
      <c r="R111" s="59">
        <f t="shared" si="55"/>
        <v>1015.8163594956043</v>
      </c>
      <c r="S111" s="59">
        <f ca="1">AVERAGE(OFFSET($R$3,0,0,'Données projet'!$E$9+1,1))-AVERAGE(OFFSET($H$3,0,0,'Données projet'!$E$9+1,1))</f>
        <v>422.10969295064359</v>
      </c>
      <c r="T111" s="59">
        <f t="shared" si="88"/>
        <v>184.04075143033037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30.574827822734957</v>
      </c>
      <c r="AA111" s="21">
        <f>EXP(-LN(2)/25)*AA110+(1-EXP(-LN(2)/25))/(LN(2)/25)*Calculateur!V111*Calculateur!X111*VLOOKUP('Données projet'!$B$9,Paramètres!$A$1:$I$89,3,0)*0.475*44/12</f>
        <v>24.187493132306134</v>
      </c>
      <c r="AB111" s="21">
        <f>EXP(-LN(2)/2)*AB110+(1-EXP(-LN(2)/2))/(LN(2)/2)*V111*Y111*VLOOKUP('Données projet'!$B$9,Paramètres!$A$1:$I$89,3,0)*0.475*44/12</f>
        <v>1.4568763495683108</v>
      </c>
      <c r="AC111" s="22">
        <f t="shared" si="57"/>
        <v>56.219197304609402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6.7984728957526396E-14</v>
      </c>
      <c r="AK111" s="13">
        <f t="shared" si="89"/>
        <v>1.0682447123141398E-12</v>
      </c>
      <c r="AL111" s="20">
        <f t="shared" si="58"/>
        <v>1.978932943548152E-12</v>
      </c>
      <c r="AM111" s="59">
        <f t="shared" si="59"/>
        <v>293.3333333333353</v>
      </c>
      <c r="AN111" s="59">
        <f ca="1">AVERAGE(OFFSET($AM$3,0,0,'Données projet'!$E$10+1,1))-AVERAGE(OFFSET($H$3,0,0,'Données projet'!$E$10+1,1))</f>
        <v>213.90220310357444</v>
      </c>
      <c r="AO111" s="59">
        <f t="shared" si="90"/>
        <v>209.61422409790703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53.674067976512887</v>
      </c>
      <c r="AV111" s="21">
        <f>EXP(-LN(2)/25)*AV110+(1-EXP(-LN(2)/25))/(LN(2)/25)*Calculateur!AQ111*Calculateur!AS111*VLOOKUP('Données projet'!$B$10,Paramètres!$A$1:$I$89,3,0)*0.475*44/12</f>
        <v>12.800625292631452</v>
      </c>
      <c r="AW111" s="21">
        <f>EXP(-LN(2)/2)*AW110+(1-EXP(-LN(2)/2))/(LN(2)/2)*AQ111*AT111*VLOOKUP('Données projet'!$B$10,Paramètres!$A$1:$I$89,3,0)*0.475*44/12</f>
        <v>3.5739804997058805E-6</v>
      </c>
      <c r="AX111" s="21">
        <f t="shared" si="60"/>
        <v>66.474696843124832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6">
        <f t="shared" si="56"/>
        <v>507.82022577433264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8.8449999999999989</v>
      </c>
      <c r="N112" s="13">
        <f>IF('Données projet'!$A$36&gt;35,N111+M112-V111,IF(A112&lt;'Données projet'!$A$36,$K$205^A112,IF(A112='Données projet'!$A$36,'Données projet'!$B$36,N111+M112-V111)))</f>
        <v>380.3350000000006</v>
      </c>
      <c r="O112" s="13">
        <f>N112*VLOOKUP('Données projet'!$B$9,Paramètres!$A$1:$I$89,3,0)*VLOOKUP('Données projet'!$B$9,Paramètres!$A$1:$I$89,5,0)</f>
        <v>344.12710800000053</v>
      </c>
      <c r="P112" s="13">
        <f t="shared" si="87"/>
        <v>80.352033376279337</v>
      </c>
      <c r="Q112" s="20">
        <f t="shared" si="107"/>
        <v>739.30117123035416</v>
      </c>
      <c r="R112" s="59">
        <f t="shared" si="55"/>
        <v>1032.6345045636874</v>
      </c>
      <c r="S112" s="59">
        <f ca="1">AVERAGE(OFFSET($R$3,0,0,'Données projet'!$E$9+1,1))-AVERAGE(OFFSET($H$3,0,0,'Données projet'!$E$9+1,1))</f>
        <v>422.10969295064359</v>
      </c>
      <c r="T112" s="59">
        <f t="shared" si="88"/>
        <v>184.04075143033037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29.97527409793468</v>
      </c>
      <c r="AA112" s="21">
        <f>EXP(-LN(2)/25)*AA111+(1-EXP(-LN(2)/25))/(LN(2)/25)*Calculateur!V112*Calculateur!X112*VLOOKUP('Données projet'!$B$9,Paramètres!$A$1:$I$89,3,0)*0.475*44/12</f>
        <v>23.526084860638239</v>
      </c>
      <c r="AB112" s="21">
        <f>EXP(-LN(2)/2)*AB111+(1-EXP(-LN(2)/2))/(LN(2)/2)*V112*Y112*VLOOKUP('Données projet'!$B$9,Paramètres!$A$1:$I$89,3,0)*0.475*44/12</f>
        <v>1.0301671461300557</v>
      </c>
      <c r="AC112" s="22">
        <f t="shared" si="57"/>
        <v>54.531526104702976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6.7984728957526396E-14</v>
      </c>
      <c r="AK112" s="13">
        <f t="shared" si="89"/>
        <v>1.0682447123141398E-12</v>
      </c>
      <c r="AL112" s="20">
        <f t="shared" si="58"/>
        <v>1.978932943548152E-12</v>
      </c>
      <c r="AM112" s="59">
        <f t="shared" si="59"/>
        <v>293.3333333333353</v>
      </c>
      <c r="AN112" s="59">
        <f ca="1">AVERAGE(OFFSET($AM$3,0,0,'Données projet'!$E$10+1,1))-AVERAGE(OFFSET($H$3,0,0,'Données projet'!$E$10+1,1))</f>
        <v>213.90220310357444</v>
      </c>
      <c r="AO112" s="59">
        <f t="shared" si="90"/>
        <v>209.61422409790703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52.62155224144233</v>
      </c>
      <c r="AV112" s="21">
        <f>EXP(-LN(2)/25)*AV111+(1-EXP(-LN(2)/25))/(LN(2)/25)*Calculateur!AQ112*Calculateur!AS112*VLOOKUP('Données projet'!$B$10,Paramètres!$A$1:$I$89,3,0)*0.475*44/12</f>
        <v>12.450591520848816</v>
      </c>
      <c r="AW112" s="21">
        <f>EXP(-LN(2)/2)*AW111+(1-EXP(-LN(2)/2))/(LN(2)/2)*AQ112*AT112*VLOOKUP('Données projet'!$B$10,Paramètres!$A$1:$I$89,3,0)*0.475*44/12</f>
        <v>2.5271858471705138E-6</v>
      </c>
      <c r="AX112" s="21">
        <f t="shared" si="60"/>
        <v>65.07214628947699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6">
        <f t="shared" si="56"/>
        <v>509.73901751046503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8.8449999999999989</v>
      </c>
      <c r="N113" s="13">
        <f>IF('Données projet'!$A$36&gt;35,N112+M113-V112,IF(A113&lt;'Données projet'!$A$36,$K$205^A113,IF(A113='Données projet'!$A$36,'Données projet'!$B$36,N112+M113-V112)))</f>
        <v>389.18000000000063</v>
      </c>
      <c r="O113" s="13">
        <f>N113*VLOOKUP('Données projet'!$B$9,Paramètres!$A$1:$I$89,3,0)*VLOOKUP('Données projet'!$B$9,Paramètres!$A$1:$I$89,5,0)</f>
        <v>352.13006400000057</v>
      </c>
      <c r="P113" s="13">
        <f t="shared" si="87"/>
        <v>82.000958535583734</v>
      </c>
      <c r="Q113" s="20">
        <f t="shared" si="107"/>
        <v>756.11153091614267</v>
      </c>
      <c r="R113" s="59">
        <f t="shared" si="55"/>
        <v>1049.444864249476</v>
      </c>
      <c r="S113" s="59">
        <f ca="1">AVERAGE(OFFSET($R$3,0,0,'Données projet'!$E$9+1,1))-AVERAGE(OFFSET($H$3,0,0,'Données projet'!$E$9+1,1))</f>
        <v>422.10969295064359</v>
      </c>
      <c r="T113" s="59">
        <f t="shared" si="88"/>
        <v>184.04075143033037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29.387477255986074</v>
      </c>
      <c r="AA113" s="21">
        <f>EXP(-LN(2)/25)*AA112+(1-EXP(-LN(2)/25))/(LN(2)/25)*Calculateur!V113*Calculateur!X113*VLOOKUP('Données projet'!$B$9,Paramètres!$A$1:$I$89,3,0)*0.475*44/12</f>
        <v>22.882762832941054</v>
      </c>
      <c r="AB113" s="21">
        <f>EXP(-LN(2)/2)*AB112+(1-EXP(-LN(2)/2))/(LN(2)/2)*V113*Y113*VLOOKUP('Données projet'!$B$9,Paramètres!$A$1:$I$89,3,0)*0.475*44/12</f>
        <v>0.7284381747841554</v>
      </c>
      <c r="AC113" s="22">
        <f t="shared" si="57"/>
        <v>52.998678263711277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6.7984728957526396E-14</v>
      </c>
      <c r="AK113" s="13">
        <f t="shared" si="89"/>
        <v>1.0682447123141398E-12</v>
      </c>
      <c r="AL113" s="20">
        <f t="shared" si="58"/>
        <v>1.978932943548152E-12</v>
      </c>
      <c r="AM113" s="59">
        <f t="shared" si="59"/>
        <v>293.3333333333353</v>
      </c>
      <c r="AN113" s="59">
        <f ca="1">AVERAGE(OFFSET($AM$3,0,0,'Données projet'!$E$10+1,1))-AVERAGE(OFFSET($H$3,0,0,'Données projet'!$E$10+1,1))</f>
        <v>213.90220310357444</v>
      </c>
      <c r="AO113" s="59">
        <f t="shared" si="90"/>
        <v>209.61422409790703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51.589675697965298</v>
      </c>
      <c r="AV113" s="21">
        <f>EXP(-LN(2)/25)*AV112+(1-EXP(-LN(2)/25))/(LN(2)/25)*Calculateur!AQ113*Calculateur!AS113*VLOOKUP('Données projet'!$B$10,Paramètres!$A$1:$I$89,3,0)*0.475*44/12</f>
        <v>12.110129440963053</v>
      </c>
      <c r="AW113" s="21">
        <f>EXP(-LN(2)/2)*AW112+(1-EXP(-LN(2)/2))/(LN(2)/2)*AQ113*AT113*VLOOKUP('Données projet'!$B$10,Paramètres!$A$1:$I$89,3,0)*0.475*44/12</f>
        <v>1.7869902498529403E-6</v>
      </c>
      <c r="AX113" s="21">
        <f t="shared" si="60"/>
        <v>63.699806925918601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6">
        <f t="shared" si="56"/>
        <v>511.6574178131043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8.8449999999999989</v>
      </c>
      <c r="N114" s="13">
        <f>IF('Données projet'!$A$36&gt;35,N113+M114-V113,IF(A114&lt;'Données projet'!$A$36,$K$205^A114,IF(A114='Données projet'!$A$36,'Données projet'!$B$36,N113+M114-V113)))</f>
        <v>398.02500000000066</v>
      </c>
      <c r="O114" s="13">
        <f>N114*VLOOKUP('Données projet'!$B$9,Paramètres!$A$1:$I$89,3,0)*VLOOKUP('Données projet'!$B$9,Paramètres!$A$1:$I$89,5,0)</f>
        <v>360.13302000000061</v>
      </c>
      <c r="P114" s="13">
        <f t="shared" si="87"/>
        <v>83.645526906767415</v>
      </c>
      <c r="Q114" s="20">
        <f t="shared" si="107"/>
        <v>772.91430252928774</v>
      </c>
      <c r="R114" s="59">
        <f t="shared" si="55"/>
        <v>1066.2476358626211</v>
      </c>
      <c r="S114" s="59">
        <f ca="1">AVERAGE(OFFSET($R$3,0,0,'Données projet'!$E$9+1,1))-AVERAGE(OFFSET($H$3,0,0,'Données projet'!$E$9+1,1))</f>
        <v>422.10969295064359</v>
      </c>
      <c r="T114" s="59">
        <f t="shared" si="88"/>
        <v>184.04075143033037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28.811206751587406</v>
      </c>
      <c r="AA114" s="21">
        <f>EXP(-LN(2)/25)*AA113+(1-EXP(-LN(2)/25))/(LN(2)/25)*Calculateur!V114*Calculateur!X114*VLOOKUP('Données projet'!$B$9,Paramètres!$A$1:$I$89,3,0)*0.475*44/12</f>
        <v>22.257032479922085</v>
      </c>
      <c r="AB114" s="21">
        <f>EXP(-LN(2)/2)*AB113+(1-EXP(-LN(2)/2))/(LN(2)/2)*V114*Y114*VLOOKUP('Données projet'!$B$9,Paramètres!$A$1:$I$89,3,0)*0.475*44/12</f>
        <v>0.51508357306502783</v>
      </c>
      <c r="AC114" s="22">
        <f t="shared" si="57"/>
        <v>51.583322804574522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6.7984728957526396E-14</v>
      </c>
      <c r="AK114" s="13">
        <f t="shared" si="89"/>
        <v>1.0682447123141398E-12</v>
      </c>
      <c r="AL114" s="20">
        <f t="shared" si="58"/>
        <v>1.978932943548152E-12</v>
      </c>
      <c r="AM114" s="59">
        <f t="shared" si="59"/>
        <v>293.3333333333353</v>
      </c>
      <c r="AN114" s="59">
        <f ca="1">AVERAGE(OFFSET($AM$3,0,0,'Données projet'!$E$10+1,1))-AVERAGE(OFFSET($H$3,0,0,'Données projet'!$E$10+1,1))</f>
        <v>213.90220310357444</v>
      </c>
      <c r="AO114" s="59">
        <f t="shared" si="90"/>
        <v>209.61422409790703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50.578033624123307</v>
      </c>
      <c r="AV114" s="21">
        <f>EXP(-LN(2)/25)*AV113+(1-EXP(-LN(2)/25))/(LN(2)/25)*Calculateur!AQ114*Calculateur!AS114*VLOOKUP('Données projet'!$B$10,Paramètres!$A$1:$I$89,3,0)*0.475*44/12</f>
        <v>11.77897731455589</v>
      </c>
      <c r="AW114" s="21">
        <f>EXP(-LN(2)/2)*AW113+(1-EXP(-LN(2)/2))/(LN(2)/2)*AQ114*AT114*VLOOKUP('Données projet'!$B$10,Paramètres!$A$1:$I$89,3,0)*0.475*44/12</f>
        <v>1.2635929235852569E-6</v>
      </c>
      <c r="AX114" s="21">
        <f t="shared" si="60"/>
        <v>62.357012202272116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6">
        <f t="shared" si="56"/>
        <v>513.57543061719775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8.8449999999999989</v>
      </c>
      <c r="N115" s="13">
        <f>IF('Données projet'!$A$36&gt;35,N114+M115-V114,IF(A115&lt;'Données projet'!$A$36,$K$205^A115,IF(A115='Données projet'!$A$36,'Données projet'!$B$36,N114+M115-V114)))</f>
        <v>406.87000000000069</v>
      </c>
      <c r="O115" s="13">
        <f>N115*VLOOKUP('Données projet'!$B$9,Paramètres!$A$1:$I$89,3,0)*VLOOKUP('Données projet'!$B$9,Paramètres!$A$1:$I$89,5,0)</f>
        <v>368.1359760000006</v>
      </c>
      <c r="P115" s="13">
        <f t="shared" si="87"/>
        <v>85.285846455183602</v>
      </c>
      <c r="Q115" s="20">
        <f t="shared" si="107"/>
        <v>789.70967410944593</v>
      </c>
      <c r="R115" s="59">
        <f t="shared" si="55"/>
        <v>1083.0430074427793</v>
      </c>
      <c r="S115" s="59">
        <f ca="1">AVERAGE(OFFSET($R$3,0,0,'Données projet'!$E$9+1,1))-AVERAGE(OFFSET($H$3,0,0,'Données projet'!$E$9+1,1))</f>
        <v>422.10969295064359</v>
      </c>
      <c r="T115" s="59">
        <f t="shared" si="88"/>
        <v>184.04075143033037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28.246236560289695</v>
      </c>
      <c r="AA115" s="21">
        <f>EXP(-LN(2)/25)*AA114+(1-EXP(-LN(2)/25))/(LN(2)/25)*Calculateur!V115*Calculateur!X115*VLOOKUP('Données projet'!$B$9,Paramètres!$A$1:$I$89,3,0)*0.475*44/12</f>
        <v>21.648412756312148</v>
      </c>
      <c r="AB115" s="21">
        <f>EXP(-LN(2)/2)*AB114+(1-EXP(-LN(2)/2))/(LN(2)/2)*V115*Y115*VLOOKUP('Données projet'!$B$9,Paramètres!$A$1:$I$89,3,0)*0.475*44/12</f>
        <v>0.3642190873920777</v>
      </c>
      <c r="AC115" s="22">
        <f t="shared" si="57"/>
        <v>50.258868403993922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6.7984728957526396E-14</v>
      </c>
      <c r="AK115" s="13">
        <f t="shared" si="89"/>
        <v>1.0682447123141398E-12</v>
      </c>
      <c r="AL115" s="20">
        <f t="shared" si="58"/>
        <v>1.978932943548152E-12</v>
      </c>
      <c r="AM115" s="59">
        <f t="shared" si="59"/>
        <v>293.3333333333353</v>
      </c>
      <c r="AN115" s="59">
        <f ca="1">AVERAGE(OFFSET($AM$3,0,0,'Données projet'!$E$10+1,1))-AVERAGE(OFFSET($H$3,0,0,'Données projet'!$E$10+1,1))</f>
        <v>213.90220310357444</v>
      </c>
      <c r="AO115" s="59">
        <f t="shared" si="90"/>
        <v>209.61422409790703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49.586229234308618</v>
      </c>
      <c r="AV115" s="21">
        <f>EXP(-LN(2)/25)*AV114+(1-EXP(-LN(2)/25))/(LN(2)/25)*Calculateur!AQ115*Calculateur!AS115*VLOOKUP('Données projet'!$B$10,Paramètres!$A$1:$I$89,3,0)*0.475*44/12</f>
        <v>11.456880560459863</v>
      </c>
      <c r="AW115" s="21">
        <f>EXP(-LN(2)/2)*AW114+(1-EXP(-LN(2)/2))/(LN(2)/2)*AQ115*AT115*VLOOKUP('Données projet'!$B$10,Paramètres!$A$1:$I$89,3,0)*0.475*44/12</f>
        <v>8.9349512492647013E-7</v>
      </c>
      <c r="AX115" s="21">
        <f t="shared" si="60"/>
        <v>61.04311068826361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6">
        <f t="shared" si="56"/>
        <v>515.49305978337225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8.8449999999999989</v>
      </c>
      <c r="N116" s="13">
        <f>IF('Données projet'!$A$36&gt;35,N115+M116-V115,IF(A116&lt;'Données projet'!$A$36,$K$205^A116,IF(A116='Données projet'!$A$36,'Données projet'!$B$36,N115+M116-V115)))</f>
        <v>415.71500000000071</v>
      </c>
      <c r="O116" s="13">
        <f>N116*VLOOKUP('Données projet'!$B$9,Paramètres!$A$1:$I$89,3,0)*VLOOKUP('Données projet'!$B$9,Paramètres!$A$1:$I$89,5,0)</f>
        <v>376.13893200000064</v>
      </c>
      <c r="P116" s="13">
        <f t="shared" si="87"/>
        <v>86.922020183945492</v>
      </c>
      <c r="Q116" s="20">
        <f t="shared" si="107"/>
        <v>806.49782505370615</v>
      </c>
      <c r="R116" s="59">
        <f t="shared" si="55"/>
        <v>1099.8311583870395</v>
      </c>
      <c r="S116" s="59">
        <f ca="1">AVERAGE(OFFSET($R$3,0,0,'Données projet'!$E$9+1,1))-AVERAGE(OFFSET($H$3,0,0,'Données projet'!$E$9+1,1))</f>
        <v>422.10969295064359</v>
      </c>
      <c r="T116" s="59">
        <f t="shared" si="88"/>
        <v>184.04075143033037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27.692345089845542</v>
      </c>
      <c r="AA116" s="21">
        <f>EXP(-LN(2)/25)*AA115+(1-EXP(-LN(2)/25))/(LN(2)/25)*Calculateur!V116*Calculateur!X116*VLOOKUP('Données projet'!$B$9,Paramètres!$A$1:$I$89,3,0)*0.475*44/12</f>
        <v>21.056435771050243</v>
      </c>
      <c r="AB116" s="21">
        <f>EXP(-LN(2)/2)*AB115+(1-EXP(-LN(2)/2))/(LN(2)/2)*V116*Y116*VLOOKUP('Données projet'!$B$9,Paramètres!$A$1:$I$89,3,0)*0.475*44/12</f>
        <v>0.25754178653251392</v>
      </c>
      <c r="AC116" s="22">
        <f t="shared" si="57"/>
        <v>49.006322647428298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6.7984728957526396E-14</v>
      </c>
      <c r="AK116" s="13">
        <f t="shared" si="89"/>
        <v>1.0682447123141398E-12</v>
      </c>
      <c r="AL116" s="20">
        <f t="shared" si="58"/>
        <v>1.978932943548152E-12</v>
      </c>
      <c r="AM116" s="59">
        <f t="shared" si="59"/>
        <v>293.3333333333353</v>
      </c>
      <c r="AN116" s="59">
        <f ca="1">AVERAGE(OFFSET($AM$3,0,0,'Données projet'!$E$10+1,1))-AVERAGE(OFFSET($H$3,0,0,'Données projet'!$E$10+1,1))</f>
        <v>213.90220310357444</v>
      </c>
      <c r="AO116" s="59">
        <f t="shared" si="90"/>
        <v>209.61422409790703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48.613873523637253</v>
      </c>
      <c r="AV116" s="21">
        <f>EXP(-LN(2)/25)*AV115+(1-EXP(-LN(2)/25))/(LN(2)/25)*Calculateur!AQ116*Calculateur!AS116*VLOOKUP('Données projet'!$B$10,Paramètres!$A$1:$I$89,3,0)*0.475*44/12</f>
        <v>11.143591559042925</v>
      </c>
      <c r="AW116" s="21">
        <f>EXP(-LN(2)/2)*AW115+(1-EXP(-LN(2)/2))/(LN(2)/2)*AQ116*AT116*VLOOKUP('Données projet'!$B$10,Paramètres!$A$1:$I$89,3,0)*0.475*44/12</f>
        <v>6.3179646179262845E-7</v>
      </c>
      <c r="AX116" s="21">
        <f t="shared" si="60"/>
        <v>59.757465714476638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6">
        <f t="shared" si="56"/>
        <v>517.41030909998244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8.8449999999999989</v>
      </c>
      <c r="M117" s="12">
        <f t="array" ref="M117">INDEX(L:L,MIN(IF(ISNUMBER(L117:L313),ROW(L117:L313),"")))</f>
        <v>8.8449999999999989</v>
      </c>
      <c r="N117" s="13">
        <f>IF('Données projet'!$A$36&gt;35,N116+M117-V116,IF(A117&lt;'Données projet'!$A$36,$K$205^A117,IF(A117='Données projet'!$A$36,'Données projet'!$B$36,N116+M117-V116)))</f>
        <v>424.56000000000074</v>
      </c>
      <c r="O117" s="13">
        <f>N117*VLOOKUP('Données projet'!$B$9,Paramètres!$A$1:$I$89,3,0)*VLOOKUP('Données projet'!$B$9,Paramètres!$A$1:$I$89,5,0)</f>
        <v>384.14188800000068</v>
      </c>
      <c r="P117" s="13">
        <f t="shared" si="87"/>
        <v>88.554146462646884</v>
      </c>
      <c r="Q117" s="20">
        <f t="shared" si="107"/>
        <v>823.27892668911102</v>
      </c>
      <c r="R117" s="59">
        <f t="shared" si="55"/>
        <v>1116.6122600224444</v>
      </c>
      <c r="S117" s="59">
        <f ca="1">AVERAGE(OFFSET($R$3,0,0,'Données projet'!$E$9+1,1))-AVERAGE(OFFSET($H$3,0,0,'Données projet'!$E$9+1,1))</f>
        <v>422.10969295064359</v>
      </c>
      <c r="T117" s="59">
        <f t="shared" si="88"/>
        <v>184.04075143033037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61.860000000000014</v>
      </c>
      <c r="W117" s="16">
        <f>IF(ISNA(VLOOKUP(A117,'Données projet'!$A$35:$I$55,5,0)),0%,VLOOKUP(A117,'Données projet'!$A$35:$I$55,5,0)*VLOOKUP('Données projet'!$B$9,Paramètres!$A$1:$I$89,7,0))</f>
        <v>0.15049999999999999</v>
      </c>
      <c r="X117" s="16">
        <f>IF(ISNA(VLOOKUP(A117,'Données projet'!$A$35:$I$55,6,0)),0%,VLOOKUP(A117,'Données projet'!$A$35:$I$55,6,0)*VLOOKUP('Données projet'!$B$9,Paramètres!$A$1:$I$89,7,0))</f>
        <v>8.6000000000000007E-2</v>
      </c>
      <c r="Y117" s="16">
        <f>IF(ISNA(VLOOKUP(A117,'Données projet'!$A$35:$I$55,7,0)),0%,VLOOKUP(A117,'Données projet'!$A$35:$I$55,7,0))</f>
        <v>0.1</v>
      </c>
      <c r="Z117" s="21">
        <f>EXP(-LN(2)/35)*Z116+(1-EXP(-LN(2)/35))/(LN(2)/35)*V117*W117*VLOOKUP('Données projet'!$B$9,Paramètres!$A$1:$I$89,3,0)*0.475*44/12</f>
        <v>36.461382647651561</v>
      </c>
      <c r="AA117" s="21">
        <f>EXP(-LN(2)/25)*AA116+(1-EXP(-LN(2)/25))/(LN(2)/25)*Calculateur!V117*Calculateur!X117*VLOOKUP('Données projet'!$B$9,Paramètres!$A$1:$I$89,3,0)*0.475*44/12</f>
        <v>25.780876368276925</v>
      </c>
      <c r="AB117" s="21">
        <f>EXP(-LN(2)/2)*AB116+(1-EXP(-LN(2)/2))/(LN(2)/2)*V117*Y117*VLOOKUP('Données projet'!$B$9,Paramètres!$A$1:$I$89,3,0)*0.475*44/12</f>
        <v>5.4631172440400739</v>
      </c>
      <c r="AC117" s="22">
        <f t="shared" si="57"/>
        <v>67.70537625996856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6.7984728957526396E-14</v>
      </c>
      <c r="AK117" s="13">
        <f t="shared" si="89"/>
        <v>1.0682447123141398E-12</v>
      </c>
      <c r="AL117" s="20">
        <f t="shared" si="58"/>
        <v>1.978932943548152E-12</v>
      </c>
      <c r="AM117" s="59">
        <f t="shared" si="59"/>
        <v>293.3333333333353</v>
      </c>
      <c r="AN117" s="59">
        <f ca="1">AVERAGE(OFFSET($AM$3,0,0,'Données projet'!$E$10+1,1))-AVERAGE(OFFSET($H$3,0,0,'Données projet'!$E$10+1,1))</f>
        <v>213.90220310357444</v>
      </c>
      <c r="AO117" s="59">
        <f t="shared" si="90"/>
        <v>209.61422409790703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47.660585115373728</v>
      </c>
      <c r="AV117" s="21">
        <f>EXP(-LN(2)/25)*AV116+(1-EXP(-LN(2)/25))/(LN(2)/25)*Calculateur!AQ117*Calculateur!AS117*VLOOKUP('Données projet'!$B$10,Paramètres!$A$1:$I$89,3,0)*0.475*44/12</f>
        <v>10.838869461844885</v>
      </c>
      <c r="AW117" s="21">
        <f>EXP(-LN(2)/2)*AW116+(1-EXP(-LN(2)/2))/(LN(2)/2)*AQ117*AT117*VLOOKUP('Données projet'!$B$10,Paramètres!$A$1:$I$89,3,0)*0.475*44/12</f>
        <v>4.4674756246323506E-7</v>
      </c>
      <c r="AX117" s="21">
        <f t="shared" si="60"/>
        <v>58.499455023966178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6">
        <f t="shared" si="56"/>
        <v>519.32718228508566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8.9160000000000021</v>
      </c>
      <c r="N118" s="13">
        <f>IF('Données projet'!$A$36&gt;35,N117+M118-V117,IF(A118&lt;'Données projet'!$A$36,$K$205^A118,IF(A118='Données projet'!$A$36,'Données projet'!$B$36,N117+M118-V117)))</f>
        <v>371.61600000000072</v>
      </c>
      <c r="O118" s="13">
        <f>N118*VLOOKUP('Données projet'!$B$9,Paramètres!$A$1:$I$89,3,0)*VLOOKUP('Données projet'!$B$9,Paramètres!$A$1:$I$89,5,0)</f>
        <v>336.23815680000064</v>
      </c>
      <c r="P118" s="13">
        <f t="shared" si="87"/>
        <v>78.722223243612518</v>
      </c>
      <c r="Q118" s="20">
        <f t="shared" si="107"/>
        <v>722.72266190929292</v>
      </c>
      <c r="R118" s="59">
        <f t="shared" si="55"/>
        <v>1016.0559952426263</v>
      </c>
      <c r="S118" s="59">
        <f ca="1">AVERAGE(OFFSET($R$3,0,0,'Données projet'!$E$9+1,1))-AVERAGE(OFFSET($H$3,0,0,'Données projet'!$E$9+1,1))</f>
        <v>422.10969295064359</v>
      </c>
      <c r="T118" s="59">
        <f t="shared" si="88"/>
        <v>184.04075143033037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35.746397173178586</v>
      </c>
      <c r="AA118" s="21">
        <f>EXP(-LN(2)/25)*AA117+(1-EXP(-LN(2)/25))/(LN(2)/25)*Calculateur!V118*Calculateur!X118*VLOOKUP('Données projet'!$B$9,Paramètres!$A$1:$I$89,3,0)*0.475*44/12</f>
        <v>25.075896948229026</v>
      </c>
      <c r="AB118" s="21">
        <f>EXP(-LN(2)/2)*AB117+(1-EXP(-LN(2)/2))/(LN(2)/2)*V118*Y118*VLOOKUP('Données projet'!$B$9,Paramètres!$A$1:$I$89,3,0)*0.475*44/12</f>
        <v>3.8630072496778993</v>
      </c>
      <c r="AC118" s="22">
        <f t="shared" si="57"/>
        <v>64.685301371085501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6.7984728957526396E-14</v>
      </c>
      <c r="AK118" s="13">
        <f t="shared" si="89"/>
        <v>1.0682447123141398E-12</v>
      </c>
      <c r="AL118" s="20">
        <f t="shared" si="58"/>
        <v>1.978932943548152E-12</v>
      </c>
      <c r="AM118" s="59">
        <f t="shared" si="59"/>
        <v>293.3333333333353</v>
      </c>
      <c r="AN118" s="59">
        <f ca="1">AVERAGE(OFFSET($AM$3,0,0,'Données projet'!$E$10+1,1))-AVERAGE(OFFSET($H$3,0,0,'Données projet'!$E$10+1,1))</f>
        <v>213.90220310357444</v>
      </c>
      <c r="AO118" s="59">
        <f t="shared" si="90"/>
        <v>209.61422409790703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46.725990111347734</v>
      </c>
      <c r="AV118" s="21">
        <f>EXP(-LN(2)/25)*AV117+(1-EXP(-LN(2)/25))/(LN(2)/25)*Calculateur!AQ118*Calculateur!AS118*VLOOKUP('Données projet'!$B$10,Paramètres!$A$1:$I$89,3,0)*0.475*44/12</f>
        <v>10.542480006419364</v>
      </c>
      <c r="AW118" s="21">
        <f>EXP(-LN(2)/2)*AW117+(1-EXP(-LN(2)/2))/(LN(2)/2)*AQ118*AT118*VLOOKUP('Données projet'!$B$10,Paramètres!$A$1:$I$89,3,0)*0.475*44/12</f>
        <v>3.1589823089631423E-7</v>
      </c>
      <c r="AX118" s="21">
        <f t="shared" si="60"/>
        <v>57.268470433665328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6">
        <f t="shared" si="56"/>
        <v>521.24368298834622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8.9160000000000021</v>
      </c>
      <c r="N119" s="13">
        <f>IF('Données projet'!$A$36&gt;35,N118+M119-V118,IF(A119&lt;'Données projet'!$A$36,$K$205^A119,IF(A119='Données projet'!$A$36,'Données projet'!$B$36,N118+M119-V118)))</f>
        <v>380.53200000000072</v>
      </c>
      <c r="O119" s="13">
        <f>N119*VLOOKUP('Données projet'!$B$9,Paramètres!$A$1:$I$89,3,0)*VLOOKUP('Données projet'!$B$9,Paramètres!$A$1:$I$89,5,0)</f>
        <v>344.30535360000061</v>
      </c>
      <c r="P119" s="13">
        <f t="shared" si="87"/>
        <v>80.388807253544201</v>
      </c>
      <c r="Q119" s="20">
        <f t="shared" si="107"/>
        <v>739.67566348659057</v>
      </c>
      <c r="R119" s="59">
        <f t="shared" si="55"/>
        <v>1033.0089968199238</v>
      </c>
      <c r="S119" s="59">
        <f ca="1">AVERAGE(OFFSET($R$3,0,0,'Données projet'!$E$9+1,1))-AVERAGE(OFFSET($H$3,0,0,'Données projet'!$E$9+1,1))</f>
        <v>422.10969295064359</v>
      </c>
      <c r="T119" s="59">
        <f t="shared" si="88"/>
        <v>184.04075143033037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35.045432127761948</v>
      </c>
      <c r="AA119" s="21">
        <f>EXP(-LN(2)/25)*AA118+(1-EXP(-LN(2)/25))/(LN(2)/25)*Calculateur!V119*Calculateur!X119*VLOOKUP('Données projet'!$B$9,Paramètres!$A$1:$I$89,3,0)*0.475*44/12</f>
        <v>24.390195227495596</v>
      </c>
      <c r="AB119" s="21">
        <f>EXP(-LN(2)/2)*AB118+(1-EXP(-LN(2)/2))/(LN(2)/2)*V119*Y119*VLOOKUP('Données projet'!$B$9,Paramètres!$A$1:$I$89,3,0)*0.475*44/12</f>
        <v>2.7315586220200374</v>
      </c>
      <c r="AC119" s="22">
        <f t="shared" si="57"/>
        <v>62.167185977277583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6.7984728957526396E-14</v>
      </c>
      <c r="AK119" s="13">
        <f t="shared" si="89"/>
        <v>1.0682447123141398E-12</v>
      </c>
      <c r="AL119" s="20">
        <f t="shared" si="58"/>
        <v>1.978932943548152E-12</v>
      </c>
      <c r="AM119" s="59">
        <f t="shared" si="59"/>
        <v>293.3333333333353</v>
      </c>
      <c r="AN119" s="59">
        <f ca="1">AVERAGE(OFFSET($AM$3,0,0,'Données projet'!$E$10+1,1))-AVERAGE(OFFSET($H$3,0,0,'Données projet'!$E$10+1,1))</f>
        <v>213.90220310357444</v>
      </c>
      <c r="AO119" s="59">
        <f t="shared" si="90"/>
        <v>209.61422409790703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45.809721945304027</v>
      </c>
      <c r="AV119" s="21">
        <f>EXP(-LN(2)/25)*AV118+(1-EXP(-LN(2)/25))/(LN(2)/25)*Calculateur!AQ119*Calculateur!AS119*VLOOKUP('Données projet'!$B$10,Paramètres!$A$1:$I$89,3,0)*0.475*44/12</f>
        <v>10.254195336238897</v>
      </c>
      <c r="AW119" s="21">
        <f>EXP(-LN(2)/2)*AW118+(1-EXP(-LN(2)/2))/(LN(2)/2)*AQ119*AT119*VLOOKUP('Données projet'!$B$10,Paramètres!$A$1:$I$89,3,0)*0.475*44/12</f>
        <v>2.2337378123161753E-7</v>
      </c>
      <c r="AX119" s="21">
        <f t="shared" si="60"/>
        <v>56.063917504916709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6">
        <f t="shared" si="56"/>
        <v>523.15981479287188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8.9160000000000021</v>
      </c>
      <c r="N120" s="13">
        <f>IF('Données projet'!$A$36&gt;35,N119+M120-V119,IF(A120&lt;'Données projet'!$A$36,$K$205^A120,IF(A120='Données projet'!$A$36,'Données projet'!$B$36,N119+M120-V119)))</f>
        <v>389.44800000000072</v>
      </c>
      <c r="O120" s="13">
        <f>N120*VLOOKUP('Données projet'!$B$9,Paramètres!$A$1:$I$89,3,0)*VLOOKUP('Données projet'!$B$9,Paramètres!$A$1:$I$89,5,0)</f>
        <v>352.37255040000065</v>
      </c>
      <c r="P120" s="13">
        <f t="shared" si="87"/>
        <v>82.050851753476593</v>
      </c>
      <c r="Q120" s="20">
        <f t="shared" si="107"/>
        <v>756.62075875063954</v>
      </c>
      <c r="R120" s="59">
        <f t="shared" si="55"/>
        <v>1049.9540920839729</v>
      </c>
      <c r="S120" s="59">
        <f ca="1">AVERAGE(OFFSET($R$3,0,0,'Données projet'!$E$9+1,1))-AVERAGE(OFFSET($H$3,0,0,'Données projet'!$E$9+1,1))</f>
        <v>422.10969295064359</v>
      </c>
      <c r="T120" s="59">
        <f t="shared" si="88"/>
        <v>184.04075143033037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34.358212579339472</v>
      </c>
      <c r="AA120" s="21">
        <f>EXP(-LN(2)/25)*AA119+(1-EXP(-LN(2)/25))/(LN(2)/25)*Calculateur!V120*Calculateur!X120*VLOOKUP('Données projet'!$B$9,Paramètres!$A$1:$I$89,3,0)*0.475*44/12</f>
        <v>23.723244056375105</v>
      </c>
      <c r="AB120" s="21">
        <f>EXP(-LN(2)/2)*AB119+(1-EXP(-LN(2)/2))/(LN(2)/2)*V120*Y120*VLOOKUP('Données projet'!$B$9,Paramètres!$A$1:$I$89,3,0)*0.475*44/12</f>
        <v>1.9315036248389501</v>
      </c>
      <c r="AC120" s="22">
        <f t="shared" si="57"/>
        <v>60.012960260553527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6.7984728957526396E-14</v>
      </c>
      <c r="AK120" s="13">
        <f t="shared" si="89"/>
        <v>1.0682447123141398E-12</v>
      </c>
      <c r="AL120" s="20">
        <f t="shared" si="58"/>
        <v>1.978932943548152E-12</v>
      </c>
      <c r="AM120" s="59">
        <f t="shared" si="59"/>
        <v>293.3333333333353</v>
      </c>
      <c r="AN120" s="59">
        <f ca="1">AVERAGE(OFFSET($AM$3,0,0,'Données projet'!$E$10+1,1))-AVERAGE(OFFSET($H$3,0,0,'Données projet'!$E$10+1,1))</f>
        <v>213.90220310357444</v>
      </c>
      <c r="AO120" s="59">
        <f t="shared" si="90"/>
        <v>209.61422409790703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44.911421239128039</v>
      </c>
      <c r="AV120" s="21">
        <f>EXP(-LN(2)/25)*AV119+(1-EXP(-LN(2)/25))/(LN(2)/25)*Calculateur!AQ120*Calculateur!AS120*VLOOKUP('Données projet'!$B$10,Paramètres!$A$1:$I$89,3,0)*0.475*44/12</f>
        <v>9.9737938255247478</v>
      </c>
      <c r="AW120" s="21">
        <f>EXP(-LN(2)/2)*AW119+(1-EXP(-LN(2)/2))/(LN(2)/2)*AQ120*AT120*VLOOKUP('Données projet'!$B$10,Paramètres!$A$1:$I$89,3,0)*0.475*44/12</f>
        <v>1.5794911544815711E-7</v>
      </c>
      <c r="AX120" s="21">
        <f t="shared" si="60"/>
        <v>54.8852152226019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6">
        <f t="shared" si="56"/>
        <v>525.07558121698594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8.9160000000000021</v>
      </c>
      <c r="N121" s="13">
        <f>IF('Données projet'!$A$36&gt;35,N120+M121-V120,IF(A121&lt;'Données projet'!$A$36,$K$205^A121,IF(A121='Données projet'!$A$36,'Données projet'!$B$36,N120+M121-V120)))</f>
        <v>398.36400000000071</v>
      </c>
      <c r="O121" s="13">
        <f>N121*VLOOKUP('Données projet'!$B$9,Paramètres!$A$1:$I$89,3,0)*VLOOKUP('Données projet'!$B$9,Paramètres!$A$1:$I$89,5,0)</f>
        <v>360.43974720000062</v>
      </c>
      <c r="P121" s="13">
        <f t="shared" si="87"/>
        <v>83.708472633827739</v>
      </c>
      <c r="Q121" s="20">
        <f t="shared" si="107"/>
        <v>773.55814954391769</v>
      </c>
      <c r="R121" s="59">
        <f t="shared" si="55"/>
        <v>1066.8914828772511</v>
      </c>
      <c r="S121" s="59">
        <f ca="1">AVERAGE(OFFSET($R$3,0,0,'Données projet'!$E$9+1,1))-AVERAGE(OFFSET($H$3,0,0,'Données projet'!$E$9+1,1))</f>
        <v>422.10969295064359</v>
      </c>
      <c r="T121" s="59">
        <f t="shared" si="88"/>
        <v>184.04075143033037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33.684468987099024</v>
      </c>
      <c r="AA121" s="21">
        <f>EXP(-LN(2)/25)*AA120+(1-EXP(-LN(2)/25))/(LN(2)/25)*Calculateur!V121*Calculateur!X121*VLOOKUP('Données projet'!$B$9,Paramètres!$A$1:$I$89,3,0)*0.475*44/12</f>
        <v>23.074530700102343</v>
      </c>
      <c r="AB121" s="21">
        <f>EXP(-LN(2)/2)*AB120+(1-EXP(-LN(2)/2))/(LN(2)/2)*V121*Y121*VLOOKUP('Données projet'!$B$9,Paramètres!$A$1:$I$89,3,0)*0.475*44/12</f>
        <v>1.3657793110100189</v>
      </c>
      <c r="AC121" s="22">
        <f t="shared" si="57"/>
        <v>58.124778998211383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6.7984728957526396E-14</v>
      </c>
      <c r="AK121" s="13">
        <f t="shared" si="89"/>
        <v>1.0682447123141398E-12</v>
      </c>
      <c r="AL121" s="20">
        <f t="shared" si="58"/>
        <v>1.978932943548152E-12</v>
      </c>
      <c r="AM121" s="59">
        <f t="shared" si="59"/>
        <v>293.3333333333353</v>
      </c>
      <c r="AN121" s="59">
        <f ca="1">AVERAGE(OFFSET($AM$3,0,0,'Données projet'!$E$10+1,1))-AVERAGE(OFFSET($H$3,0,0,'Données projet'!$E$10+1,1))</f>
        <v>213.90220310357444</v>
      </c>
      <c r="AO121" s="59">
        <f t="shared" si="90"/>
        <v>209.61422409790703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44.030735661890837</v>
      </c>
      <c r="AV121" s="21">
        <f>EXP(-LN(2)/25)*AV120+(1-EXP(-LN(2)/25))/(LN(2)/25)*Calculateur!AQ121*Calculateur!AS121*VLOOKUP('Données projet'!$B$10,Paramètres!$A$1:$I$89,3,0)*0.475*44/12</f>
        <v>9.7010599088667515</v>
      </c>
      <c r="AW121" s="21">
        <f>EXP(-LN(2)/2)*AW120+(1-EXP(-LN(2)/2))/(LN(2)/2)*AQ121*AT121*VLOOKUP('Données projet'!$B$10,Paramètres!$A$1:$I$89,3,0)*0.475*44/12</f>
        <v>1.1168689061580877E-7</v>
      </c>
      <c r="AX121" s="21">
        <f t="shared" si="60"/>
        <v>53.731795682444478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6">
        <f t="shared" si="56"/>
        <v>526.9909857159372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8.9160000000000021</v>
      </c>
      <c r="N122" s="13">
        <f>IF('Données projet'!$A$36&gt;35,N121+M122-V121,IF(A122&lt;'Données projet'!$A$36,$K$205^A122,IF(A122='Données projet'!$A$36,'Données projet'!$B$36,N121+M122-V121)))</f>
        <v>407.28000000000071</v>
      </c>
      <c r="O122" s="13">
        <f>N122*VLOOKUP('Données projet'!$B$9,Paramètres!$A$1:$I$89,3,0)*VLOOKUP('Données projet'!$B$9,Paramètres!$A$1:$I$89,5,0)</f>
        <v>368.5069440000006</v>
      </c>
      <c r="P122" s="13">
        <f t="shared" si="87"/>
        <v>85.361780301252097</v>
      </c>
      <c r="Q122" s="20">
        <f t="shared" si="107"/>
        <v>790.48802815801503</v>
      </c>
      <c r="R122" s="59">
        <f t="shared" si="55"/>
        <v>1083.8213614913484</v>
      </c>
      <c r="S122" s="59">
        <f ca="1">AVERAGE(OFFSET($R$3,0,0,'Données projet'!$E$9+1,1))-AVERAGE(OFFSET($H$3,0,0,'Données projet'!$E$9+1,1))</f>
        <v>422.10969295064359</v>
      </c>
      <c r="T122" s="59">
        <f t="shared" si="88"/>
        <v>184.04075143033037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33.023937095759393</v>
      </c>
      <c r="AA122" s="21">
        <f>EXP(-LN(2)/25)*AA121+(1-EXP(-LN(2)/25))/(LN(2)/25)*Calculateur!V122*Calculateur!X122*VLOOKUP('Données projet'!$B$9,Paramètres!$A$1:$I$89,3,0)*0.475*44/12</f>
        <v>22.443556444671213</v>
      </c>
      <c r="AB122" s="21">
        <f>EXP(-LN(2)/2)*AB121+(1-EXP(-LN(2)/2))/(LN(2)/2)*V122*Y122*VLOOKUP('Données projet'!$B$9,Paramètres!$A$1:$I$89,3,0)*0.475*44/12</f>
        <v>0.96575181241947516</v>
      </c>
      <c r="AC122" s="22">
        <f t="shared" si="57"/>
        <v>56.433245352850086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6.7984728957526396E-14</v>
      </c>
      <c r="AK122" s="13">
        <f t="shared" si="89"/>
        <v>1.0682447123141398E-12</v>
      </c>
      <c r="AL122" s="20">
        <f t="shared" si="58"/>
        <v>1.978932943548152E-12</v>
      </c>
      <c r="AM122" s="59">
        <f t="shared" si="59"/>
        <v>293.3333333333353</v>
      </c>
      <c r="AN122" s="59">
        <f ca="1">AVERAGE(OFFSET($AM$3,0,0,'Données projet'!$E$10+1,1))-AVERAGE(OFFSET($H$3,0,0,'Données projet'!$E$10+1,1))</f>
        <v>213.90220310357444</v>
      </c>
      <c r="AO122" s="59">
        <f t="shared" si="90"/>
        <v>209.61422409790703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43.167319791658095</v>
      </c>
      <c r="AV122" s="21">
        <f>EXP(-LN(2)/25)*AV121+(1-EXP(-LN(2)/25))/(LN(2)/25)*Calculateur!AQ122*Calculateur!AS122*VLOOKUP('Données projet'!$B$10,Paramètres!$A$1:$I$89,3,0)*0.475*44/12</f>
        <v>9.4357839155022223</v>
      </c>
      <c r="AW122" s="21">
        <f>EXP(-LN(2)/2)*AW121+(1-EXP(-LN(2)/2))/(LN(2)/2)*AQ122*AT122*VLOOKUP('Données projet'!$B$10,Paramètres!$A$1:$I$89,3,0)*0.475*44/12</f>
        <v>7.8974557724078556E-8</v>
      </c>
      <c r="AX122" s="21">
        <f t="shared" si="60"/>
        <v>52.603103786134874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6">
        <f t="shared" si="56"/>
        <v>528.90603168355119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8.9160000000000021</v>
      </c>
      <c r="N123" s="13">
        <f>IF('Données projet'!$A$36&gt;35,N122+M123-V122,IF(A123&lt;'Données projet'!$A$36,$K$205^A123,IF(A123='Données projet'!$A$36,'Données projet'!$B$36,N122+M123-V122)))</f>
        <v>416.19600000000071</v>
      </c>
      <c r="O123" s="13">
        <f>N123*VLOOKUP('Données projet'!$B$9,Paramètres!$A$1:$I$89,3,0)*VLOOKUP('Données projet'!$B$9,Paramètres!$A$1:$I$89,5,0)</f>
        <v>376.57414080000063</v>
      </c>
      <c r="P123" s="13">
        <f t="shared" si="87"/>
        <v>87.010880052402811</v>
      </c>
      <c r="Q123" s="20">
        <f t="shared" si="107"/>
        <v>807.41057798460258</v>
      </c>
      <c r="R123" s="59">
        <f t="shared" si="55"/>
        <v>1100.743911317936</v>
      </c>
      <c r="S123" s="59">
        <f ca="1">AVERAGE(OFFSET($R$3,0,0,'Données projet'!$E$9+1,1))-AVERAGE(OFFSET($H$3,0,0,'Données projet'!$E$9+1,1))</f>
        <v>422.10969295064359</v>
      </c>
      <c r="T123" s="59">
        <f t="shared" si="88"/>
        <v>184.04075143033037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32.37635783192426</v>
      </c>
      <c r="AA123" s="21">
        <f>EXP(-LN(2)/25)*AA122+(1-EXP(-LN(2)/25))/(LN(2)/25)*Calculateur!V123*Calculateur!X123*VLOOKUP('Données projet'!$B$9,Paramètres!$A$1:$I$89,3,0)*0.475*44/12</f>
        <v>21.829836213436341</v>
      </c>
      <c r="AB123" s="21">
        <f>EXP(-LN(2)/2)*AB122+(1-EXP(-LN(2)/2))/(LN(2)/2)*V123*Y123*VLOOKUP('Données projet'!$B$9,Paramètres!$A$1:$I$89,3,0)*0.475*44/12</f>
        <v>0.68288965550500957</v>
      </c>
      <c r="AC123" s="22">
        <f t="shared" si="57"/>
        <v>54.889083700865612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6.7984728957526396E-14</v>
      </c>
      <c r="AK123" s="13">
        <f t="shared" si="89"/>
        <v>1.0682447123141398E-12</v>
      </c>
      <c r="AL123" s="20">
        <f t="shared" si="58"/>
        <v>1.978932943548152E-12</v>
      </c>
      <c r="AM123" s="59">
        <f t="shared" si="59"/>
        <v>293.3333333333353</v>
      </c>
      <c r="AN123" s="59">
        <f ca="1">AVERAGE(OFFSET($AM$3,0,0,'Données projet'!$E$10+1,1))-AVERAGE(OFFSET($H$3,0,0,'Données projet'!$E$10+1,1))</f>
        <v>213.90220310357444</v>
      </c>
      <c r="AO123" s="59">
        <f t="shared" si="90"/>
        <v>209.61422409790703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42.320834980008932</v>
      </c>
      <c r="AV123" s="21">
        <f>EXP(-LN(2)/25)*AV122+(1-EXP(-LN(2)/25))/(LN(2)/25)*Calculateur!AQ123*Calculateur!AS123*VLOOKUP('Données projet'!$B$10,Paramètres!$A$1:$I$89,3,0)*0.475*44/12</f>
        <v>9.1777619081265041</v>
      </c>
      <c r="AW123" s="21">
        <f>EXP(-LN(2)/2)*AW122+(1-EXP(-LN(2)/2))/(LN(2)/2)*AQ123*AT123*VLOOKUP('Données projet'!$B$10,Paramètres!$A$1:$I$89,3,0)*0.475*44/12</f>
        <v>5.5843445307904383E-8</v>
      </c>
      <c r="AX123" s="21">
        <f t="shared" si="60"/>
        <v>51.498596943978882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6">
        <f t="shared" si="56"/>
        <v>530.8207224538246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8.9160000000000021</v>
      </c>
      <c r="N124" s="13">
        <f>IF('Données projet'!$A$36&gt;35,N123+M124-V123,IF(A124&lt;'Données projet'!$A$36,$K$205^A124,IF(A124='Données projet'!$A$36,'Données projet'!$B$36,N123+M124-V123)))</f>
        <v>425.11200000000071</v>
      </c>
      <c r="O124" s="13">
        <f>N124*VLOOKUP('Données projet'!$B$9,Paramètres!$A$1:$I$89,3,0)*VLOOKUP('Données projet'!$B$9,Paramètres!$A$1:$I$89,5,0)</f>
        <v>384.64133760000061</v>
      </c>
      <c r="P124" s="13">
        <f t="shared" si="87"/>
        <v>88.65587241476193</v>
      </c>
      <c r="Q124" s="20">
        <f t="shared" si="107"/>
        <v>824.32597410904464</v>
      </c>
      <c r="R124" s="59">
        <f t="shared" si="55"/>
        <v>1117.6593074423779</v>
      </c>
      <c r="S124" s="59">
        <f ca="1">AVERAGE(OFFSET($R$3,0,0,'Données projet'!$E$9+1,1))-AVERAGE(OFFSET($H$3,0,0,'Données projet'!$E$9+1,1))</f>
        <v>422.10969295064359</v>
      </c>
      <c r="T124" s="59">
        <f t="shared" si="88"/>
        <v>184.04075143033037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31.741477202468587</v>
      </c>
      <c r="AA124" s="21">
        <f>EXP(-LN(2)/25)*AA123+(1-EXP(-LN(2)/25))/(LN(2)/25)*Calculateur!V124*Calculateur!X124*VLOOKUP('Données projet'!$B$9,Paramètres!$A$1:$I$89,3,0)*0.475*44/12</f>
        <v>21.232898194198729</v>
      </c>
      <c r="AB124" s="21">
        <f>EXP(-LN(2)/2)*AB123+(1-EXP(-LN(2)/2))/(LN(2)/2)*V124*Y124*VLOOKUP('Données projet'!$B$9,Paramètres!$A$1:$I$89,3,0)*0.475*44/12</f>
        <v>0.48287590620973764</v>
      </c>
      <c r="AC124" s="22">
        <f t="shared" si="57"/>
        <v>53.457251302877047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6.7984728957526396E-14</v>
      </c>
      <c r="AK124" s="13">
        <f t="shared" si="89"/>
        <v>1.0682447123141398E-12</v>
      </c>
      <c r="AL124" s="20">
        <f t="shared" si="58"/>
        <v>1.978932943548152E-12</v>
      </c>
      <c r="AM124" s="59">
        <f t="shared" si="59"/>
        <v>293.3333333333353</v>
      </c>
      <c r="AN124" s="59">
        <f ca="1">AVERAGE(OFFSET($AM$3,0,0,'Données projet'!$E$10+1,1))-AVERAGE(OFFSET($H$3,0,0,'Données projet'!$E$10+1,1))</f>
        <v>213.90220310357444</v>
      </c>
      <c r="AO124" s="59">
        <f t="shared" si="90"/>
        <v>209.61422409790703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41.490949219211458</v>
      </c>
      <c r="AV124" s="21">
        <f>EXP(-LN(2)/25)*AV123+(1-EXP(-LN(2)/25))/(LN(2)/25)*Calculateur!AQ124*Calculateur!AS124*VLOOKUP('Données projet'!$B$10,Paramètres!$A$1:$I$89,3,0)*0.475*44/12</f>
        <v>8.9267955261112615</v>
      </c>
      <c r="AW124" s="21">
        <f>EXP(-LN(2)/2)*AW123+(1-EXP(-LN(2)/2))/(LN(2)/2)*AQ124*AT124*VLOOKUP('Données projet'!$B$10,Paramètres!$A$1:$I$89,3,0)*0.475*44/12</f>
        <v>3.9487278862039278E-8</v>
      </c>
      <c r="AX124" s="21">
        <f t="shared" si="60"/>
        <v>50.417744784809997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6">
        <f t="shared" si="56"/>
        <v>532.73506130246597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8.9160000000000021</v>
      </c>
      <c r="N125" s="13">
        <f>IF('Données projet'!$A$36&gt;35,N124+M125-V124,IF(A125&lt;'Données projet'!$A$36,$K$205^A125,IF(A125='Données projet'!$A$36,'Données projet'!$B$36,N124+M125-V124)))</f>
        <v>434.0280000000007</v>
      </c>
      <c r="O125" s="13">
        <f>N125*VLOOKUP('Données projet'!$B$9,Paramètres!$A$1:$I$89,3,0)*VLOOKUP('Données projet'!$B$9,Paramètres!$A$1:$I$89,5,0)</f>
        <v>392.70853440000059</v>
      </c>
      <c r="P125" s="13">
        <f t="shared" si="87"/>
        <v>90.296853458070288</v>
      </c>
      <c r="Q125" s="20">
        <f t="shared" si="107"/>
        <v>841.23438385280679</v>
      </c>
      <c r="R125" s="59">
        <f t="shared" si="55"/>
        <v>1134.56771718614</v>
      </c>
      <c r="S125" s="59">
        <f ca="1">AVERAGE(OFFSET($R$3,0,0,'Données projet'!$E$9+1,1))-AVERAGE(OFFSET($H$3,0,0,'Données projet'!$E$9+1,1))</f>
        <v>422.10969295064359</v>
      </c>
      <c r="T125" s="59">
        <f t="shared" si="88"/>
        <v>184.04075143033037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31.11904619491759</v>
      </c>
      <c r="AA125" s="21">
        <f>EXP(-LN(2)/25)*AA124+(1-EXP(-LN(2)/25))/(LN(2)/25)*Calculateur!V125*Calculateur!X125*VLOOKUP('Données projet'!$B$9,Paramètres!$A$1:$I$89,3,0)*0.475*44/12</f>
        <v>20.652283476488776</v>
      </c>
      <c r="AB125" s="21">
        <f>EXP(-LN(2)/2)*AB124+(1-EXP(-LN(2)/2))/(LN(2)/2)*V125*Y125*VLOOKUP('Données projet'!$B$9,Paramètres!$A$1:$I$89,3,0)*0.475*44/12</f>
        <v>0.34144482775250484</v>
      </c>
      <c r="AC125" s="22">
        <f t="shared" si="57"/>
        <v>52.112774499158867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6.7984728957526396E-14</v>
      </c>
      <c r="AK125" s="13">
        <f t="shared" si="89"/>
        <v>1.0682447123141398E-12</v>
      </c>
      <c r="AL125" s="20">
        <f t="shared" si="58"/>
        <v>1.978932943548152E-12</v>
      </c>
      <c r="AM125" s="59">
        <f t="shared" si="59"/>
        <v>293.3333333333353</v>
      </c>
      <c r="AN125" s="59">
        <f ca="1">AVERAGE(OFFSET($AM$3,0,0,'Données projet'!$E$10+1,1))-AVERAGE(OFFSET($H$3,0,0,'Données projet'!$E$10+1,1))</f>
        <v>213.90220310357444</v>
      </c>
      <c r="AO125" s="59">
        <f t="shared" si="90"/>
        <v>209.61422409790703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40.677337012002887</v>
      </c>
      <c r="AV125" s="21">
        <f>EXP(-LN(2)/25)*AV124+(1-EXP(-LN(2)/25))/(LN(2)/25)*Calculateur!AQ125*Calculateur!AS125*VLOOKUP('Données projet'!$B$10,Paramètres!$A$1:$I$89,3,0)*0.475*44/12</f>
        <v>8.682691833009974</v>
      </c>
      <c r="AW125" s="21">
        <f>EXP(-LN(2)/2)*AW124+(1-EXP(-LN(2)/2))/(LN(2)/2)*AQ125*AT125*VLOOKUP('Données projet'!$B$10,Paramètres!$A$1:$I$89,3,0)*0.475*44/12</f>
        <v>2.7921722653952191E-8</v>
      </c>
      <c r="AX125" s="21">
        <f t="shared" si="60"/>
        <v>49.360028872934585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6">
        <f t="shared" si="56"/>
        <v>534.64905144838292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8.9160000000000021</v>
      </c>
      <c r="N126" s="13">
        <f>IF('Données projet'!$A$36&gt;35,N125+M126-V125,IF(A126&lt;'Données projet'!$A$36,$K$205^A126,IF(A126='Données projet'!$A$36,'Données projet'!$B$36,N125+M126-V125)))</f>
        <v>442.9440000000007</v>
      </c>
      <c r="O126" s="13">
        <f>N126*VLOOKUP('Données projet'!$B$9,Paramètres!$A$1:$I$89,3,0)*VLOOKUP('Données projet'!$B$9,Paramètres!$A$1:$I$89,5,0)</f>
        <v>400.77573120000062</v>
      </c>
      <c r="P126" s="13">
        <f t="shared" si="87"/>
        <v>91.933915079444887</v>
      </c>
      <c r="Q126" s="20">
        <f t="shared" si="107"/>
        <v>858.13596727003414</v>
      </c>
      <c r="R126" s="59">
        <f t="shared" si="55"/>
        <v>1151.4693006033674</v>
      </c>
      <c r="S126" s="59">
        <f ca="1">AVERAGE(OFFSET($R$3,0,0,'Données projet'!$E$9+1,1))-AVERAGE(OFFSET($H$3,0,0,'Données projet'!$E$9+1,1))</f>
        <v>422.10969295064359</v>
      </c>
      <c r="T126" s="59">
        <f t="shared" si="88"/>
        <v>184.04075143033037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30.508820679779241</v>
      </c>
      <c r="AA126" s="21">
        <f>EXP(-LN(2)/25)*AA125+(1-EXP(-LN(2)/25))/(LN(2)/25)*Calculateur!V126*Calculateur!X126*VLOOKUP('Données projet'!$B$9,Paramètres!$A$1:$I$89,3,0)*0.475*44/12</f>
        <v>20.087545698767805</v>
      </c>
      <c r="AB126" s="21">
        <f>EXP(-LN(2)/2)*AB125+(1-EXP(-LN(2)/2))/(LN(2)/2)*V126*Y126*VLOOKUP('Données projet'!$B$9,Paramètres!$A$1:$I$89,3,0)*0.475*44/12</f>
        <v>0.24143795310486887</v>
      </c>
      <c r="AC126" s="22">
        <f t="shared" si="57"/>
        <v>50.837804331651917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6.7984728957526396E-14</v>
      </c>
      <c r="AK126" s="13">
        <f t="shared" si="89"/>
        <v>1.0682447123141398E-12</v>
      </c>
      <c r="AL126" s="20">
        <f t="shared" si="58"/>
        <v>1.978932943548152E-12</v>
      </c>
      <c r="AM126" s="59">
        <f t="shared" si="59"/>
        <v>293.3333333333353</v>
      </c>
      <c r="AN126" s="59">
        <f ca="1">AVERAGE(OFFSET($AM$3,0,0,'Données projet'!$E$10+1,1))-AVERAGE(OFFSET($H$3,0,0,'Données projet'!$E$10+1,1))</f>
        <v>213.90220310357444</v>
      </c>
      <c r="AO126" s="59">
        <f t="shared" si="90"/>
        <v>209.61422409790703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39.879679243923235</v>
      </c>
      <c r="AV126" s="21">
        <f>EXP(-LN(2)/25)*AV125+(1-EXP(-LN(2)/25))/(LN(2)/25)*Calculateur!AQ126*Calculateur!AS126*VLOOKUP('Données projet'!$B$10,Paramètres!$A$1:$I$89,3,0)*0.475*44/12</f>
        <v>8.4452631682333976</v>
      </c>
      <c r="AW126" s="21">
        <f>EXP(-LN(2)/2)*AW125+(1-EXP(-LN(2)/2))/(LN(2)/2)*AQ126*AT126*VLOOKUP('Données projet'!$B$10,Paramètres!$A$1:$I$89,3,0)*0.475*44/12</f>
        <v>1.9743639431019639E-8</v>
      </c>
      <c r="AX126" s="21">
        <f t="shared" si="60"/>
        <v>48.324942431900269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6">
        <f t="shared" si="56"/>
        <v>536.56269605512193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8.9160000000000021</v>
      </c>
      <c r="M127" s="12">
        <f t="array" ref="M127">INDEX(L:L,MIN(IF(ISNUMBER(L127:L323),ROW(L127:L323),"")))</f>
        <v>8.9160000000000021</v>
      </c>
      <c r="N127" s="13">
        <f>IF('Données projet'!$A$36&gt;35,N126+M127-V126,IF(A127&lt;'Données projet'!$A$36,$K$205^A127,IF(A127='Données projet'!$A$36,'Données projet'!$B$36,N126+M127-V126)))</f>
        <v>451.8600000000007</v>
      </c>
      <c r="O127" s="13">
        <f>N127*VLOOKUP('Données projet'!$B$9,Paramètres!$A$1:$I$89,3,0)*VLOOKUP('Données projet'!$B$9,Paramètres!$A$1:$I$89,5,0)</f>
        <v>408.84292800000065</v>
      </c>
      <c r="P127" s="13">
        <f t="shared" si="87"/>
        <v>93.567145264891295</v>
      </c>
      <c r="Q127" s="20">
        <f t="shared" si="107"/>
        <v>875.03087760302014</v>
      </c>
      <c r="R127" s="59">
        <f t="shared" si="55"/>
        <v>1168.3642109363534</v>
      </c>
      <c r="S127" s="59">
        <f ca="1">AVERAGE(OFFSET($R$3,0,0,'Données projet'!$E$9+1,1))-AVERAGE(OFFSET($H$3,0,0,'Données projet'!$E$9+1,1))</f>
        <v>422.10969295064359</v>
      </c>
      <c r="T127" s="59">
        <f t="shared" si="88"/>
        <v>184.04075143033037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57.81</v>
      </c>
      <c r="W127" s="16">
        <f>IF(ISNA(VLOOKUP(A127,'Données projet'!$A$35:$I$55,5,0)),0%,VLOOKUP(A127,'Données projet'!$A$35:$I$55,5,0)*VLOOKUP('Données projet'!$B$9,Paramètres!$A$1:$I$89,7,0))</f>
        <v>0.15049999999999999</v>
      </c>
      <c r="X127" s="16">
        <f>IF(ISNA(VLOOKUP(A127,'Données projet'!$A$35:$I$55,6,0)),0%,VLOOKUP(A127,'Données projet'!$A$35:$I$55,6,0)*VLOOKUP('Données projet'!$B$9,Paramètres!$A$1:$I$89,7,0))</f>
        <v>8.6000000000000007E-2</v>
      </c>
      <c r="Y127" s="16">
        <f>IF(ISNA(VLOOKUP(A127,'Données projet'!$A$35:$I$55,7,0)),0%,VLOOKUP(A127,'Données projet'!$A$35:$I$55,7,0))</f>
        <v>0.1</v>
      </c>
      <c r="Z127" s="21">
        <f>EXP(-LN(2)/35)*Z126+(1-EXP(-LN(2)/35))/(LN(2)/35)*V127*W127*VLOOKUP('Données projet'!$B$9,Paramètres!$A$1:$I$89,3,0)*0.475*44/12</f>
        <v>38.612963922572</v>
      </c>
      <c r="AA127" s="21">
        <f>EXP(-LN(2)/25)*AA126+(1-EXP(-LN(2)/25))/(LN(2)/25)*Calculateur!V127*Calculateur!X127*VLOOKUP('Données projet'!$B$9,Paramètres!$A$1:$I$89,3,0)*0.475*44/12</f>
        <v>24.491472381184234</v>
      </c>
      <c r="AB127" s="21">
        <f>EXP(-LN(2)/2)*AB126+(1-EXP(-LN(2)/2))/(LN(2)/2)*V127*Y127*VLOOKUP('Données projet'!$B$9,Paramètres!$A$1:$I$89,3,0)*0.475*44/12</f>
        <v>5.1059803375246293</v>
      </c>
      <c r="AC127" s="22">
        <f t="shared" si="57"/>
        <v>68.210416641280858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6.7984728957526396E-14</v>
      </c>
      <c r="AK127" s="13">
        <f t="shared" si="89"/>
        <v>1.0682447123141398E-12</v>
      </c>
      <c r="AL127" s="20">
        <f t="shared" si="58"/>
        <v>1.978932943548152E-12</v>
      </c>
      <c r="AM127" s="59">
        <f t="shared" si="59"/>
        <v>293.3333333333353</v>
      </c>
      <c r="AN127" s="59">
        <f ca="1">AVERAGE(OFFSET($AM$3,0,0,'Données projet'!$E$10+1,1))-AVERAGE(OFFSET($H$3,0,0,'Données projet'!$E$10+1,1))</f>
        <v>213.90220310357444</v>
      </c>
      <c r="AO127" s="59">
        <f t="shared" si="90"/>
        <v>209.61422409790703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39.09766305815242</v>
      </c>
      <c r="AV127" s="21">
        <f>EXP(-LN(2)/25)*AV126+(1-EXP(-LN(2)/25))/(LN(2)/25)*Calculateur!AQ127*Calculateur!AS127*VLOOKUP('Données projet'!$B$10,Paramètres!$A$1:$I$89,3,0)*0.475*44/12</f>
        <v>8.2143270027809674</v>
      </c>
      <c r="AW127" s="21">
        <f>EXP(-LN(2)/2)*AW126+(1-EXP(-LN(2)/2))/(LN(2)/2)*AQ127*AT127*VLOOKUP('Données projet'!$B$10,Paramètres!$A$1:$I$89,3,0)*0.475*44/12</f>
        <v>1.3960861326976096E-8</v>
      </c>
      <c r="AX127" s="21">
        <f t="shared" si="60"/>
        <v>47.311990074894254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6">
        <f t="shared" si="56"/>
        <v>538.47599823225801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9.0229999999999961</v>
      </c>
      <c r="N128" s="13">
        <f>IF('Données projet'!$A$36&gt;35,N127+M128-V127,IF(A128&lt;'Données projet'!$A$36,$K$205^A128,IF(A128='Données projet'!$A$36,'Données projet'!$B$36,N127+M128-V127)))</f>
        <v>403.07300000000072</v>
      </c>
      <c r="O128" s="13">
        <f>N128*VLOOKUP('Données projet'!$B$9,Paramètres!$A$1:$I$89,3,0)*VLOOKUP('Données projet'!$B$9,Paramètres!$A$1:$I$89,5,0)</f>
        <v>364.70045040000065</v>
      </c>
      <c r="P128" s="13">
        <f t="shared" si="87"/>
        <v>84.582200429685614</v>
      </c>
      <c r="Q128" s="20">
        <f t="shared" si="107"/>
        <v>782.50061686170341</v>
      </c>
      <c r="R128" s="59">
        <f t="shared" si="55"/>
        <v>1075.8339501950368</v>
      </c>
      <c r="S128" s="59">
        <f ca="1">AVERAGE(OFFSET($R$3,0,0,'Données projet'!$E$9+1,1))-AVERAGE(OFFSET($H$3,0,0,'Données projet'!$E$9+1,1))</f>
        <v>422.10969295064359</v>
      </c>
      <c r="T128" s="59">
        <f t="shared" si="88"/>
        <v>184.04075143033037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37.855787251632833</v>
      </c>
      <c r="AA128" s="21">
        <f>EXP(-LN(2)/25)*AA127+(1-EXP(-LN(2)/25))/(LN(2)/25)*Calculateur!V128*Calculateur!X128*VLOOKUP('Données projet'!$B$9,Paramètres!$A$1:$I$89,3,0)*0.475*44/12</f>
        <v>23.821751780970196</v>
      </c>
      <c r="AB128" s="21">
        <f>EXP(-LN(2)/2)*AB127+(1-EXP(-LN(2)/2))/(LN(2)/2)*V128*Y128*VLOOKUP('Données projet'!$B$9,Paramètres!$A$1:$I$89,3,0)*0.475*44/12</f>
        <v>3.6104733212688425</v>
      </c>
      <c r="AC128" s="22">
        <f t="shared" si="57"/>
        <v>65.288012353871878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6.7984728957526396E-14</v>
      </c>
      <c r="AK128" s="13">
        <f t="shared" si="89"/>
        <v>1.0682447123141398E-12</v>
      </c>
      <c r="AL128" s="20">
        <f t="shared" si="58"/>
        <v>1.978932943548152E-12</v>
      </c>
      <c r="AM128" s="59">
        <f t="shared" si="59"/>
        <v>293.3333333333353</v>
      </c>
      <c r="AN128" s="59">
        <f ca="1">AVERAGE(OFFSET($AM$3,0,0,'Données projet'!$E$10+1,1))-AVERAGE(OFFSET($H$3,0,0,'Données projet'!$E$10+1,1))</f>
        <v>213.90220310357444</v>
      </c>
      <c r="AO128" s="59">
        <f t="shared" si="90"/>
        <v>209.61422409790703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38.330981732801803</v>
      </c>
      <c r="AV128" s="21">
        <f>EXP(-LN(2)/25)*AV127+(1-EXP(-LN(2)/25))/(LN(2)/25)*Calculateur!AQ128*Calculateur!AS128*VLOOKUP('Données projet'!$B$10,Paramètres!$A$1:$I$89,3,0)*0.475*44/12</f>
        <v>7.9897057989172389</v>
      </c>
      <c r="AW128" s="21">
        <f>EXP(-LN(2)/2)*AW127+(1-EXP(-LN(2)/2))/(LN(2)/2)*AQ128*AT128*VLOOKUP('Données projet'!$B$10,Paramètres!$A$1:$I$89,3,0)*0.475*44/12</f>
        <v>9.8718197155098195E-9</v>
      </c>
      <c r="AX128" s="21">
        <f t="shared" si="60"/>
        <v>46.320687541590864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6">
        <f t="shared" si="56"/>
        <v>540.38896103674051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9.0229999999999961</v>
      </c>
      <c r="N129" s="13">
        <f>IF('Données projet'!$A$36&gt;35,N128+M129-V128,IF(A129&lt;'Données projet'!$A$36,$K$205^A129,IF(A129='Données projet'!$A$36,'Données projet'!$B$36,N128+M129-V128)))</f>
        <v>412.09600000000069</v>
      </c>
      <c r="O129" s="13">
        <f>N129*VLOOKUP('Données projet'!$B$9,Paramètres!$A$1:$I$89,3,0)*VLOOKUP('Données projet'!$B$9,Paramètres!$A$1:$I$89,5,0)</f>
        <v>372.86446080000059</v>
      </c>
      <c r="P129" s="13">
        <f t="shared" si="87"/>
        <v>86.253061792690659</v>
      </c>
      <c r="Q129" s="20">
        <f t="shared" si="107"/>
        <v>799.62968518227046</v>
      </c>
      <c r="R129" s="59">
        <f t="shared" si="55"/>
        <v>1092.9630185156038</v>
      </c>
      <c r="S129" s="59">
        <f ca="1">AVERAGE(OFFSET($R$3,0,0,'Données projet'!$E$9+1,1))-AVERAGE(OFFSET($H$3,0,0,'Données projet'!$E$9+1,1))</f>
        <v>422.10969295064359</v>
      </c>
      <c r="T129" s="59">
        <f t="shared" si="88"/>
        <v>184.04075143033037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37.113458353378611</v>
      </c>
      <c r="AA129" s="21">
        <f>EXP(-LN(2)/25)*AA128+(1-EXP(-LN(2)/25))/(LN(2)/25)*Calculateur!V129*Calculateur!X129*VLOOKUP('Données projet'!$B$9,Paramètres!$A$1:$I$89,3,0)*0.475*44/12</f>
        <v>23.170344725788084</v>
      </c>
      <c r="AB129" s="21">
        <f>EXP(-LN(2)/2)*AB128+(1-EXP(-LN(2)/2))/(LN(2)/2)*V129*Y129*VLOOKUP('Données projet'!$B$9,Paramètres!$A$1:$I$89,3,0)*0.475*44/12</f>
        <v>2.5529901687623151</v>
      </c>
      <c r="AC129" s="22">
        <f t="shared" si="57"/>
        <v>62.836793247929009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6.7984728957526396E-14</v>
      </c>
      <c r="AK129" s="13">
        <f t="shared" si="89"/>
        <v>1.0682447123141398E-12</v>
      </c>
      <c r="AL129" s="20">
        <f t="shared" si="58"/>
        <v>1.978932943548152E-12</v>
      </c>
      <c r="AM129" s="59">
        <f t="shared" si="59"/>
        <v>293.3333333333353</v>
      </c>
      <c r="AN129" s="59">
        <f ca="1">AVERAGE(OFFSET($AM$3,0,0,'Données projet'!$E$10+1,1))-AVERAGE(OFFSET($H$3,0,0,'Données projet'!$E$10+1,1))</f>
        <v>213.90220310357444</v>
      </c>
      <c r="AO129" s="59">
        <f t="shared" si="90"/>
        <v>209.61422409790703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37.579334560611876</v>
      </c>
      <c r="AV129" s="21">
        <f>EXP(-LN(2)/25)*AV128+(1-EXP(-LN(2)/25))/(LN(2)/25)*Calculateur!AQ129*Calculateur!AS129*VLOOKUP('Données projet'!$B$10,Paramètres!$A$1:$I$89,3,0)*0.475*44/12</f>
        <v>7.7712268736854799</v>
      </c>
      <c r="AW129" s="21">
        <f>EXP(-LN(2)/2)*AW128+(1-EXP(-LN(2)/2))/(LN(2)/2)*AQ129*AT129*VLOOKUP('Données projet'!$B$10,Paramètres!$A$1:$I$89,3,0)*0.475*44/12</f>
        <v>6.9804306634880479E-9</v>
      </c>
      <c r="AX129" s="21">
        <f t="shared" si="60"/>
        <v>45.350561441277783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6">
        <f t="shared" si="56"/>
        <v>542.30158747419375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9.0229999999999961</v>
      </c>
      <c r="N130" s="13">
        <f>IF('Données projet'!$A$36&gt;35,N129+M130-V129,IF(A130&lt;'Données projet'!$A$36,$K$205^A130,IF(A130='Données projet'!$A$36,'Données projet'!$B$36,N129+M130-V129)))</f>
        <v>421.11900000000071</v>
      </c>
      <c r="O130" s="13">
        <f>N130*VLOOKUP('Données projet'!$B$9,Paramètres!$A$1:$I$89,3,0)*VLOOKUP('Données projet'!$B$9,Paramètres!$A$1:$I$89,5,0)</f>
        <v>381.02847120000064</v>
      </c>
      <c r="P130" s="13">
        <f t="shared" si="87"/>
        <v>87.919669823283783</v>
      </c>
      <c r="Q130" s="20">
        <f t="shared" si="107"/>
        <v>816.75134561555353</v>
      </c>
      <c r="R130" s="59">
        <f t="shared" si="55"/>
        <v>1110.0846789488869</v>
      </c>
      <c r="S130" s="59">
        <f ca="1">AVERAGE(OFFSET($R$3,0,0,'Données projet'!$E$9+1,1))-AVERAGE(OFFSET($H$3,0,0,'Données projet'!$E$9+1,1))</f>
        <v>422.10969295064359</v>
      </c>
      <c r="T130" s="59">
        <f t="shared" si="88"/>
        <v>184.04075143033037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36.385686072043235</v>
      </c>
      <c r="AA130" s="21">
        <f>EXP(-LN(2)/25)*AA129+(1-EXP(-LN(2)/25))/(LN(2)/25)*Calculateur!V130*Calculateur!X130*VLOOKUP('Données projet'!$B$9,Paramètres!$A$1:$I$89,3,0)*0.475*44/12</f>
        <v>22.536750430785936</v>
      </c>
      <c r="AB130" s="21">
        <f>EXP(-LN(2)/2)*AB129+(1-EXP(-LN(2)/2))/(LN(2)/2)*V130*Y130*VLOOKUP('Données projet'!$B$9,Paramètres!$A$1:$I$89,3,0)*0.475*44/12</f>
        <v>1.8052366606344215</v>
      </c>
      <c r="AC130" s="22">
        <f t="shared" si="57"/>
        <v>60.727673163463592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6.7984728957526396E-14</v>
      </c>
      <c r="AK130" s="13">
        <f t="shared" si="89"/>
        <v>1.0682447123141398E-12</v>
      </c>
      <c r="AL130" s="20">
        <f t="shared" si="58"/>
        <v>1.978932943548152E-12</v>
      </c>
      <c r="AM130" s="59">
        <f t="shared" si="59"/>
        <v>293.3333333333353</v>
      </c>
      <c r="AN130" s="59">
        <f ca="1">AVERAGE(OFFSET($AM$3,0,0,'Données projet'!$E$10+1,1))-AVERAGE(OFFSET($H$3,0,0,'Données projet'!$E$10+1,1))</f>
        <v>213.90220310357444</v>
      </c>
      <c r="AO130" s="59">
        <f t="shared" si="90"/>
        <v>209.61422409790703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36.842426731009084</v>
      </c>
      <c r="AV130" s="21">
        <f>EXP(-LN(2)/25)*AV129+(1-EXP(-LN(2)/25))/(LN(2)/25)*Calculateur!AQ130*Calculateur!AS130*VLOOKUP('Données projet'!$B$10,Paramètres!$A$1:$I$89,3,0)*0.475*44/12</f>
        <v>7.5587222661534907</v>
      </c>
      <c r="AW130" s="21">
        <f>EXP(-LN(2)/2)*AW129+(1-EXP(-LN(2)/2))/(LN(2)/2)*AQ130*AT130*VLOOKUP('Données projet'!$B$10,Paramètres!$A$1:$I$89,3,0)*0.475*44/12</f>
        <v>4.9359098577549098E-9</v>
      </c>
      <c r="AX130" s="21">
        <f t="shared" si="60"/>
        <v>44.401149002098485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6">
        <f t="shared" si="56"/>
        <v>544.21388050017583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9.0229999999999961</v>
      </c>
      <c r="N131" s="13">
        <f>IF('Données projet'!$A$36&gt;35,N130+M131-V130,IF(A131&lt;'Données projet'!$A$36,$K$205^A131,IF(A131='Données projet'!$A$36,'Données projet'!$B$36,N130+M131-V130)))</f>
        <v>430.14200000000073</v>
      </c>
      <c r="O131" s="13">
        <f>N131*VLOOKUP('Données projet'!$B$9,Paramètres!$A$1:$I$89,3,0)*VLOOKUP('Données projet'!$B$9,Paramètres!$A$1:$I$89,5,0)</f>
        <v>389.19248160000063</v>
      </c>
      <c r="P131" s="13">
        <f t="shared" si="87"/>
        <v>89.582126151232899</v>
      </c>
      <c r="Q131" s="20">
        <f t="shared" ref="Q131:Q153" si="108">(O131+P131)*0.475*44/12</f>
        <v>833.86577516673162</v>
      </c>
      <c r="R131" s="59">
        <f t="shared" ref="R131:R194" si="109">Q131+(I131+J131)*44/12</f>
        <v>1127.199108500065</v>
      </c>
      <c r="S131" s="59">
        <f ca="1">AVERAGE(OFFSET($R$3,0,0,'Données projet'!$E$9+1,1))-AVERAGE(OFFSET($H$3,0,0,'Données projet'!$E$9+1,1))</f>
        <v>422.10969295064359</v>
      </c>
      <c r="T131" s="59">
        <f t="shared" si="88"/>
        <v>184.04075143033037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35.672184961247588</v>
      </c>
      <c r="AA131" s="21">
        <f>EXP(-LN(2)/25)*AA130+(1-EXP(-LN(2)/25))/(LN(2)/25)*Calculateur!V131*Calculateur!X131*VLOOKUP('Données projet'!$B$9,Paramètres!$A$1:$I$89,3,0)*0.475*44/12</f>
        <v>21.920481805099897</v>
      </c>
      <c r="AB131" s="21">
        <f>EXP(-LN(2)/2)*AB130+(1-EXP(-LN(2)/2))/(LN(2)/2)*V131*Y131*VLOOKUP('Données projet'!$B$9,Paramètres!$A$1:$I$89,3,0)*0.475*44/12</f>
        <v>1.2764950843811578</v>
      </c>
      <c r="AC131" s="22">
        <f t="shared" si="57"/>
        <v>58.869161850728645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6.7984728957526396E-14</v>
      </c>
      <c r="AK131" s="13">
        <f t="shared" si="89"/>
        <v>1.0682447123141398E-12</v>
      </c>
      <c r="AL131" s="20">
        <f t="shared" si="58"/>
        <v>1.978932943548152E-12</v>
      </c>
      <c r="AM131" s="59">
        <f t="shared" si="59"/>
        <v>293.3333333333353</v>
      </c>
      <c r="AN131" s="59">
        <f ca="1">AVERAGE(OFFSET($AM$3,0,0,'Données projet'!$E$10+1,1))-AVERAGE(OFFSET($H$3,0,0,'Données projet'!$E$10+1,1))</f>
        <v>213.90220310357444</v>
      </c>
      <c r="AO131" s="59">
        <f t="shared" si="90"/>
        <v>209.61422409790703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36.119969214475411</v>
      </c>
      <c r="AV131" s="21">
        <f>EXP(-LN(2)/25)*AV130+(1-EXP(-LN(2)/25))/(LN(2)/25)*Calculateur!AQ131*Calculateur!AS131*VLOOKUP('Données projet'!$B$10,Paramètres!$A$1:$I$89,3,0)*0.475*44/12</f>
        <v>7.3520286082895954</v>
      </c>
      <c r="AW131" s="21">
        <f>EXP(-LN(2)/2)*AW130+(1-EXP(-LN(2)/2))/(LN(2)/2)*AQ131*AT131*VLOOKUP('Données projet'!$B$10,Paramètres!$A$1:$I$89,3,0)*0.475*44/12</f>
        <v>3.4902153317440239E-9</v>
      </c>
      <c r="AX131" s="21">
        <f t="shared" si="60"/>
        <v>43.471997826255219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6">
        <f t="shared" ref="H132:H195" si="110">(B132+E132+F132)*44/12+(C132+D132)*0.475*44/12</f>
        <v>546.12584302139749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9.0229999999999961</v>
      </c>
      <c r="N132" s="13">
        <f>IF('Données projet'!$A$36&gt;35,N131+M132-V131,IF(A132&lt;'Données projet'!$A$36,$K$205^A132,IF(A132='Données projet'!$A$36,'Données projet'!$B$36,N131+M132-V131)))</f>
        <v>439.16500000000076</v>
      </c>
      <c r="O132" s="13">
        <f>N132*VLOOKUP('Données projet'!$B$9,Paramètres!$A$1:$I$89,3,0)*VLOOKUP('Données projet'!$B$9,Paramètres!$A$1:$I$89,5,0)</f>
        <v>397.35649200000069</v>
      </c>
      <c r="P132" s="13">
        <f t="shared" si="87"/>
        <v>91.240527898934658</v>
      </c>
      <c r="Q132" s="20">
        <f t="shared" si="108"/>
        <v>850.97314299064567</v>
      </c>
      <c r="R132" s="59">
        <f t="shared" si="109"/>
        <v>1144.306476323979</v>
      </c>
      <c r="S132" s="59">
        <f ca="1">AVERAGE(OFFSET($R$3,0,0,'Données projet'!$E$9+1,1))-AVERAGE(OFFSET($H$3,0,0,'Données projet'!$E$9+1,1))</f>
        <v>422.10969295064359</v>
      </c>
      <c r="T132" s="59">
        <f t="shared" si="88"/>
        <v>184.04075143033037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34.972675172041939</v>
      </c>
      <c r="AA132" s="21">
        <f>EXP(-LN(2)/25)*AA131+(1-EXP(-LN(2)/25))/(LN(2)/25)*Calculateur!V132*Calculateur!X132*VLOOKUP('Données projet'!$B$9,Paramètres!$A$1:$I$89,3,0)*0.475*44/12</f>
        <v>21.321065077391403</v>
      </c>
      <c r="AB132" s="21">
        <f>EXP(-LN(2)/2)*AB131+(1-EXP(-LN(2)/2))/(LN(2)/2)*V132*Y132*VLOOKUP('Données projet'!$B$9,Paramètres!$A$1:$I$89,3,0)*0.475*44/12</f>
        <v>0.90261833031721095</v>
      </c>
      <c r="AC132" s="22">
        <f t="shared" ref="AC132:AC153" si="111">SUM(Z132:AB132)</f>
        <v>57.196358579750552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6.7984728957526396E-14</v>
      </c>
      <c r="AK132" s="13">
        <f t="shared" si="89"/>
        <v>1.0682447123141398E-12</v>
      </c>
      <c r="AL132" s="20">
        <f t="shared" ref="AL132:AL153" si="112">(AJ132+AK132)*0.475*44/12</f>
        <v>1.978932943548152E-12</v>
      </c>
      <c r="AM132" s="59">
        <f t="shared" ref="AM132:AM195" si="113">AL132+(AD132+AE132)*44/12</f>
        <v>293.3333333333353</v>
      </c>
      <c r="AN132" s="59">
        <f ca="1">AVERAGE(OFFSET($AM$3,0,0,'Données projet'!$E$10+1,1))-AVERAGE(OFFSET($H$3,0,0,'Données projet'!$E$10+1,1))</f>
        <v>213.90220310357444</v>
      </c>
      <c r="AO132" s="59">
        <f t="shared" si="90"/>
        <v>209.61422409790703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35.41167864918539</v>
      </c>
      <c r="AV132" s="21">
        <f>EXP(-LN(2)/25)*AV131+(1-EXP(-LN(2)/25))/(LN(2)/25)*Calculateur!AQ132*Calculateur!AS132*VLOOKUP('Données projet'!$B$10,Paramètres!$A$1:$I$89,3,0)*0.475*44/12</f>
        <v>7.1509869993695352</v>
      </c>
      <c r="AW132" s="21">
        <f>EXP(-LN(2)/2)*AW131+(1-EXP(-LN(2)/2))/(LN(2)/2)*AQ132*AT132*VLOOKUP('Données projet'!$B$10,Paramètres!$A$1:$I$89,3,0)*0.475*44/12</f>
        <v>2.4679549288774549E-9</v>
      </c>
      <c r="AX132" s="21">
        <f t="shared" ref="AX132:AX153" si="114">SUM(AU132:AW132)</f>
        <v>42.562665651022883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6">
        <f t="shared" si="110"/>
        <v>548.03747789690146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9.0229999999999961</v>
      </c>
      <c r="N133" s="13">
        <f>IF('Données projet'!$A$36&gt;35,N132+M133-V132,IF(A133&lt;'Données projet'!$A$36,$K$205^A133,IF(A133='Données projet'!$A$36,'Données projet'!$B$36,N132+M133-V132)))</f>
        <v>448.18800000000078</v>
      </c>
      <c r="O133" s="13">
        <f>N133*VLOOKUP('Données projet'!$B$9,Paramètres!$A$1:$I$89,3,0)*VLOOKUP('Données projet'!$B$9,Paramètres!$A$1:$I$89,5,0)</f>
        <v>405.52050240000068</v>
      </c>
      <c r="P133" s="13">
        <f t="shared" ref="P133:P196" si="141">EXP(-1.0587+0.8836*LN(O133)+0.284)</f>
        <v>92.894967969753338</v>
      </c>
      <c r="Q133" s="20">
        <f t="shared" si="108"/>
        <v>868.07361089398819</v>
      </c>
      <c r="R133" s="59">
        <f t="shared" si="109"/>
        <v>1161.4069442273214</v>
      </c>
      <c r="S133" s="59">
        <f ca="1">AVERAGE(OFFSET($R$3,0,0,'Données projet'!$E$9+1,1))-AVERAGE(OFFSET($H$3,0,0,'Données projet'!$E$9+1,1))</f>
        <v>422.10969295064359</v>
      </c>
      <c r="T133" s="59">
        <f t="shared" ref="T133:T196" si="142">$T$3</f>
        <v>184.04075143033037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34.286882343143766</v>
      </c>
      <c r="AA133" s="21">
        <f>EXP(-LN(2)/25)*AA132+(1-EXP(-LN(2)/25))/(LN(2)/25)*Calculateur!V133*Calculateur!X133*VLOOKUP('Données projet'!$B$9,Paramètres!$A$1:$I$89,3,0)*0.475*44/12</f>
        <v>20.738039431624053</v>
      </c>
      <c r="AB133" s="21">
        <f>EXP(-LN(2)/2)*AB132+(1-EXP(-LN(2)/2))/(LN(2)/2)*V133*Y133*VLOOKUP('Données projet'!$B$9,Paramètres!$A$1:$I$89,3,0)*0.475*44/12</f>
        <v>0.638247542190579</v>
      </c>
      <c r="AC133" s="22">
        <f t="shared" si="111"/>
        <v>55.663169316958395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6.7984728957526396E-14</v>
      </c>
      <c r="AK133" s="13">
        <f t="shared" ref="AK133:AK153" si="143">EXP(-1.0587+0.8836*LN(AJ133)+0.284)</f>
        <v>1.0682447123141398E-12</v>
      </c>
      <c r="AL133" s="20">
        <f t="shared" si="112"/>
        <v>1.978932943548152E-12</v>
      </c>
      <c r="AM133" s="59">
        <f t="shared" si="113"/>
        <v>293.3333333333353</v>
      </c>
      <c r="AN133" s="59">
        <f ca="1">AVERAGE(OFFSET($AM$3,0,0,'Données projet'!$E$10+1,1))-AVERAGE(OFFSET($H$3,0,0,'Données projet'!$E$10+1,1))</f>
        <v>213.90220310357444</v>
      </c>
      <c r="AO133" s="59">
        <f t="shared" ref="AO133:AO196" si="144">$AO$3</f>
        <v>209.61422409790703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34.71727722986612</v>
      </c>
      <c r="AV133" s="21">
        <f>EXP(-LN(2)/25)*AV132+(1-EXP(-LN(2)/25))/(LN(2)/25)*Calculateur!AQ133*Calculateur!AS133*VLOOKUP('Données projet'!$B$10,Paramètres!$A$1:$I$89,3,0)*0.475*44/12</f>
        <v>6.9554428838177129</v>
      </c>
      <c r="AW133" s="21">
        <f>EXP(-LN(2)/2)*AW132+(1-EXP(-LN(2)/2))/(LN(2)/2)*AQ133*AT133*VLOOKUP('Données projet'!$B$10,Paramètres!$A$1:$I$89,3,0)*0.475*44/12</f>
        <v>1.745107665872012E-9</v>
      </c>
      <c r="AX133" s="21">
        <f t="shared" si="114"/>
        <v>41.672720115428938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6">
        <f t="shared" si="110"/>
        <v>549.94878793920475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9.0229999999999961</v>
      </c>
      <c r="N134" s="13">
        <f>IF('Données projet'!$A$36&gt;35,N133+M134-V133,IF(A134&lt;'Données projet'!$A$36,$K$205^A134,IF(A134='Données projet'!$A$36,'Données projet'!$B$36,N133+M134-V133)))</f>
        <v>457.21100000000081</v>
      </c>
      <c r="O134" s="13">
        <f>N134*VLOOKUP('Données projet'!$B$9,Paramètres!$A$1:$I$89,3,0)*VLOOKUP('Données projet'!$B$9,Paramètres!$A$1:$I$89,5,0)</f>
        <v>413.68451280000073</v>
      </c>
      <c r="P134" s="13">
        <f t="shared" si="141"/>
        <v>94.545535312483779</v>
      </c>
      <c r="Q134" s="20">
        <f t="shared" si="108"/>
        <v>885.16733379591051</v>
      </c>
      <c r="R134" s="59">
        <f t="shared" si="109"/>
        <v>1178.5006671292438</v>
      </c>
      <c r="S134" s="59">
        <f ca="1">AVERAGE(OFFSET($R$3,0,0,'Données projet'!$E$9+1,1))-AVERAGE(OFFSET($H$3,0,0,'Données projet'!$E$9+1,1))</f>
        <v>422.10969295064359</v>
      </c>
      <c r="T134" s="59">
        <f t="shared" si="142"/>
        <v>184.04075143033037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33.614537493327965</v>
      </c>
      <c r="AA134" s="21">
        <f>EXP(-LN(2)/25)*AA133+(1-EXP(-LN(2)/25))/(LN(2)/25)*Calculateur!V134*Calculateur!X134*VLOOKUP('Données projet'!$B$9,Paramètres!$A$1:$I$89,3,0)*0.475*44/12</f>
        <v>20.170956652800196</v>
      </c>
      <c r="AB134" s="21">
        <f>EXP(-LN(2)/2)*AB133+(1-EXP(-LN(2)/2))/(LN(2)/2)*V134*Y134*VLOOKUP('Données projet'!$B$9,Paramètres!$A$1:$I$89,3,0)*0.475*44/12</f>
        <v>0.45130916515860553</v>
      </c>
      <c r="AC134" s="22">
        <f t="shared" si="111"/>
        <v>54.236803311286764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6.7984728957526396E-14</v>
      </c>
      <c r="AK134" s="13">
        <f t="shared" si="143"/>
        <v>1.0682447123141398E-12</v>
      </c>
      <c r="AL134" s="20">
        <f t="shared" si="112"/>
        <v>1.978932943548152E-12</v>
      </c>
      <c r="AM134" s="59">
        <f t="shared" si="113"/>
        <v>293.3333333333353</v>
      </c>
      <c r="AN134" s="59">
        <f ca="1">AVERAGE(OFFSET($AM$3,0,0,'Données projet'!$E$10+1,1))-AVERAGE(OFFSET($H$3,0,0,'Données projet'!$E$10+1,1))</f>
        <v>213.90220310357444</v>
      </c>
      <c r="AO134" s="59">
        <f t="shared" si="144"/>
        <v>209.61422409790703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34.036492598836652</v>
      </c>
      <c r="AV134" s="21">
        <f>EXP(-LN(2)/25)*AV133+(1-EXP(-LN(2)/25))/(LN(2)/25)*Calculateur!AQ134*Calculateur!AS134*VLOOKUP('Données projet'!$B$10,Paramètres!$A$1:$I$89,3,0)*0.475*44/12</f>
        <v>6.765245932388873</v>
      </c>
      <c r="AW134" s="21">
        <f>EXP(-LN(2)/2)*AW133+(1-EXP(-LN(2)/2))/(LN(2)/2)*AQ134*AT134*VLOOKUP('Données projet'!$B$10,Paramètres!$A$1:$I$89,3,0)*0.475*44/12</f>
        <v>1.2339774644387274E-9</v>
      </c>
      <c r="AX134" s="21">
        <f t="shared" si="114"/>
        <v>40.801738532459503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6">
        <f t="shared" si="110"/>
        <v>551.85977591540495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9.0229999999999961</v>
      </c>
      <c r="N135" s="13">
        <f>IF('Données projet'!$A$36&gt;35,N134+M135-V134,IF(A135&lt;'Données projet'!$A$36,$K$205^A135,IF(A135='Données projet'!$A$36,'Données projet'!$B$36,N134+M135-V134)))</f>
        <v>466.23400000000083</v>
      </c>
      <c r="O135" s="13">
        <f>N135*VLOOKUP('Données projet'!$B$9,Paramètres!$A$1:$I$89,3,0)*VLOOKUP('Données projet'!$B$9,Paramètres!$A$1:$I$89,5,0)</f>
        <v>421.84852320000078</v>
      </c>
      <c r="P135" s="13">
        <f t="shared" si="141"/>
        <v>96.192315164348642</v>
      </c>
      <c r="Q135" s="20">
        <f t="shared" si="108"/>
        <v>902.2544601512418</v>
      </c>
      <c r="R135" s="59">
        <f t="shared" si="109"/>
        <v>1195.5877934845751</v>
      </c>
      <c r="S135" s="59">
        <f ca="1">AVERAGE(OFFSET($R$3,0,0,'Données projet'!$E$9+1,1))-AVERAGE(OFFSET($H$3,0,0,'Données projet'!$E$9+1,1))</f>
        <v>422.10969295064359</v>
      </c>
      <c r="T135" s="59">
        <f t="shared" si="142"/>
        <v>184.04075143033037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32.955376915927189</v>
      </c>
      <c r="AA135" s="21">
        <f>EXP(-LN(2)/25)*AA134+(1-EXP(-LN(2)/25))/(LN(2)/25)*Calculateur!V135*Calculateur!X135*VLOOKUP('Données projet'!$B$9,Paramètres!$A$1:$I$89,3,0)*0.475*44/12</f>
        <v>19.619380782384866</v>
      </c>
      <c r="AB135" s="21">
        <f>EXP(-LN(2)/2)*AB134+(1-EXP(-LN(2)/2))/(LN(2)/2)*V135*Y135*VLOOKUP('Données projet'!$B$9,Paramètres!$A$1:$I$89,3,0)*0.475*44/12</f>
        <v>0.31912377109528955</v>
      </c>
      <c r="AC135" s="22">
        <f t="shared" si="111"/>
        <v>52.893881469407347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6.7984728957526396E-14</v>
      </c>
      <c r="AK135" s="13">
        <f t="shared" si="143"/>
        <v>1.0682447123141398E-12</v>
      </c>
      <c r="AL135" s="20">
        <f t="shared" si="112"/>
        <v>1.978932943548152E-12</v>
      </c>
      <c r="AM135" s="59">
        <f t="shared" si="113"/>
        <v>293.3333333333353</v>
      </c>
      <c r="AN135" s="59">
        <f ca="1">AVERAGE(OFFSET($AM$3,0,0,'Données projet'!$E$10+1,1))-AVERAGE(OFFSET($H$3,0,0,'Données projet'!$E$10+1,1))</f>
        <v>213.90220310357444</v>
      </c>
      <c r="AO135" s="59">
        <f t="shared" si="144"/>
        <v>209.61422409790703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33.369057739184051</v>
      </c>
      <c r="AV135" s="21">
        <f>EXP(-LN(2)/25)*AV134+(1-EXP(-LN(2)/25))/(LN(2)/25)*Calculateur!AQ135*Calculateur!AS135*VLOOKUP('Données projet'!$B$10,Paramètres!$A$1:$I$89,3,0)*0.475*44/12</f>
        <v>6.5802499265988779</v>
      </c>
      <c r="AW135" s="21">
        <f>EXP(-LN(2)/2)*AW134+(1-EXP(-LN(2)/2))/(LN(2)/2)*AQ135*AT135*VLOOKUP('Données projet'!$B$10,Paramètres!$A$1:$I$89,3,0)*0.475*44/12</f>
        <v>8.7255383293600598E-10</v>
      </c>
      <c r="AX135" s="21">
        <f t="shared" si="114"/>
        <v>39.949307666655478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6">
        <f t="shared" si="110"/>
        <v>553.77044454825227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9.0229999999999961</v>
      </c>
      <c r="N136" s="13">
        <f>IF('Données projet'!$A$36&gt;35,N135+M136-V135,IF(A136&lt;'Données projet'!$A$36,$K$205^A136,IF(A136='Données projet'!$A$36,'Données projet'!$B$36,N135+M136-V135)))</f>
        <v>475.25700000000086</v>
      </c>
      <c r="O136" s="13">
        <f>N136*VLOOKUP('Données projet'!$B$9,Paramètres!$A$1:$I$89,3,0)*VLOOKUP('Données projet'!$B$9,Paramètres!$A$1:$I$89,5,0)</f>
        <v>430.01253360000078</v>
      </c>
      <c r="P136" s="13">
        <f t="shared" si="141"/>
        <v>97.835389274652726</v>
      </c>
      <c r="Q136" s="20">
        <f t="shared" si="108"/>
        <v>919.33513234002146</v>
      </c>
      <c r="R136" s="59">
        <f t="shared" si="109"/>
        <v>1212.6684656733548</v>
      </c>
      <c r="S136" s="59">
        <f ca="1">AVERAGE(OFFSET($R$3,0,0,'Données projet'!$E$9+1,1))-AVERAGE(OFFSET($H$3,0,0,'Données projet'!$E$9+1,1))</f>
        <v>422.10969295064359</v>
      </c>
      <c r="T136" s="59">
        <f t="shared" si="142"/>
        <v>184.04075143033037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32.309142075400985</v>
      </c>
      <c r="AA136" s="21">
        <f>EXP(-LN(2)/25)*AA135+(1-EXP(-LN(2)/25))/(LN(2)/25)*Calculateur!V136*Calculateur!X136*VLOOKUP('Données projet'!$B$9,Paramètres!$A$1:$I$89,3,0)*0.475*44/12</f>
        <v>19.082887783152156</v>
      </c>
      <c r="AB136" s="21">
        <f>EXP(-LN(2)/2)*AB135+(1-EXP(-LN(2)/2))/(LN(2)/2)*V136*Y136*VLOOKUP('Données projet'!$B$9,Paramètres!$A$1:$I$89,3,0)*0.475*44/12</f>
        <v>0.22565458257930279</v>
      </c>
      <c r="AC136" s="22">
        <f t="shared" si="111"/>
        <v>51.617684441132447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6.7984728957526396E-14</v>
      </c>
      <c r="AK136" s="13">
        <f t="shared" si="143"/>
        <v>1.0682447123141398E-12</v>
      </c>
      <c r="AL136" s="20">
        <f t="shared" si="112"/>
        <v>1.978932943548152E-12</v>
      </c>
      <c r="AM136" s="59">
        <f t="shared" si="113"/>
        <v>293.3333333333353</v>
      </c>
      <c r="AN136" s="59">
        <f ca="1">AVERAGE(OFFSET($AM$3,0,0,'Données projet'!$E$10+1,1))-AVERAGE(OFFSET($H$3,0,0,'Données projet'!$E$10+1,1))</f>
        <v>213.90220310357444</v>
      </c>
      <c r="AO136" s="59">
        <f t="shared" si="144"/>
        <v>209.61422409790703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32.714710870034168</v>
      </c>
      <c r="AV136" s="21">
        <f>EXP(-LN(2)/25)*AV135+(1-EXP(-LN(2)/25))/(LN(2)/25)*Calculateur!AQ136*Calculateur!AS136*VLOOKUP('Données projet'!$B$10,Paramètres!$A$1:$I$89,3,0)*0.475*44/12</f>
        <v>6.4003126463157276</v>
      </c>
      <c r="AW136" s="21">
        <f>EXP(-LN(2)/2)*AW135+(1-EXP(-LN(2)/2))/(LN(2)/2)*AQ136*AT136*VLOOKUP('Données projet'!$B$10,Paramètres!$A$1:$I$89,3,0)*0.475*44/12</f>
        <v>6.1698873221936372E-10</v>
      </c>
      <c r="AX136" s="21">
        <f t="shared" si="114"/>
        <v>39.115023516966879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6">
        <f t="shared" si="110"/>
        <v>555.68079651718767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9.0229999999999961</v>
      </c>
      <c r="M137" s="12">
        <f t="array" ref="M137">INDEX(L:L,MIN(IF(ISNUMBER(L137:L333),ROW(L137:L333),"")))</f>
        <v>9.0229999999999961</v>
      </c>
      <c r="N137" s="13">
        <f>IF('Données projet'!$A$36&gt;35,N136+M137-V136,IF(A137&lt;'Données projet'!$A$36,$K$205^A137,IF(A137='Données projet'!$A$36,'Données projet'!$B$36,N136+M137-V136)))</f>
        <v>484.28000000000088</v>
      </c>
      <c r="O137" s="13">
        <f>N137*VLOOKUP('Données projet'!$B$9,Paramètres!$A$1:$I$89,3,0)*VLOOKUP('Données projet'!$B$9,Paramètres!$A$1:$I$89,5,0)</f>
        <v>438.17654400000077</v>
      </c>
      <c r="P137" s="13">
        <f t="shared" si="141"/>
        <v>99.474836110972063</v>
      </c>
      <c r="Q137" s="20">
        <f t="shared" si="108"/>
        <v>936.40948702661092</v>
      </c>
      <c r="R137" s="59">
        <f t="shared" si="109"/>
        <v>1229.7428203599443</v>
      </c>
      <c r="S137" s="59">
        <f ca="1">AVERAGE(OFFSET($R$3,0,0,'Données projet'!$E$9+1,1))-AVERAGE(OFFSET($H$3,0,0,'Données projet'!$E$9+1,1))</f>
        <v>422.10969295064359</v>
      </c>
      <c r="T137" s="59">
        <f t="shared" si="142"/>
        <v>184.04075143033037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60.779999999999973</v>
      </c>
      <c r="W137" s="16">
        <f>IF(ISNA(VLOOKUP(A137,'Données projet'!$A$35:$I$55,5,0)),0%,VLOOKUP(A137,'Données projet'!$A$35:$I$55,5,0)*VLOOKUP('Données projet'!$B$9,Paramètres!$A$1:$I$89,7,0))</f>
        <v>0.215</v>
      </c>
      <c r="X137" s="16">
        <f>IF(ISNA(VLOOKUP(A137,'Données projet'!$A$35:$I$55,6,0)),0%,VLOOKUP(A137,'Données projet'!$A$35:$I$55,6,0)*VLOOKUP('Données projet'!$B$9,Paramètres!$A$1:$I$89,7,0))</f>
        <v>8.6000000000000007E-2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44.746279842031008</v>
      </c>
      <c r="AA137" s="21">
        <f>EXP(-LN(2)/25)*AA136+(1-EXP(-LN(2)/25))/(LN(2)/25)*Calculateur!V137*Calculateur!X137*VLOOKUP('Données projet'!$B$9,Paramètres!$A$1:$I$89,3,0)*0.475*44/12</f>
        <v>23.768759616615345</v>
      </c>
      <c r="AB137" s="21">
        <f>EXP(-LN(2)/2)*AB136+(1-EXP(-LN(2)/2))/(LN(2)/2)*V137*Y137*VLOOKUP('Données projet'!$B$9,Paramètres!$A$1:$I$89,3,0)*0.475*44/12</f>
        <v>0.15956188554764478</v>
      </c>
      <c r="AC137" s="22">
        <f t="shared" si="111"/>
        <v>68.674601344194002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6.7984728957526396E-14</v>
      </c>
      <c r="AK137" s="13">
        <f t="shared" si="143"/>
        <v>1.0682447123141398E-12</v>
      </c>
      <c r="AL137" s="20">
        <f t="shared" si="112"/>
        <v>1.978932943548152E-12</v>
      </c>
      <c r="AM137" s="59">
        <f t="shared" si="113"/>
        <v>293.3333333333353</v>
      </c>
      <c r="AN137" s="59">
        <f ca="1">AVERAGE(OFFSET($AM$3,0,0,'Données projet'!$E$10+1,1))-AVERAGE(OFFSET($H$3,0,0,'Données projet'!$E$10+1,1))</f>
        <v>213.90220310357444</v>
      </c>
      <c r="AO137" s="59">
        <f t="shared" si="144"/>
        <v>209.61422409790703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32.073195343876137</v>
      </c>
      <c r="AV137" s="21">
        <f>EXP(-LN(2)/25)*AV136+(1-EXP(-LN(2)/25))/(LN(2)/25)*Calculateur!AQ137*Calculateur!AS137*VLOOKUP('Données projet'!$B$10,Paramètres!$A$1:$I$89,3,0)*0.475*44/12</f>
        <v>6.2252957604244097</v>
      </c>
      <c r="AW137" s="21">
        <f>EXP(-LN(2)/2)*AW136+(1-EXP(-LN(2)/2))/(LN(2)/2)*AQ137*AT137*VLOOKUP('Données projet'!$B$10,Paramètres!$A$1:$I$89,3,0)*0.475*44/12</f>
        <v>4.3627691646800299E-10</v>
      </c>
      <c r="AX137" s="21">
        <f t="shared" si="114"/>
        <v>38.298491104736826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6">
        <f t="shared" si="110"/>
        <v>557.59083445935073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9.1440000000000055</v>
      </c>
      <c r="N138" s="13">
        <f>IF('Données projet'!$A$36&gt;35,N137+M138-V137,IF(A138&lt;'Données projet'!$A$36,$K$205^A138,IF(A138='Données projet'!$A$36,'Données projet'!$B$36,N137+M138-V137)))</f>
        <v>432.64400000000091</v>
      </c>
      <c r="O138" s="13">
        <f>N138*VLOOKUP('Données projet'!$B$9,Paramètres!$A$1:$I$89,3,0)*VLOOKUP('Données projet'!$B$9,Paramètres!$A$1:$I$89,5,0)</f>
        <v>391.45629120000086</v>
      </c>
      <c r="P138" s="13">
        <f t="shared" si="141"/>
        <v>90.042388870129827</v>
      </c>
      <c r="Q138" s="20">
        <f t="shared" si="108"/>
        <v>838.6102011221443</v>
      </c>
      <c r="R138" s="59">
        <f t="shared" si="109"/>
        <v>1131.9435344554777</v>
      </c>
      <c r="S138" s="59">
        <f ca="1">AVERAGE(OFFSET($R$3,0,0,'Données projet'!$E$9+1,1))-AVERAGE(OFFSET($H$3,0,0,'Données projet'!$E$9+1,1))</f>
        <v>422.10969295064359</v>
      </c>
      <c r="T138" s="59">
        <f t="shared" si="142"/>
        <v>184.04075143033037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43.868832586864571</v>
      </c>
      <c r="AA138" s="21">
        <f>EXP(-LN(2)/25)*AA137+(1-EXP(-LN(2)/25))/(LN(2)/25)*Calculateur!V138*Calculateur!X138*VLOOKUP('Données projet'!$B$9,Paramètres!$A$1:$I$89,3,0)*0.475*44/12</f>
        <v>23.118801634954256</v>
      </c>
      <c r="AB138" s="21">
        <f>EXP(-LN(2)/2)*AB137+(1-EXP(-LN(2)/2))/(LN(2)/2)*V138*Y138*VLOOKUP('Données projet'!$B$9,Paramètres!$A$1:$I$89,3,0)*0.475*44/12</f>
        <v>0.1128272912896514</v>
      </c>
      <c r="AC138" s="22">
        <f t="shared" si="111"/>
        <v>67.100461513108471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6.7984728957526396E-14</v>
      </c>
      <c r="AK138" s="13">
        <f t="shared" si="143"/>
        <v>1.0682447123141398E-12</v>
      </c>
      <c r="AL138" s="20">
        <f t="shared" si="112"/>
        <v>1.978932943548152E-12</v>
      </c>
      <c r="AM138" s="59">
        <f t="shared" si="113"/>
        <v>293.3333333333353</v>
      </c>
      <c r="AN138" s="59">
        <f ca="1">AVERAGE(OFFSET($AM$3,0,0,'Données projet'!$E$10+1,1))-AVERAGE(OFFSET($H$3,0,0,'Données projet'!$E$10+1,1))</f>
        <v>213.90220310357444</v>
      </c>
      <c r="AO138" s="59">
        <f t="shared" si="144"/>
        <v>209.61422409790703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31.444259545900227</v>
      </c>
      <c r="AV138" s="21">
        <f>EXP(-LN(2)/25)*AV137+(1-EXP(-LN(2)/25))/(LN(2)/25)*Calculateur!AQ138*Calculateur!AS138*VLOOKUP('Données projet'!$B$10,Paramètres!$A$1:$I$89,3,0)*0.475*44/12</f>
        <v>6.0550647204815284</v>
      </c>
      <c r="AW138" s="21">
        <f>EXP(-LN(2)/2)*AW137+(1-EXP(-LN(2)/2))/(LN(2)/2)*AQ138*AT138*VLOOKUP('Données projet'!$B$10,Paramètres!$A$1:$I$89,3,0)*0.475*44/12</f>
        <v>3.0849436610968186E-10</v>
      </c>
      <c r="AX138" s="21">
        <f t="shared" si="114"/>
        <v>37.499324266690252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6">
        <f t="shared" si="110"/>
        <v>559.50056097055494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9.1440000000000055</v>
      </c>
      <c r="N139" s="13">
        <f>IF('Données projet'!$A$36&gt;35,N138+M139-V138,IF(A139&lt;'Données projet'!$A$36,$K$205^A139,IF(A139='Données projet'!$A$36,'Données projet'!$B$36,N138+M139-V138)))</f>
        <v>441.78800000000092</v>
      </c>
      <c r="O139" s="13">
        <f>N139*VLOOKUP('Données projet'!$B$9,Paramètres!$A$1:$I$89,3,0)*VLOOKUP('Données projet'!$B$9,Paramètres!$A$1:$I$89,5,0)</f>
        <v>399.72978240000077</v>
      </c>
      <c r="P139" s="13">
        <f t="shared" si="141"/>
        <v>91.721880595341759</v>
      </c>
      <c r="Q139" s="20">
        <f t="shared" si="108"/>
        <v>855.94497971688827</v>
      </c>
      <c r="R139" s="59">
        <f t="shared" si="109"/>
        <v>1149.2783130502216</v>
      </c>
      <c r="S139" s="59">
        <f ca="1">AVERAGE(OFFSET($R$3,0,0,'Données projet'!$E$9+1,1))-AVERAGE(OFFSET($H$3,0,0,'Données projet'!$E$9+1,1))</f>
        <v>422.10969295064359</v>
      </c>
      <c r="T139" s="59">
        <f t="shared" si="142"/>
        <v>184.04075143033037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43.008591537181964</v>
      </c>
      <c r="AA139" s="21">
        <f>EXP(-LN(2)/25)*AA138+(1-EXP(-LN(2)/25))/(LN(2)/25)*Calculateur!V139*Calculateur!X139*VLOOKUP('Données projet'!$B$9,Paramètres!$A$1:$I$89,3,0)*0.475*44/12</f>
        <v>22.486616788481491</v>
      </c>
      <c r="AB139" s="21">
        <f>EXP(-LN(2)/2)*AB138+(1-EXP(-LN(2)/2))/(LN(2)/2)*V139*Y139*VLOOKUP('Données projet'!$B$9,Paramètres!$A$1:$I$89,3,0)*0.475*44/12</f>
        <v>7.9780942773822389E-2</v>
      </c>
      <c r="AC139" s="22">
        <f t="shared" si="111"/>
        <v>65.574989268437278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6.7984728957526396E-14</v>
      </c>
      <c r="AK139" s="13">
        <f t="shared" si="143"/>
        <v>1.0682447123141398E-12</v>
      </c>
      <c r="AL139" s="20">
        <f t="shared" si="112"/>
        <v>1.978932943548152E-12</v>
      </c>
      <c r="AM139" s="59">
        <f t="shared" si="113"/>
        <v>293.3333333333353</v>
      </c>
      <c r="AN139" s="59">
        <f ca="1">AVERAGE(OFFSET($AM$3,0,0,'Données projet'!$E$10+1,1))-AVERAGE(OFFSET($H$3,0,0,'Données projet'!$E$10+1,1))</f>
        <v>213.90220310357444</v>
      </c>
      <c r="AO139" s="59">
        <f t="shared" si="144"/>
        <v>209.61422409790703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30.827656795309668</v>
      </c>
      <c r="AV139" s="21">
        <f>EXP(-LN(2)/25)*AV138+(1-EXP(-LN(2)/25))/(LN(2)/25)*Calculateur!AQ139*Calculateur!AS139*VLOOKUP('Données projet'!$B$10,Paramètres!$A$1:$I$89,3,0)*0.475*44/12</f>
        <v>5.8894886572779468</v>
      </c>
      <c r="AW139" s="21">
        <f>EXP(-LN(2)/2)*AW138+(1-EXP(-LN(2)/2))/(LN(2)/2)*AQ139*AT139*VLOOKUP('Données projet'!$B$10,Paramètres!$A$1:$I$89,3,0)*0.475*44/12</f>
        <v>2.181384582340015E-10</v>
      </c>
      <c r="AX139" s="21">
        <f t="shared" si="114"/>
        <v>36.717145452805752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6">
        <f t="shared" si="110"/>
        <v>561.40997860623452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9.1440000000000055</v>
      </c>
      <c r="N140" s="13">
        <f>IF('Données projet'!$A$36&gt;35,N139+M140-V139,IF(A140&lt;'Données projet'!$A$36,$K$205^A140,IF(A140='Données projet'!$A$36,'Données projet'!$B$36,N139+M140-V139)))</f>
        <v>450.93200000000093</v>
      </c>
      <c r="O140" s="13">
        <f>N140*VLOOKUP('Données projet'!$B$9,Paramètres!$A$1:$I$89,3,0)*VLOOKUP('Données projet'!$B$9,Paramètres!$A$1:$I$89,5,0)</f>
        <v>408.00327360000085</v>
      </c>
      <c r="P140" s="13">
        <f t="shared" si="141"/>
        <v>93.397330631669121</v>
      </c>
      <c r="Q140" s="20">
        <f t="shared" si="108"/>
        <v>873.27271903682515</v>
      </c>
      <c r="R140" s="59">
        <f t="shared" si="109"/>
        <v>1166.6060523701585</v>
      </c>
      <c r="S140" s="59">
        <f ca="1">AVERAGE(OFFSET($R$3,0,0,'Données projet'!$E$9+1,1))-AVERAGE(OFFSET($H$3,0,0,'Données projet'!$E$9+1,1))</f>
        <v>422.10969295064359</v>
      </c>
      <c r="T140" s="59">
        <f t="shared" si="142"/>
        <v>184.04075143033037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42.165219289788404</v>
      </c>
      <c r="AA140" s="21">
        <f>EXP(-LN(2)/25)*AA139+(1-EXP(-LN(2)/25))/(LN(2)/25)*Calculateur!V140*Calculateur!X140*VLOOKUP('Données projet'!$B$9,Paramètres!$A$1:$I$89,3,0)*0.475*44/12</f>
        <v>21.871719069880683</v>
      </c>
      <c r="AB140" s="21">
        <f>EXP(-LN(2)/2)*AB139+(1-EXP(-LN(2)/2))/(LN(2)/2)*V140*Y140*VLOOKUP('Données projet'!$B$9,Paramètres!$A$1:$I$89,3,0)*0.475*44/12</f>
        <v>5.6413645644825698E-2</v>
      </c>
      <c r="AC140" s="22">
        <f t="shared" si="111"/>
        <v>64.093352005313903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6.7984728957526396E-14</v>
      </c>
      <c r="AK140" s="13">
        <f t="shared" si="143"/>
        <v>1.0682447123141398E-12</v>
      </c>
      <c r="AL140" s="20">
        <f t="shared" si="112"/>
        <v>1.978932943548152E-12</v>
      </c>
      <c r="AM140" s="59">
        <f t="shared" si="113"/>
        <v>293.3333333333353</v>
      </c>
      <c r="AN140" s="59">
        <f ca="1">AVERAGE(OFFSET($AM$3,0,0,'Données projet'!$E$10+1,1))-AVERAGE(OFFSET($H$3,0,0,'Données projet'!$E$10+1,1))</f>
        <v>213.90220310357444</v>
      </c>
      <c r="AO140" s="59">
        <f t="shared" si="144"/>
        <v>209.61422409790703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30.223145248567647</v>
      </c>
      <c r="AV140" s="21">
        <f>EXP(-LN(2)/25)*AV139+(1-EXP(-LN(2)/25))/(LN(2)/25)*Calculateur!AQ140*Calculateur!AS140*VLOOKUP('Données projet'!$B$10,Paramètres!$A$1:$I$89,3,0)*0.475*44/12</f>
        <v>5.7284402802299335</v>
      </c>
      <c r="AW140" s="21">
        <f>EXP(-LN(2)/2)*AW139+(1-EXP(-LN(2)/2))/(LN(2)/2)*AQ140*AT140*VLOOKUP('Données projet'!$B$10,Paramètres!$A$1:$I$89,3,0)*0.475*44/12</f>
        <v>1.5424718305484093E-10</v>
      </c>
      <c r="AX140" s="21">
        <f t="shared" si="114"/>
        <v>35.951585528951824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6">
        <f t="shared" si="110"/>
        <v>563.31908988236285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9.1440000000000055</v>
      </c>
      <c r="N141" s="13">
        <f>IF('Données projet'!$A$36&gt;35,N140+M141-V140,IF(A141&lt;'Données projet'!$A$36,$K$205^A141,IF(A141='Données projet'!$A$36,'Données projet'!$B$36,N140+M141-V140)))</f>
        <v>460.07600000000093</v>
      </c>
      <c r="O141" s="13">
        <f>N141*VLOOKUP('Données projet'!$B$9,Paramètres!$A$1:$I$89,3,0)*VLOOKUP('Données projet'!$B$9,Paramètres!$A$1:$I$89,5,0)</f>
        <v>416.27676480000082</v>
      </c>
      <c r="P141" s="13">
        <f t="shared" si="141"/>
        <v>95.068830381071379</v>
      </c>
      <c r="Q141" s="20">
        <f t="shared" si="108"/>
        <v>890.5935782737007</v>
      </c>
      <c r="R141" s="59">
        <f t="shared" si="109"/>
        <v>1183.9269116070341</v>
      </c>
      <c r="S141" s="59">
        <f ca="1">AVERAGE(OFFSET($R$3,0,0,'Données projet'!$E$9+1,1))-AVERAGE(OFFSET($H$3,0,0,'Données projet'!$E$9+1,1))</f>
        <v>422.10969295064359</v>
      </c>
      <c r="T141" s="59">
        <f t="shared" si="142"/>
        <v>184.04075143033037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41.338385057759957</v>
      </c>
      <c r="AA141" s="21">
        <f>EXP(-LN(2)/25)*AA140+(1-EXP(-LN(2)/25))/(LN(2)/25)*Calculateur!V141*Calculateur!X141*VLOOKUP('Données projet'!$B$9,Paramètres!$A$1:$I$89,3,0)*0.475*44/12</f>
        <v>21.273635761731079</v>
      </c>
      <c r="AB141" s="21">
        <f>EXP(-LN(2)/2)*AB140+(1-EXP(-LN(2)/2))/(LN(2)/2)*V141*Y141*VLOOKUP('Données projet'!$B$9,Paramètres!$A$1:$I$89,3,0)*0.475*44/12</f>
        <v>3.9890471386911194E-2</v>
      </c>
      <c r="AC141" s="22">
        <f t="shared" si="111"/>
        <v>62.651911290877948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6.7984728957526396E-14</v>
      </c>
      <c r="AK141" s="13">
        <f t="shared" si="143"/>
        <v>1.0682447123141398E-12</v>
      </c>
      <c r="AL141" s="20">
        <f t="shared" si="112"/>
        <v>1.978932943548152E-12</v>
      </c>
      <c r="AM141" s="59">
        <f t="shared" si="113"/>
        <v>293.3333333333353</v>
      </c>
      <c r="AN141" s="59">
        <f ca="1">AVERAGE(OFFSET($AM$3,0,0,'Données projet'!$E$10+1,1))-AVERAGE(OFFSET($H$3,0,0,'Données projet'!$E$10+1,1))</f>
        <v>213.90220310357444</v>
      </c>
      <c r="AO141" s="59">
        <f t="shared" si="144"/>
        <v>209.61422409790703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29.630487804541602</v>
      </c>
      <c r="AV141" s="21">
        <f>EXP(-LN(2)/25)*AV140+(1-EXP(-LN(2)/25))/(LN(2)/25)*Calculateur!AQ141*Calculateur!AS141*VLOOKUP('Données projet'!$B$10,Paramètres!$A$1:$I$89,3,0)*0.475*44/12</f>
        <v>5.5717957795214641</v>
      </c>
      <c r="AW141" s="21">
        <f>EXP(-LN(2)/2)*AW140+(1-EXP(-LN(2)/2))/(LN(2)/2)*AQ141*AT141*VLOOKUP('Données projet'!$B$10,Paramètres!$A$1:$I$89,3,0)*0.475*44/12</f>
        <v>1.0906922911700075E-10</v>
      </c>
      <c r="AX141" s="21">
        <f t="shared" si="114"/>
        <v>35.202283584172136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6">
        <f t="shared" si="110"/>
        <v>565.22789727634256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9.1440000000000055</v>
      </c>
      <c r="N142" s="13">
        <f>IF('Données projet'!$A$36&gt;35,N141+M142-V141,IF(A142&lt;'Données projet'!$A$36,$K$205^A142,IF(A142='Données projet'!$A$36,'Données projet'!$B$36,N141+M142-V141)))</f>
        <v>469.22000000000094</v>
      </c>
      <c r="O142" s="13">
        <f>N142*VLOOKUP('Données projet'!$B$9,Paramètres!$A$1:$I$89,3,0)*VLOOKUP('Données projet'!$B$9,Paramètres!$A$1:$I$89,5,0)</f>
        <v>424.55025600000084</v>
      </c>
      <c r="P142" s="13">
        <f t="shared" si="141"/>
        <v>96.736467404516418</v>
      </c>
      <c r="Q142" s="20">
        <f t="shared" si="108"/>
        <v>907.90770992953412</v>
      </c>
      <c r="R142" s="59">
        <f t="shared" si="109"/>
        <v>1201.2410432628674</v>
      </c>
      <c r="S142" s="59">
        <f ca="1">AVERAGE(OFFSET($R$3,0,0,'Données projet'!$E$9+1,1))-AVERAGE(OFFSET($H$3,0,0,'Données projet'!$E$9+1,1))</f>
        <v>422.10969295064359</v>
      </c>
      <c r="T142" s="59">
        <f t="shared" si="142"/>
        <v>184.04075143033037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40.527764540702499</v>
      </c>
      <c r="AA142" s="21">
        <f>EXP(-LN(2)/25)*AA141+(1-EXP(-LN(2)/25))/(LN(2)/25)*Calculateur!V142*Calculateur!X142*VLOOKUP('Données projet'!$B$9,Paramètres!$A$1:$I$89,3,0)*0.475*44/12</f>
        <v>20.691907073094658</v>
      </c>
      <c r="AB142" s="21">
        <f>EXP(-LN(2)/2)*AB141+(1-EXP(-LN(2)/2))/(LN(2)/2)*V142*Y142*VLOOKUP('Données projet'!$B$9,Paramètres!$A$1:$I$89,3,0)*0.475*44/12</f>
        <v>2.8206822822412849E-2</v>
      </c>
      <c r="AC142" s="22">
        <f t="shared" si="111"/>
        <v>61.247878436619573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6.7984728957526396E-14</v>
      </c>
      <c r="AK142" s="13">
        <f t="shared" si="143"/>
        <v>1.0682447123141398E-12</v>
      </c>
      <c r="AL142" s="20">
        <f t="shared" si="112"/>
        <v>1.978932943548152E-12</v>
      </c>
      <c r="AM142" s="59">
        <f t="shared" si="113"/>
        <v>293.3333333333353</v>
      </c>
      <c r="AN142" s="59">
        <f ca="1">AVERAGE(OFFSET($AM$3,0,0,'Données projet'!$E$10+1,1))-AVERAGE(OFFSET($H$3,0,0,'Données projet'!$E$10+1,1))</f>
        <v>213.90220310357444</v>
      </c>
      <c r="AO142" s="59">
        <f t="shared" si="144"/>
        <v>209.61422409790703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29.049452011507558</v>
      </c>
      <c r="AV142" s="21">
        <f>EXP(-LN(2)/25)*AV141+(1-EXP(-LN(2)/25))/(LN(2)/25)*Calculateur!AQ142*Calculateur!AS142*VLOOKUP('Données projet'!$B$10,Paramètres!$A$1:$I$89,3,0)*0.475*44/12</f>
        <v>5.4194347309224442</v>
      </c>
      <c r="AW142" s="21">
        <f>EXP(-LN(2)/2)*AW141+(1-EXP(-LN(2)/2))/(LN(2)/2)*AQ142*AT142*VLOOKUP('Données projet'!$B$10,Paramètres!$A$1:$I$89,3,0)*0.475*44/12</f>
        <v>7.7123591527420465E-11</v>
      </c>
      <c r="AX142" s="21">
        <f t="shared" si="114"/>
        <v>34.468886742507124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6">
        <f t="shared" si="110"/>
        <v>567.13640322787103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9.1440000000000055</v>
      </c>
      <c r="N143" s="13">
        <f>IF('Données projet'!$A$36&gt;35,N142+M143-V142,IF(A143&lt;'Données projet'!$A$36,$K$205^A143,IF(A143='Données projet'!$A$36,'Données projet'!$B$36,N142+M143-V142)))</f>
        <v>478.36400000000094</v>
      </c>
      <c r="O143" s="13">
        <f>N143*VLOOKUP('Données projet'!$B$9,Paramètres!$A$1:$I$89,3,0)*VLOOKUP('Données projet'!$B$9,Paramètres!$A$1:$I$89,5,0)</f>
        <v>432.82374720000081</v>
      </c>
      <c r="P143" s="13">
        <f t="shared" si="141"/>
        <v>98.400325655042849</v>
      </c>
      <c r="Q143" s="20">
        <f t="shared" si="108"/>
        <v>925.21526022253431</v>
      </c>
      <c r="R143" s="59">
        <f t="shared" si="109"/>
        <v>1218.5485935558677</v>
      </c>
      <c r="S143" s="59">
        <f ca="1">AVERAGE(OFFSET($R$3,0,0,'Données projet'!$E$9+1,1))-AVERAGE(OFFSET($H$3,0,0,'Données projet'!$E$9+1,1))</f>
        <v>422.10969295064359</v>
      </c>
      <c r="T143" s="59">
        <f t="shared" si="142"/>
        <v>184.04075143033037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39.733039797554845</v>
      </c>
      <c r="AA143" s="21">
        <f>EXP(-LN(2)/25)*AA142+(1-EXP(-LN(2)/25))/(LN(2)/25)*Calculateur!V143*Calculateur!X143*VLOOKUP('Données projet'!$B$9,Paramètres!$A$1:$I$89,3,0)*0.475*44/12</f>
        <v>20.126085786040782</v>
      </c>
      <c r="AB143" s="21">
        <f>EXP(-LN(2)/2)*AB142+(1-EXP(-LN(2)/2))/(LN(2)/2)*V143*Y143*VLOOKUP('Données projet'!$B$9,Paramètres!$A$1:$I$89,3,0)*0.475*44/12</f>
        <v>1.9945235693455597E-2</v>
      </c>
      <c r="AC143" s="22">
        <f t="shared" si="111"/>
        <v>59.879070819289083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6.7984728957526396E-14</v>
      </c>
      <c r="AK143" s="13">
        <f t="shared" si="143"/>
        <v>1.0682447123141398E-12</v>
      </c>
      <c r="AL143" s="20">
        <f t="shared" si="112"/>
        <v>1.978932943548152E-12</v>
      </c>
      <c r="AM143" s="59">
        <f t="shared" si="113"/>
        <v>293.3333333333353</v>
      </c>
      <c r="AN143" s="59">
        <f ca="1">AVERAGE(OFFSET($AM$3,0,0,'Données projet'!$E$10+1,1))-AVERAGE(OFFSET($H$3,0,0,'Données projet'!$E$10+1,1))</f>
        <v>213.90220310357444</v>
      </c>
      <c r="AO143" s="59">
        <f t="shared" si="144"/>
        <v>209.61422409790703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28.479809975978075</v>
      </c>
      <c r="AV143" s="21">
        <f>EXP(-LN(2)/25)*AV142+(1-EXP(-LN(2)/25))/(LN(2)/25)*Calculateur!AQ143*Calculateur!AS143*VLOOKUP('Données projet'!$B$10,Paramètres!$A$1:$I$89,3,0)*0.475*44/12</f>
        <v>5.2712400032096838</v>
      </c>
      <c r="AW143" s="21">
        <f>EXP(-LN(2)/2)*AW142+(1-EXP(-LN(2)/2))/(LN(2)/2)*AQ143*AT143*VLOOKUP('Données projet'!$B$10,Paramètres!$A$1:$I$89,3,0)*0.475*44/12</f>
        <v>5.4534614558500374E-11</v>
      </c>
      <c r="AX143" s="21">
        <f t="shared" si="114"/>
        <v>33.751049979242289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6">
        <f t="shared" si="110"/>
        <v>569.04461013977823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9.1440000000000055</v>
      </c>
      <c r="N144" s="13">
        <f>IF('Données projet'!$A$36&gt;35,N143+M144-V143,IF(A144&lt;'Données projet'!$A$36,$K$205^A144,IF(A144='Données projet'!$A$36,'Données projet'!$B$36,N143+M144-V143)))</f>
        <v>487.50800000000095</v>
      </c>
      <c r="O144" s="13">
        <f>N144*VLOOKUP('Données projet'!$B$9,Paramètres!$A$1:$I$89,3,0)*VLOOKUP('Données projet'!$B$9,Paramètres!$A$1:$I$89,5,0)</f>
        <v>441.09723840000083</v>
      </c>
      <c r="P144" s="13">
        <f t="shared" si="141"/>
        <v>100.06048569250036</v>
      </c>
      <c r="Q144" s="20">
        <f t="shared" si="108"/>
        <v>942.51636946110614</v>
      </c>
      <c r="R144" s="59">
        <f t="shared" si="109"/>
        <v>1235.8497027944395</v>
      </c>
      <c r="S144" s="59">
        <f ca="1">AVERAGE(OFFSET($R$3,0,0,'Données projet'!$E$9+1,1))-AVERAGE(OFFSET($H$3,0,0,'Données projet'!$E$9+1,1))</f>
        <v>422.10969295064359</v>
      </c>
      <c r="T144" s="59">
        <f t="shared" si="142"/>
        <v>184.04075143033037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38.953899121886089</v>
      </c>
      <c r="AA144" s="21">
        <f>EXP(-LN(2)/25)*AA143+(1-EXP(-LN(2)/25))/(LN(2)/25)*Calculateur!V144*Calculateur!X144*VLOOKUP('Données projet'!$B$9,Paramètres!$A$1:$I$89,3,0)*0.475*44/12</f>
        <v>19.575736911836646</v>
      </c>
      <c r="AB144" s="21">
        <f>EXP(-LN(2)/2)*AB143+(1-EXP(-LN(2)/2))/(LN(2)/2)*V144*Y144*VLOOKUP('Données projet'!$B$9,Paramètres!$A$1:$I$89,3,0)*0.475*44/12</f>
        <v>1.4103411411206425E-2</v>
      </c>
      <c r="AC144" s="22">
        <f t="shared" si="111"/>
        <v>58.543739445133944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6.7984728957526396E-14</v>
      </c>
      <c r="AK144" s="13">
        <f t="shared" si="143"/>
        <v>1.0682447123141398E-12</v>
      </c>
      <c r="AL144" s="20">
        <f t="shared" si="112"/>
        <v>1.978932943548152E-12</v>
      </c>
      <c r="AM144" s="59">
        <f t="shared" si="113"/>
        <v>293.3333333333353</v>
      </c>
      <c r="AN144" s="59">
        <f ca="1">AVERAGE(OFFSET($AM$3,0,0,'Données projet'!$E$10+1,1))-AVERAGE(OFFSET($H$3,0,0,'Données projet'!$E$10+1,1))</f>
        <v>213.90220310357444</v>
      </c>
      <c r="AO144" s="59">
        <f t="shared" si="144"/>
        <v>209.61422409790703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27.921338273317989</v>
      </c>
      <c r="AV144" s="21">
        <f>EXP(-LN(2)/25)*AV143+(1-EXP(-LN(2)/25))/(LN(2)/25)*Calculateur!AQ144*Calculateur!AS144*VLOOKUP('Données projet'!$B$10,Paramètres!$A$1:$I$89,3,0)*0.475*44/12</f>
        <v>5.1270976681194504</v>
      </c>
      <c r="AW144" s="21">
        <f>EXP(-LN(2)/2)*AW143+(1-EXP(-LN(2)/2))/(LN(2)/2)*AQ144*AT144*VLOOKUP('Données projet'!$B$10,Paramètres!$A$1:$I$89,3,0)*0.475*44/12</f>
        <v>3.8561795763710233E-11</v>
      </c>
      <c r="AX144" s="21">
        <f t="shared" si="114"/>
        <v>33.048435941476001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6">
        <f t="shared" si="110"/>
        <v>570.95252037884222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9.1440000000000055</v>
      </c>
      <c r="N145" s="13">
        <f>IF('Données projet'!$A$36&gt;35,N144+M145-V144,IF(A145&lt;'Données projet'!$A$36,$K$205^A145,IF(A145='Données projet'!$A$36,'Données projet'!$B$36,N144+M145-V144)))</f>
        <v>496.65200000000095</v>
      </c>
      <c r="O145" s="13">
        <f>N145*VLOOKUP('Données projet'!$B$9,Paramètres!$A$1:$I$89,3,0)*VLOOKUP('Données projet'!$B$9,Paramètres!$A$1:$I$89,5,0)</f>
        <v>449.37072960000086</v>
      </c>
      <c r="P145" s="13">
        <f t="shared" si="141"/>
        <v>101.71702488172154</v>
      </c>
      <c r="Q145" s="20">
        <f t="shared" si="108"/>
        <v>959.81117238899981</v>
      </c>
      <c r="R145" s="59">
        <f t="shared" si="109"/>
        <v>1253.1445057223332</v>
      </c>
      <c r="S145" s="59">
        <f ca="1">AVERAGE(OFFSET($R$3,0,0,'Données projet'!$E$9+1,1))-AVERAGE(OFFSET($H$3,0,0,'Données projet'!$E$9+1,1))</f>
        <v>422.10969295064359</v>
      </c>
      <c r="T145" s="59">
        <f t="shared" si="142"/>
        <v>184.04075143033037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38.19003691963831</v>
      </c>
      <c r="AA145" s="21">
        <f>EXP(-LN(2)/25)*AA144+(1-EXP(-LN(2)/25))/(LN(2)/25)*Calculateur!V145*Calculateur!X145*VLOOKUP('Données projet'!$B$9,Paramètres!$A$1:$I$89,3,0)*0.475*44/12</f>
        <v>19.040437356539211</v>
      </c>
      <c r="AB145" s="21">
        <f>EXP(-LN(2)/2)*AB144+(1-EXP(-LN(2)/2))/(LN(2)/2)*V145*Y145*VLOOKUP('Données projet'!$B$9,Paramètres!$A$1:$I$89,3,0)*0.475*44/12</f>
        <v>9.9726178467277986E-3</v>
      </c>
      <c r="AC145" s="22">
        <f t="shared" si="111"/>
        <v>57.240446894024245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6.7984728957526396E-14</v>
      </c>
      <c r="AK145" s="13">
        <f t="shared" si="143"/>
        <v>1.0682447123141398E-12</v>
      </c>
      <c r="AL145" s="20">
        <f t="shared" si="112"/>
        <v>1.978932943548152E-12</v>
      </c>
      <c r="AM145" s="59">
        <f t="shared" si="113"/>
        <v>293.3333333333353</v>
      </c>
      <c r="AN145" s="59">
        <f ca="1">AVERAGE(OFFSET($AM$3,0,0,'Données projet'!$E$10+1,1))-AVERAGE(OFFSET($H$3,0,0,'Données projet'!$E$10+1,1))</f>
        <v>213.90220310357444</v>
      </c>
      <c r="AO145" s="59">
        <f t="shared" si="144"/>
        <v>209.61422409790703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27.373817860112965</v>
      </c>
      <c r="AV145" s="21">
        <f>EXP(-LN(2)/25)*AV144+(1-EXP(-LN(2)/25))/(LN(2)/25)*Calculateur!AQ145*Calculateur!AS145*VLOOKUP('Données projet'!$B$10,Paramètres!$A$1:$I$89,3,0)*0.475*44/12</f>
        <v>4.9868969127623757</v>
      </c>
      <c r="AW145" s="21">
        <f>EXP(-LN(2)/2)*AW144+(1-EXP(-LN(2)/2))/(LN(2)/2)*AQ145*AT145*VLOOKUP('Données projet'!$B$10,Paramètres!$A$1:$I$89,3,0)*0.475*44/12</f>
        <v>2.7267307279250187E-11</v>
      </c>
      <c r="AX145" s="21">
        <f t="shared" si="114"/>
        <v>32.360714772902611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6">
        <f t="shared" si="110"/>
        <v>572.8601362765794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9.1440000000000055</v>
      </c>
      <c r="N146" s="13">
        <f>IF('Données projet'!$A$36&gt;35,N145+M146-V145,IF(A146&lt;'Données projet'!$A$36,$K$205^A146,IF(A146='Données projet'!$A$36,'Données projet'!$B$36,N145+M146-V145)))</f>
        <v>505.79600000000096</v>
      </c>
      <c r="O146" s="13">
        <f>N146*VLOOKUP('Données projet'!$B$9,Paramètres!$A$1:$I$89,3,0)*VLOOKUP('Données projet'!$B$9,Paramètres!$A$1:$I$89,5,0)</f>
        <v>457.64422080000088</v>
      </c>
      <c r="P146" s="13">
        <f t="shared" si="141"/>
        <v>103.37001757568726</v>
      </c>
      <c r="Q146" s="20">
        <f t="shared" si="108"/>
        <v>977.0997985043233</v>
      </c>
      <c r="R146" s="59">
        <f t="shared" si="109"/>
        <v>1270.4331318376567</v>
      </c>
      <c r="S146" s="59">
        <f ca="1">AVERAGE(OFFSET($R$3,0,0,'Données projet'!$E$9+1,1))-AVERAGE(OFFSET($H$3,0,0,'Données projet'!$E$9+1,1))</f>
        <v>422.10969295064359</v>
      </c>
      <c r="T146" s="59">
        <f t="shared" si="142"/>
        <v>184.04075143033037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37.441153589266669</v>
      </c>
      <c r="AA146" s="21">
        <f>EXP(-LN(2)/25)*AA145+(1-EXP(-LN(2)/25))/(LN(2)/25)*Calculateur!V146*Calculateur!X146*VLOOKUP('Données projet'!$B$9,Paramètres!$A$1:$I$89,3,0)*0.475*44/12</f>
        <v>18.519775595731563</v>
      </c>
      <c r="AB146" s="21">
        <f>EXP(-LN(2)/2)*AB145+(1-EXP(-LN(2)/2))/(LN(2)/2)*V146*Y146*VLOOKUP('Données projet'!$B$9,Paramètres!$A$1:$I$89,3,0)*0.475*44/12</f>
        <v>7.0517057056032123E-3</v>
      </c>
      <c r="AC146" s="22">
        <f t="shared" si="111"/>
        <v>55.967980890703842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6.7984728957526396E-14</v>
      </c>
      <c r="AK146" s="13">
        <f t="shared" si="143"/>
        <v>1.0682447123141398E-12</v>
      </c>
      <c r="AL146" s="20">
        <f t="shared" si="112"/>
        <v>1.978932943548152E-12</v>
      </c>
      <c r="AM146" s="59">
        <f t="shared" si="113"/>
        <v>293.3333333333353</v>
      </c>
      <c r="AN146" s="59">
        <f ca="1">AVERAGE(OFFSET($AM$3,0,0,'Données projet'!$E$10+1,1))-AVERAGE(OFFSET($H$3,0,0,'Données projet'!$E$10+1,1))</f>
        <v>213.90220310357444</v>
      </c>
      <c r="AO146" s="59">
        <f t="shared" si="144"/>
        <v>209.61422409790703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26.837033988256415</v>
      </c>
      <c r="AV146" s="21">
        <f>EXP(-LN(2)/25)*AV145+(1-EXP(-LN(2)/25))/(LN(2)/25)*Calculateur!AQ146*Calculateur!AS146*VLOOKUP('Données projet'!$B$10,Paramètres!$A$1:$I$89,3,0)*0.475*44/12</f>
        <v>4.8505299544333775</v>
      </c>
      <c r="AW146" s="21">
        <f>EXP(-LN(2)/2)*AW145+(1-EXP(-LN(2)/2))/(LN(2)/2)*AQ146*AT146*VLOOKUP('Données projet'!$B$10,Paramètres!$A$1:$I$89,3,0)*0.475*44/12</f>
        <v>1.9280897881855116E-11</v>
      </c>
      <c r="AX146" s="21">
        <f t="shared" si="114"/>
        <v>31.687563942709073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6">
        <f t="shared" si="110"/>
        <v>574.76746013001298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9.1440000000000055</v>
      </c>
      <c r="M147" s="12">
        <f t="array" ref="M147">INDEX(L:L,MIN(IF(ISNUMBER(L147:L343),ROW(L147:L343),"")))</f>
        <v>9.1440000000000055</v>
      </c>
      <c r="N147" s="13">
        <f>IF('Données projet'!$A$36&gt;35,N146+M147-V146,IF(A147&lt;'Données projet'!$A$36,$K$205^A147,IF(A147='Données projet'!$A$36,'Données projet'!$B$36,N146+M147-V146)))</f>
        <v>514.94000000000096</v>
      </c>
      <c r="O147" s="13">
        <f>N147*VLOOKUP('Données projet'!$B$9,Paramètres!$A$1:$I$89,3,0)*VLOOKUP('Données projet'!$B$9,Paramètres!$A$1:$I$89,5,0)</f>
        <v>465.91771200000085</v>
      </c>
      <c r="P147" s="13">
        <f t="shared" si="141"/>
        <v>105.01953528507198</v>
      </c>
      <c r="Q147" s="20">
        <f t="shared" si="108"/>
        <v>994.38237235483496</v>
      </c>
      <c r="R147" s="59">
        <f t="shared" si="109"/>
        <v>1287.7157056881683</v>
      </c>
      <c r="S147" s="59">
        <f ca="1">AVERAGE(OFFSET($R$3,0,0,'Données projet'!$E$9+1,1))-AVERAGE(OFFSET($H$3,0,0,'Données projet'!$E$9+1,1))</f>
        <v>422.10969295064359</v>
      </c>
      <c r="T147" s="59">
        <f t="shared" si="142"/>
        <v>184.04075143033037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61.800000000000068</v>
      </c>
      <c r="W147" s="16">
        <f>IF(ISNA(VLOOKUP(A147,'Données projet'!$A$35:$I$55,5,0)),0%,VLOOKUP(A147,'Données projet'!$A$35:$I$55,5,0)*VLOOKUP('Données projet'!$B$9,Paramètres!$A$1:$I$89,7,0))</f>
        <v>0.215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49.997006091476479</v>
      </c>
      <c r="AA147" s="21">
        <f>EXP(-LN(2)/25)*AA146+(1-EXP(-LN(2)/25))/(LN(2)/25)*Calculateur!V147*Calculateur!X147*VLOOKUP('Données projet'!$B$9,Paramètres!$A$1:$I$89,3,0)*0.475*44/12</f>
        <v>23.30844043566745</v>
      </c>
      <c r="AB147" s="21">
        <f>EXP(-LN(2)/2)*AB146+(1-EXP(-LN(2)/2))/(LN(2)/2)*V147*Y147*VLOOKUP('Données projet'!$B$9,Paramètres!$A$1:$I$89,3,0)*0.475*44/12</f>
        <v>4.9863089233638993E-3</v>
      </c>
      <c r="AC147" s="22">
        <f t="shared" si="111"/>
        <v>73.310432836067292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6.7984728957526396E-14</v>
      </c>
      <c r="AK147" s="13">
        <f t="shared" si="143"/>
        <v>1.0682447123141398E-12</v>
      </c>
      <c r="AL147" s="20">
        <f t="shared" si="112"/>
        <v>1.978932943548152E-12</v>
      </c>
      <c r="AM147" s="59">
        <f t="shared" si="113"/>
        <v>293.3333333333353</v>
      </c>
      <c r="AN147" s="59">
        <f ca="1">AVERAGE(OFFSET($AM$3,0,0,'Données projet'!$E$10+1,1))-AVERAGE(OFFSET($H$3,0,0,'Données projet'!$E$10+1,1))</f>
        <v>213.90220310357444</v>
      </c>
      <c r="AO147" s="59">
        <f t="shared" si="144"/>
        <v>209.61422409790703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26.310776120721137</v>
      </c>
      <c r="AV147" s="21">
        <f>EXP(-LN(2)/25)*AV146+(1-EXP(-LN(2)/25))/(LN(2)/25)*Calculateur!AQ147*Calculateur!AS147*VLOOKUP('Données projet'!$B$10,Paramètres!$A$1:$I$89,3,0)*0.475*44/12</f>
        <v>4.7178919577511129</v>
      </c>
      <c r="AW147" s="21">
        <f>EXP(-LN(2)/2)*AW146+(1-EXP(-LN(2)/2))/(LN(2)/2)*AQ147*AT147*VLOOKUP('Données projet'!$B$10,Paramètres!$A$1:$I$89,3,0)*0.475*44/12</f>
        <v>1.3633653639625093E-11</v>
      </c>
      <c r="AX147" s="21">
        <f t="shared" si="114"/>
        <v>31.028668078485886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6">
        <f t="shared" si="110"/>
        <v>576.6744942024194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9.3350000000000026</v>
      </c>
      <c r="N148" s="13">
        <f>IF('Données projet'!$A$36&gt;35,N147+M148-V147,IF(A148&lt;'Données projet'!$A$36,$K$205^A148,IF(A148='Données projet'!$A$36,'Données projet'!$B$36,N147+M148-V147)))</f>
        <v>462.47500000000093</v>
      </c>
      <c r="O148" s="13">
        <f>N148*VLOOKUP('Données projet'!$B$9,Paramètres!$A$1:$I$89,3,0)*VLOOKUP('Données projet'!$B$9,Paramètres!$A$1:$I$89,5,0)</f>
        <v>418.44738000000081</v>
      </c>
      <c r="P148" s="13">
        <f t="shared" si="141"/>
        <v>95.506718301246906</v>
      </c>
      <c r="Q148" s="20">
        <f t="shared" si="108"/>
        <v>895.13672120800663</v>
      </c>
      <c r="R148" s="59">
        <f t="shared" si="109"/>
        <v>1188.47005454134</v>
      </c>
      <c r="S148" s="59">
        <f ca="1">AVERAGE(OFFSET($R$3,0,0,'Données projet'!$E$9+1,1))-AVERAGE(OFFSET($H$3,0,0,'Données projet'!$E$9+1,1))</f>
        <v>422.10969295064359</v>
      </c>
      <c r="T148" s="59">
        <f t="shared" si="142"/>
        <v>184.04075143033037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49.016595297185191</v>
      </c>
      <c r="AA148" s="21">
        <f>EXP(-LN(2)/25)*AA147+(1-EXP(-LN(2)/25))/(LN(2)/25)*Calculateur!V148*Calculateur!X148*VLOOKUP('Données projet'!$B$9,Paramètres!$A$1:$I$89,3,0)*0.475*44/12</f>
        <v>22.671069906216513</v>
      </c>
      <c r="AB148" s="21">
        <f>EXP(-LN(2)/2)*AB147+(1-EXP(-LN(2)/2))/(LN(2)/2)*V148*Y148*VLOOKUP('Données projet'!$B$9,Paramètres!$A$1:$I$89,3,0)*0.475*44/12</f>
        <v>3.5258528528016061E-3</v>
      </c>
      <c r="AC148" s="22">
        <f t="shared" si="111"/>
        <v>71.69119105625451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6.7984728957526396E-14</v>
      </c>
      <c r="AK148" s="13">
        <f t="shared" si="143"/>
        <v>1.0682447123141398E-12</v>
      </c>
      <c r="AL148" s="20">
        <f t="shared" si="112"/>
        <v>1.978932943548152E-12</v>
      </c>
      <c r="AM148" s="59">
        <f t="shared" si="113"/>
        <v>293.3333333333353</v>
      </c>
      <c r="AN148" s="59">
        <f ca="1">AVERAGE(OFFSET($AM$3,0,0,'Données projet'!$E$10+1,1))-AVERAGE(OFFSET($H$3,0,0,'Données projet'!$E$10+1,1))</f>
        <v>213.90220310357444</v>
      </c>
      <c r="AO148" s="59">
        <f t="shared" si="144"/>
        <v>209.61422409790703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25.79483784898262</v>
      </c>
      <c r="AV148" s="21">
        <f>EXP(-LN(2)/25)*AV147+(1-EXP(-LN(2)/25))/(LN(2)/25)*Calculateur!AQ148*Calculateur!AS148*VLOOKUP('Données projet'!$B$10,Paramètres!$A$1:$I$89,3,0)*0.475*44/12</f>
        <v>4.5888809540632538</v>
      </c>
      <c r="AW148" s="21">
        <f>EXP(-LN(2)/2)*AW147+(1-EXP(-LN(2)/2))/(LN(2)/2)*AQ148*AT148*VLOOKUP('Données projet'!$B$10,Paramètres!$A$1:$I$89,3,0)*0.475*44/12</f>
        <v>9.6404489409275581E-12</v>
      </c>
      <c r="AX148" s="21">
        <f t="shared" si="114"/>
        <v>30.383718803055515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6">
        <f t="shared" si="110"/>
        <v>578.58124072405269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9.3350000000000026</v>
      </c>
      <c r="N149" s="13">
        <f>IF('Données projet'!$A$36&gt;35,N148+M149-V148,IF(A149&lt;'Données projet'!$A$36,$K$205^A149,IF(A149='Données projet'!$A$36,'Données projet'!$B$36,N148+M149-V148)))</f>
        <v>471.81000000000091</v>
      </c>
      <c r="O149" s="13">
        <f>N149*VLOOKUP('Données projet'!$B$9,Paramètres!$A$1:$I$89,3,0)*VLOOKUP('Données projet'!$B$9,Paramètres!$A$1:$I$89,5,0)</f>
        <v>426.89368800000079</v>
      </c>
      <c r="P149" s="13">
        <f t="shared" si="141"/>
        <v>97.208128358788159</v>
      </c>
      <c r="Q149" s="20">
        <f t="shared" si="108"/>
        <v>912.81066349155742</v>
      </c>
      <c r="R149" s="59">
        <f t="shared" si="109"/>
        <v>1206.1439968248908</v>
      </c>
      <c r="S149" s="59">
        <f ca="1">AVERAGE(OFFSET($R$3,0,0,'Données projet'!$E$9+1,1))-AVERAGE(OFFSET($H$3,0,0,'Données projet'!$E$9+1,1))</f>
        <v>422.10969295064359</v>
      </c>
      <c r="T149" s="59">
        <f t="shared" si="142"/>
        <v>184.04075143033037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48.055409760578421</v>
      </c>
      <c r="AA149" s="21">
        <f>EXP(-LN(2)/25)*AA148+(1-EXP(-LN(2)/25))/(LN(2)/25)*Calculateur!V149*Calculateur!X149*VLOOKUP('Données projet'!$B$9,Paramètres!$A$1:$I$89,3,0)*0.475*44/12</f>
        <v>22.051128307411272</v>
      </c>
      <c r="AB149" s="21">
        <f>EXP(-LN(2)/2)*AB148+(1-EXP(-LN(2)/2))/(LN(2)/2)*V149*Y149*VLOOKUP('Données projet'!$B$9,Paramètres!$A$1:$I$89,3,0)*0.475*44/12</f>
        <v>2.4931544616819496E-3</v>
      </c>
      <c r="AC149" s="22">
        <f t="shared" si="111"/>
        <v>70.109031222451364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6.7984728957526396E-14</v>
      </c>
      <c r="AK149" s="13">
        <f t="shared" si="143"/>
        <v>1.0682447123141398E-12</v>
      </c>
      <c r="AL149" s="20">
        <f t="shared" si="112"/>
        <v>1.978932943548152E-12</v>
      </c>
      <c r="AM149" s="59">
        <f t="shared" si="113"/>
        <v>293.3333333333353</v>
      </c>
      <c r="AN149" s="59">
        <f ca="1">AVERAGE(OFFSET($AM$3,0,0,'Données projet'!$E$10+1,1))-AVERAGE(OFFSET($H$3,0,0,'Données projet'!$E$10+1,1))</f>
        <v>213.90220310357444</v>
      </c>
      <c r="AO149" s="59">
        <f t="shared" si="144"/>
        <v>209.61422409790703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25.289016812061625</v>
      </c>
      <c r="AV149" s="21">
        <f>EXP(-LN(2)/25)*AV148+(1-EXP(-LN(2)/25))/(LN(2)/25)*Calculateur!AQ149*Calculateur!AS149*VLOOKUP('Données projet'!$B$10,Paramètres!$A$1:$I$89,3,0)*0.475*44/12</f>
        <v>4.4633977630556325</v>
      </c>
      <c r="AW149" s="21">
        <f>EXP(-LN(2)/2)*AW148+(1-EXP(-LN(2)/2))/(LN(2)/2)*AQ149*AT149*VLOOKUP('Données projet'!$B$10,Paramètres!$A$1:$I$89,3,0)*0.475*44/12</f>
        <v>6.8168268198125467E-12</v>
      </c>
      <c r="AX149" s="21">
        <f t="shared" si="114"/>
        <v>29.752414575124075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6">
        <f t="shared" si="110"/>
        <v>580.48770189284971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9.3350000000000026</v>
      </c>
      <c r="N150" s="13">
        <f>IF('Données projet'!$A$36&gt;35,N149+M150-V149,IF(A150&lt;'Données projet'!$A$36,$K$205^A150,IF(A150='Données projet'!$A$36,'Données projet'!$B$36,N149+M150-V149)))</f>
        <v>481.14500000000089</v>
      </c>
      <c r="O150" s="13">
        <f>N150*VLOOKUP('Données projet'!$B$9,Paramètres!$A$1:$I$89,3,0)*VLOOKUP('Données projet'!$B$9,Paramètres!$A$1:$I$89,5,0)</f>
        <v>435.33999600000078</v>
      </c>
      <c r="P150" s="13">
        <f t="shared" si="141"/>
        <v>98.905624251508897</v>
      </c>
      <c r="Q150" s="20">
        <f t="shared" si="108"/>
        <v>930.4777886047126</v>
      </c>
      <c r="R150" s="59">
        <f t="shared" si="109"/>
        <v>1223.811121938046</v>
      </c>
      <c r="S150" s="59">
        <f ca="1">AVERAGE(OFFSET($R$3,0,0,'Données projet'!$E$9+1,1))-AVERAGE(OFFSET($H$3,0,0,'Données projet'!$E$9+1,1))</f>
        <v>422.10969295064359</v>
      </c>
      <c r="T150" s="59">
        <f t="shared" si="142"/>
        <v>184.04075143033037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47.113072486079218</v>
      </c>
      <c r="AA150" s="21">
        <f>EXP(-LN(2)/25)*AA149+(1-EXP(-LN(2)/25))/(LN(2)/25)*Calculateur!V150*Calculateur!X150*VLOOKUP('Données projet'!$B$9,Paramètres!$A$1:$I$89,3,0)*0.475*44/12</f>
        <v>21.448139044226672</v>
      </c>
      <c r="AB150" s="21">
        <f>EXP(-LN(2)/2)*AB149+(1-EXP(-LN(2)/2))/(LN(2)/2)*V150*Y150*VLOOKUP('Données projet'!$B$9,Paramètres!$A$1:$I$89,3,0)*0.475*44/12</f>
        <v>1.7629264264008031E-3</v>
      </c>
      <c r="AC150" s="22">
        <f t="shared" si="111"/>
        <v>68.562974456732277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6.7984728957526396E-14</v>
      </c>
      <c r="AK150" s="13">
        <f t="shared" si="143"/>
        <v>1.0682447123141398E-12</v>
      </c>
      <c r="AL150" s="20">
        <f t="shared" si="112"/>
        <v>1.978932943548152E-12</v>
      </c>
      <c r="AM150" s="59">
        <f t="shared" si="113"/>
        <v>293.3333333333353</v>
      </c>
      <c r="AN150" s="59">
        <f ca="1">AVERAGE(OFFSET($AM$3,0,0,'Données projet'!$E$10+1,1))-AVERAGE(OFFSET($H$3,0,0,'Données projet'!$E$10+1,1))</f>
        <v>213.90220310357444</v>
      </c>
      <c r="AO150" s="59">
        <f t="shared" si="144"/>
        <v>209.61422409790703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24.793114617154281</v>
      </c>
      <c r="AV150" s="21">
        <f>EXP(-LN(2)/25)*AV149+(1-EXP(-LN(2)/25))/(LN(2)/25)*Calculateur!AQ150*Calculateur!AS150*VLOOKUP('Données projet'!$B$10,Paramètres!$A$1:$I$89,3,0)*0.475*44/12</f>
        <v>4.3413459165049888</v>
      </c>
      <c r="AW150" s="21">
        <f>EXP(-LN(2)/2)*AW149+(1-EXP(-LN(2)/2))/(LN(2)/2)*AQ150*AT150*VLOOKUP('Données projet'!$B$10,Paramètres!$A$1:$I$89,3,0)*0.475*44/12</f>
        <v>4.8202244704637791E-12</v>
      </c>
      <c r="AX150" s="21">
        <f t="shared" si="114"/>
        <v>29.13446053366409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6">
        <f t="shared" si="110"/>
        <v>582.39387987511509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9.3350000000000026</v>
      </c>
      <c r="N151" s="13">
        <f>IF('Données projet'!$A$36&gt;35,N150+M151-V150,IF(A151&lt;'Données projet'!$A$36,$K$205^A151,IF(A151='Données projet'!$A$36,'Données projet'!$B$36,N150+M151-V150)))</f>
        <v>490.48000000000087</v>
      </c>
      <c r="O151" s="13">
        <f>N151*VLOOKUP('Données projet'!$B$9,Paramètres!$A$1:$I$89,3,0)*VLOOKUP('Données projet'!$B$9,Paramètres!$A$1:$I$89,5,0)</f>
        <v>443.78630400000077</v>
      </c>
      <c r="P151" s="13">
        <f t="shared" si="141"/>
        <v>100.59929067522565</v>
      </c>
      <c r="Q151" s="20">
        <f t="shared" si="108"/>
        <v>948.13824405935259</v>
      </c>
      <c r="R151" s="59">
        <f t="shared" si="109"/>
        <v>1241.471577392686</v>
      </c>
      <c r="S151" s="59">
        <f ca="1">AVERAGE(OFFSET($R$3,0,0,'Données projet'!$E$9+1,1))-AVERAGE(OFFSET($H$3,0,0,'Données projet'!$E$9+1,1))</f>
        <v>422.10969295064359</v>
      </c>
      <c r="T151" s="59">
        <f t="shared" si="142"/>
        <v>184.04075143033037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46.189213870763965</v>
      </c>
      <c r="AA151" s="21">
        <f>EXP(-LN(2)/25)*AA150+(1-EXP(-LN(2)/25))/(LN(2)/25)*Calculateur!V151*Calculateur!X151*VLOOKUP('Données projet'!$B$9,Paramètres!$A$1:$I$89,3,0)*0.475*44/12</f>
        <v>20.861638554153682</v>
      </c>
      <c r="AB151" s="21">
        <f>EXP(-LN(2)/2)*AB150+(1-EXP(-LN(2)/2))/(LN(2)/2)*V151*Y151*VLOOKUP('Données projet'!$B$9,Paramètres!$A$1:$I$89,3,0)*0.475*44/12</f>
        <v>1.2465772308409748E-3</v>
      </c>
      <c r="AC151" s="22">
        <f t="shared" si="111"/>
        <v>67.052099002148495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6.7984728957526396E-14</v>
      </c>
      <c r="AK151" s="13">
        <f t="shared" si="143"/>
        <v>1.0682447123141398E-12</v>
      </c>
      <c r="AL151" s="20">
        <f t="shared" si="112"/>
        <v>1.978932943548152E-12</v>
      </c>
      <c r="AM151" s="59">
        <f t="shared" si="113"/>
        <v>293.3333333333353</v>
      </c>
      <c r="AN151" s="59">
        <f ca="1">AVERAGE(OFFSET($AM$3,0,0,'Données projet'!$E$10+1,1))-AVERAGE(OFFSET($H$3,0,0,'Données projet'!$E$10+1,1))</f>
        <v>213.90220310357444</v>
      </c>
      <c r="AO151" s="59">
        <f t="shared" si="144"/>
        <v>209.61422409790703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24.306936761818598</v>
      </c>
      <c r="AV151" s="21">
        <f>EXP(-LN(2)/25)*AV150+(1-EXP(-LN(2)/25))/(LN(2)/25)*Calculateur!AQ151*Calculateur!AS151*VLOOKUP('Données projet'!$B$10,Paramètres!$A$1:$I$89,3,0)*0.475*44/12</f>
        <v>4.2226315841167006</v>
      </c>
      <c r="AW151" s="21">
        <f>EXP(-LN(2)/2)*AW150+(1-EXP(-LN(2)/2))/(LN(2)/2)*AQ151*AT151*VLOOKUP('Données projet'!$B$10,Paramètres!$A$1:$I$89,3,0)*0.475*44/12</f>
        <v>3.4084134099062734E-12</v>
      </c>
      <c r="AX151" s="21">
        <f t="shared" si="114"/>
        <v>28.529568345938706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6">
        <f t="shared" si="110"/>
        <v>584.29977680618606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9.3350000000000026</v>
      </c>
      <c r="N152" s="13">
        <f>IF('Données projet'!$A$36&gt;35,N151+M152-V151,IF(A152&lt;'Données projet'!$A$36,$K$205^A152,IF(A152='Données projet'!$A$36,'Données projet'!$B$36,N151+M152-V151)))</f>
        <v>499.81500000000085</v>
      </c>
      <c r="O152" s="13">
        <f>N152*VLOOKUP('Données projet'!$B$9,Paramètres!$A$1:$I$89,3,0)*VLOOKUP('Données projet'!$B$9,Paramètres!$A$1:$I$89,5,0)</f>
        <v>452.2326120000007</v>
      </c>
      <c r="P152" s="13">
        <f t="shared" si="141"/>
        <v>102.28920891735658</v>
      </c>
      <c r="Q152" s="20">
        <f t="shared" si="108"/>
        <v>965.79217143106382</v>
      </c>
      <c r="R152" s="59">
        <f t="shared" si="109"/>
        <v>1259.1255047643972</v>
      </c>
      <c r="S152" s="59">
        <f ca="1">AVERAGE(OFFSET($R$3,0,0,'Données projet'!$E$9+1,1))-AVERAGE(OFFSET($H$3,0,0,'Données projet'!$E$9+1,1))</f>
        <v>422.10969295064359</v>
      </c>
      <c r="T152" s="59">
        <f t="shared" si="142"/>
        <v>184.04075143033037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45.283471559396929</v>
      </c>
      <c r="AA152" s="21">
        <f>EXP(-LN(2)/25)*AA151+(1-EXP(-LN(2)/25))/(LN(2)/25)*Calculateur!V152*Calculateur!X152*VLOOKUP('Données projet'!$B$9,Paramètres!$A$1:$I$89,3,0)*0.475*44/12</f>
        <v>20.291175950824456</v>
      </c>
      <c r="AB152" s="21">
        <f>EXP(-LN(2)/2)*AB151+(1-EXP(-LN(2)/2))/(LN(2)/2)*V152*Y152*VLOOKUP('Données projet'!$B$9,Paramètres!$A$1:$I$89,3,0)*0.475*44/12</f>
        <v>8.8146321320040153E-4</v>
      </c>
      <c r="AC152" s="22">
        <f t="shared" si="111"/>
        <v>65.575528973434587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6.7984728957526396E-14</v>
      </c>
      <c r="AK152" s="13">
        <f t="shared" si="143"/>
        <v>1.0682447123141398E-12</v>
      </c>
      <c r="AL152" s="20">
        <f t="shared" si="112"/>
        <v>1.978932943548152E-12</v>
      </c>
      <c r="AM152" s="59">
        <f t="shared" si="113"/>
        <v>293.3333333333353</v>
      </c>
      <c r="AN152" s="59">
        <f ca="1">AVERAGE(OFFSET($AM$3,0,0,'Données projet'!$E$10+1,1))-AVERAGE(OFFSET($H$3,0,0,'Données projet'!$E$10+1,1))</f>
        <v>213.90220310357444</v>
      </c>
      <c r="AO152" s="59">
        <f t="shared" si="144"/>
        <v>209.61422409790703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23.830292557686835</v>
      </c>
      <c r="AV152" s="21">
        <f>EXP(-LN(2)/25)*AV151+(1-EXP(-LN(2)/25))/(LN(2)/25)*Calculateur!AQ152*Calculateur!AS152*VLOOKUP('Données projet'!$B$10,Paramètres!$A$1:$I$89,3,0)*0.475*44/12</f>
        <v>4.1071635013904855</v>
      </c>
      <c r="AW152" s="21">
        <f>EXP(-LN(2)/2)*AW151+(1-EXP(-LN(2)/2))/(LN(2)/2)*AQ152*AT152*VLOOKUP('Données projet'!$B$10,Paramètres!$A$1:$I$89,3,0)*0.475*44/12</f>
        <v>2.4101122352318895E-12</v>
      </c>
      <c r="AX152" s="21">
        <f t="shared" si="114"/>
        <v>27.937456059079729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6">
        <f t="shared" si="110"/>
        <v>586.20539479108152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9.3350000000000026</v>
      </c>
      <c r="N153" s="13">
        <f>IF('Données projet'!$A$36&gt;35,N152+M153-V152,IF(A153&lt;'Données projet'!$A$36,$K$205^A153,IF(A153='Données projet'!$A$36,'Données projet'!$B$36,N152+M153-V152)))</f>
        <v>509.15000000000083</v>
      </c>
      <c r="O153" s="13">
        <f>N153*VLOOKUP('Données projet'!$B$9,Paramètres!$A$1:$I$89,3,0)*VLOOKUP('Données projet'!$B$9,Paramètres!$A$1:$I$89,5,0)</f>
        <v>460.67892000000074</v>
      </c>
      <c r="P153" s="13">
        <f t="shared" si="141"/>
        <v>103.97545705513664</v>
      </c>
      <c r="Q153" s="20">
        <f t="shared" si="108"/>
        <v>983.43970670436431</v>
      </c>
      <c r="R153" s="59">
        <f t="shared" si="109"/>
        <v>1276.7730400376977</v>
      </c>
      <c r="S153" s="59">
        <f ca="1">AVERAGE(OFFSET($R$3,0,0,'Données projet'!$E$9+1,1))-AVERAGE(OFFSET($H$3,0,0,'Données projet'!$E$9+1,1))</f>
        <v>422.10969295064359</v>
      </c>
      <c r="T153" s="59">
        <f t="shared" si="142"/>
        <v>184.04075143033037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44.395490302307536</v>
      </c>
      <c r="AA153" s="21">
        <f>EXP(-LN(2)/25)*AA152+(1-EXP(-LN(2)/25))/(LN(2)/25)*Calculateur!V153*Calculateur!X153*VLOOKUP('Données projet'!$B$9,Paramètres!$A$1:$I$89,3,0)*0.475*44/12</f>
        <v>19.736312677382596</v>
      </c>
      <c r="AB153" s="21">
        <f>EXP(-LN(2)/2)*AB152+(1-EXP(-LN(2)/2))/(LN(2)/2)*V153*Y153*VLOOKUP('Données projet'!$B$9,Paramètres!$A$1:$I$89,3,0)*0.475*44/12</f>
        <v>6.2328861542048741E-4</v>
      </c>
      <c r="AC153" s="22">
        <f t="shared" si="111"/>
        <v>64.132426268305551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6.7984728957526396E-14</v>
      </c>
      <c r="AK153" s="13">
        <f t="shared" si="143"/>
        <v>1.0682447123141398E-12</v>
      </c>
      <c r="AL153" s="20">
        <f t="shared" si="112"/>
        <v>1.978932943548152E-12</v>
      </c>
      <c r="AM153" s="59">
        <f t="shared" si="113"/>
        <v>293.3333333333353</v>
      </c>
      <c r="AN153" s="59">
        <f ca="1">AVERAGE(OFFSET($AM$3,0,0,'Données projet'!$E$10+1,1))-AVERAGE(OFFSET($H$3,0,0,'Données projet'!$E$10+1,1))</f>
        <v>213.90220310357444</v>
      </c>
      <c r="AO153" s="59">
        <f t="shared" si="144"/>
        <v>209.61422409790703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23.362995055673842</v>
      </c>
      <c r="AV153" s="21">
        <f>EXP(-LN(2)/25)*AV152+(1-EXP(-LN(2)/25))/(LN(2)/25)*Calculateur!AQ153*Calculateur!AS153*VLOOKUP('Données projet'!$B$10,Paramètres!$A$1:$I$89,3,0)*0.475*44/12</f>
        <v>3.9948528994586212</v>
      </c>
      <c r="AW153" s="21">
        <f>EXP(-LN(2)/2)*AW152+(1-EXP(-LN(2)/2))/(LN(2)/2)*AQ153*AT153*VLOOKUP('Données projet'!$B$10,Paramètres!$A$1:$I$89,3,0)*0.475*44/12</f>
        <v>1.7042067049531367E-12</v>
      </c>
      <c r="AX153" s="21">
        <f t="shared" si="114"/>
        <v>27.357847955134169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6">
        <f t="shared" si="110"/>
        <v>588.11073590513013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9.3350000000000026</v>
      </c>
      <c r="N154" s="13">
        <f>IF('Données projet'!$A$36&gt;35,N153+M154-V153,IF(A154&lt;'Données projet'!$A$36,$K$205^A154,IF(A154='Données projet'!$A$36,'Données projet'!$B$36,N153+M154-V153)))</f>
        <v>518.48500000000081</v>
      </c>
      <c r="O154" s="13">
        <f>N154*VLOOKUP('Données projet'!$B$9,Paramètres!$A$1:$I$89,3,0)*VLOOKUP('Données projet'!$B$9,Paramètres!$A$1:$I$89,5,0)</f>
        <v>469.12522800000067</v>
      </c>
      <c r="P154" s="13">
        <f t="shared" si="141"/>
        <v>105.65811013888603</v>
      </c>
      <c r="Q154" s="20">
        <f t="shared" ref="Q154:Q203" si="162">(O154+P154)*0.475*44/12</f>
        <v>1001.0809805918944</v>
      </c>
      <c r="R154" s="59">
        <f t="shared" si="109"/>
        <v>1294.4143139252278</v>
      </c>
      <c r="S154" s="59">
        <f ca="1">AVERAGE(OFFSET($R$3,0,0,'Données projet'!$E$9+1,1))-AVERAGE(OFFSET($H$3,0,0,'Données projet'!$E$9+1,1))</f>
        <v>422.10969295064359</v>
      </c>
      <c r="T154" s="59">
        <f t="shared" si="142"/>
        <v>184.04075143033037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43.524921816054579</v>
      </c>
      <c r="AA154" s="21">
        <f>EXP(-LN(2)/25)*AA153+(1-EXP(-LN(2)/25))/(LN(2)/25)*Calculateur!V154*Calculateur!X154*VLOOKUP('Données projet'!$B$9,Paramètres!$A$1:$I$89,3,0)*0.475*44/12</f>
        <v>19.196622169331992</v>
      </c>
      <c r="AB154" s="21">
        <f>EXP(-LN(2)/2)*AB153+(1-EXP(-LN(2)/2))/(LN(2)/2)*V154*Y154*VLOOKUP('Données projet'!$B$9,Paramètres!$A$1:$I$89,3,0)*0.475*44/12</f>
        <v>4.4073160660020077E-4</v>
      </c>
      <c r="AC154" s="22">
        <f t="shared" ref="AC154:AC203" si="163">SUM(Z154:AB154)</f>
        <v>62.721984716993177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6.7984728957526396E-14</v>
      </c>
      <c r="AK154" s="13">
        <f t="shared" ref="AK154:AK203" si="164">EXP(-1.0587+0.8836*LN(AJ154)+0.284)</f>
        <v>1.0682447123141398E-12</v>
      </c>
      <c r="AL154" s="20">
        <f t="shared" ref="AL154:AL203" si="165">(AJ154+AK154)*0.475*44/12</f>
        <v>1.978932943548152E-12</v>
      </c>
      <c r="AM154" s="59">
        <f t="shared" si="113"/>
        <v>293.3333333333353</v>
      </c>
      <c r="AN154" s="59">
        <f ca="1">AVERAGE(OFFSET($AM$3,0,0,'Données projet'!$E$10+1,1))-AVERAGE(OFFSET($H$3,0,0,'Données projet'!$E$10+1,1))</f>
        <v>213.90220310357444</v>
      </c>
      <c r="AO154" s="59">
        <f t="shared" si="144"/>
        <v>209.61422409790703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22.904860972651989</v>
      </c>
      <c r="AV154" s="21">
        <f>EXP(-LN(2)/25)*AV153+(1-EXP(-LN(2)/25))/(LN(2)/25)*Calculateur!AQ154*Calculateur!AS154*VLOOKUP('Données projet'!$B$10,Paramètres!$A$1:$I$89,3,0)*0.475*44/12</f>
        <v>3.8856134368427417</v>
      </c>
      <c r="AW154" s="21">
        <f>EXP(-LN(2)/2)*AW153+(1-EXP(-LN(2)/2))/(LN(2)/2)*AQ154*AT154*VLOOKUP('Données projet'!$B$10,Paramètres!$A$1:$I$89,3,0)*0.475*44/12</f>
        <v>1.2050561176159448E-12</v>
      </c>
      <c r="AX154" s="21">
        <f t="shared" ref="AX154:AX203" si="166">SUM(AU154:AW154)</f>
        <v>26.790474409495936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6">
        <f t="shared" si="110"/>
        <v>590.0158021945839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9.3350000000000026</v>
      </c>
      <c r="N155" s="13">
        <f>IF('Données projet'!$A$36&gt;35,N154+M155-V154,IF(A155&lt;'Données projet'!$A$36,$K$205^A155,IF(A155='Données projet'!$A$36,'Données projet'!$B$36,N154+M155-V154)))</f>
        <v>527.82000000000085</v>
      </c>
      <c r="O155" s="13">
        <f>N155*VLOOKUP('Données projet'!$B$9,Paramètres!$A$1:$I$89,3,0)*VLOOKUP('Données projet'!$B$9,Paramètres!$A$1:$I$89,5,0)</f>
        <v>477.57153600000072</v>
      </c>
      <c r="P155" s="13">
        <f t="shared" si="141"/>
        <v>107.3372403617045</v>
      </c>
      <c r="Q155" s="20">
        <f t="shared" si="162"/>
        <v>1018.71611882997</v>
      </c>
      <c r="R155" s="59">
        <f t="shared" si="109"/>
        <v>1312.0494521633034</v>
      </c>
      <c r="S155" s="59">
        <f ca="1">AVERAGE(OFFSET($R$3,0,0,'Données projet'!$E$9+1,1))-AVERAGE(OFFSET($H$3,0,0,'Données projet'!$E$9+1,1))</f>
        <v>422.10969295064359</v>
      </c>
      <c r="T155" s="59">
        <f t="shared" si="142"/>
        <v>184.04075143033037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42.6714246468227</v>
      </c>
      <c r="AA155" s="21">
        <f>EXP(-LN(2)/25)*AA154+(1-EXP(-LN(2)/25))/(LN(2)/25)*Calculateur!V155*Calculateur!X155*VLOOKUP('Données projet'!$B$9,Paramètres!$A$1:$I$89,3,0)*0.475*44/12</f>
        <v>18.671689526605125</v>
      </c>
      <c r="AB155" s="21">
        <f>EXP(-LN(2)/2)*AB154+(1-EXP(-LN(2)/2))/(LN(2)/2)*V155*Y155*VLOOKUP('Données projet'!$B$9,Paramètres!$A$1:$I$89,3,0)*0.475*44/12</f>
        <v>3.1164430771024371E-4</v>
      </c>
      <c r="AC155" s="22">
        <f t="shared" si="163"/>
        <v>61.343425817735529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6.7984728957526396E-14</v>
      </c>
      <c r="AK155" s="13">
        <f t="shared" si="164"/>
        <v>1.0682447123141398E-12</v>
      </c>
      <c r="AL155" s="20">
        <f t="shared" si="165"/>
        <v>1.978932943548152E-12</v>
      </c>
      <c r="AM155" s="59">
        <f t="shared" si="113"/>
        <v>293.3333333333353</v>
      </c>
      <c r="AN155" s="59">
        <f ca="1">AVERAGE(OFFSET($AM$3,0,0,'Données projet'!$E$10+1,1))-AVERAGE(OFFSET($H$3,0,0,'Données projet'!$E$10+1,1))</f>
        <v>213.90220310357444</v>
      </c>
      <c r="AO155" s="59">
        <f t="shared" si="144"/>
        <v>209.61422409790703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22.455710619563995</v>
      </c>
      <c r="AV155" s="21">
        <f>EXP(-LN(2)/25)*AV154+(1-EXP(-LN(2)/25))/(LN(2)/25)*Calculateur!AQ155*Calculateur!AS155*VLOOKUP('Données projet'!$B$10,Paramètres!$A$1:$I$89,3,0)*0.475*44/12</f>
        <v>3.7793611330767471</v>
      </c>
      <c r="AW155" s="21">
        <f>EXP(-LN(2)/2)*AW154+(1-EXP(-LN(2)/2))/(LN(2)/2)*AQ155*AT155*VLOOKUP('Données projet'!$B$10,Paramètres!$A$1:$I$89,3,0)*0.475*44/12</f>
        <v>8.5210335247656834E-13</v>
      </c>
      <c r="AX155" s="21">
        <f t="shared" si="166"/>
        <v>26.235071752641595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6">
        <f t="shared" si="110"/>
        <v>591.92059567721367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9.3350000000000026</v>
      </c>
      <c r="N156" s="13">
        <f>IF('Données projet'!$A$36&gt;35,N155+M156-V155,IF(A156&lt;'Données projet'!$A$36,$K$205^A156,IF(A156='Données projet'!$A$36,'Données projet'!$B$36,N155+M156-V155)))</f>
        <v>537.15500000000088</v>
      </c>
      <c r="O156" s="13">
        <f>N156*VLOOKUP('Données projet'!$B$9,Paramètres!$A$1:$I$89,3,0)*VLOOKUP('Données projet'!$B$9,Paramètres!$A$1:$I$89,5,0)</f>
        <v>486.01784400000076</v>
      </c>
      <c r="P156" s="13">
        <f t="shared" si="141"/>
        <v>109.01291721682281</v>
      </c>
      <c r="Q156" s="20">
        <f t="shared" si="162"/>
        <v>1036.3452424526342</v>
      </c>
      <c r="R156" s="59">
        <f t="shared" si="109"/>
        <v>1329.6785757859675</v>
      </c>
      <c r="S156" s="59">
        <f ca="1">AVERAGE(OFFSET($R$3,0,0,'Données projet'!$E$9+1,1))-AVERAGE(OFFSET($H$3,0,0,'Données projet'!$E$9+1,1))</f>
        <v>422.10969295064359</v>
      </c>
      <c r="T156" s="59">
        <f t="shared" si="142"/>
        <v>184.04075143033037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41.834664036497585</v>
      </c>
      <c r="AA156" s="21">
        <f>EXP(-LN(2)/25)*AA155+(1-EXP(-LN(2)/25))/(LN(2)/25)*Calculateur!V156*Calculateur!X156*VLOOKUP('Données projet'!$B$9,Paramètres!$A$1:$I$89,3,0)*0.475*44/12</f>
        <v>18.161111194598629</v>
      </c>
      <c r="AB156" s="21">
        <f>EXP(-LN(2)/2)*AB155+(1-EXP(-LN(2)/2))/(LN(2)/2)*V156*Y156*VLOOKUP('Données projet'!$B$9,Paramètres!$A$1:$I$89,3,0)*0.475*44/12</f>
        <v>2.2036580330010038E-4</v>
      </c>
      <c r="AC156" s="22">
        <f t="shared" si="163"/>
        <v>59.995995596899519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6.7984728957526396E-14</v>
      </c>
      <c r="AK156" s="13">
        <f t="shared" si="164"/>
        <v>1.0682447123141398E-12</v>
      </c>
      <c r="AL156" s="20">
        <f t="shared" si="165"/>
        <v>1.978932943548152E-12</v>
      </c>
      <c r="AM156" s="59">
        <f t="shared" si="113"/>
        <v>293.3333333333353</v>
      </c>
      <c r="AN156" s="59">
        <f ca="1">AVERAGE(OFFSET($AM$3,0,0,'Données projet'!$E$10+1,1))-AVERAGE(OFFSET($H$3,0,0,'Données projet'!$E$10+1,1))</f>
        <v>213.90220310357444</v>
      </c>
      <c r="AO156" s="59">
        <f t="shared" si="144"/>
        <v>209.61422409790703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22.015367830945394</v>
      </c>
      <c r="AV156" s="21">
        <f>EXP(-LN(2)/25)*AV155+(1-EXP(-LN(2)/25))/(LN(2)/25)*Calculateur!AQ156*Calculateur!AS156*VLOOKUP('Données projet'!$B$10,Paramètres!$A$1:$I$89,3,0)*0.475*44/12</f>
        <v>3.6760143041447995</v>
      </c>
      <c r="AW156" s="21">
        <f>EXP(-LN(2)/2)*AW155+(1-EXP(-LN(2)/2))/(LN(2)/2)*AQ156*AT156*VLOOKUP('Données projet'!$B$10,Paramètres!$A$1:$I$89,3,0)*0.475*44/12</f>
        <v>6.0252805880797238E-13</v>
      </c>
      <c r="AX156" s="21">
        <f t="shared" si="166"/>
        <v>25.691382135090798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6">
        <f t="shared" si="110"/>
        <v>593.82511834288903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9.3350000000000026</v>
      </c>
      <c r="M157" s="12">
        <f t="array" ref="M157">INDEX(L:L,MIN(IF(ISNUMBER(L157:L353),ROW(L157:L353),"")))</f>
        <v>9.3350000000000026</v>
      </c>
      <c r="N157" s="13">
        <f>IF('Données projet'!$A$36&gt;35,N156+M157-V156,IF(A157&lt;'Données projet'!$A$36,$K$205^A157,IF(A157='Données projet'!$A$36,'Données projet'!$B$36,N156+M157-V156)))</f>
        <v>546.49000000000092</v>
      </c>
      <c r="O157" s="13">
        <f>N157*VLOOKUP('Données projet'!$B$9,Paramètres!$A$1:$I$89,3,0)*VLOOKUP('Données projet'!$B$9,Paramètres!$A$1:$I$89,5,0)</f>
        <v>494.46415200000081</v>
      </c>
      <c r="P157" s="13">
        <f t="shared" si="141"/>
        <v>110.68520764370523</v>
      </c>
      <c r="Q157" s="20">
        <f t="shared" si="162"/>
        <v>1053.9684680461214</v>
      </c>
      <c r="R157" s="59">
        <f t="shared" si="109"/>
        <v>1347.3018013794547</v>
      </c>
      <c r="S157" s="59">
        <f ca="1">AVERAGE(OFFSET($R$3,0,0,'Données projet'!$E$9+1,1))-AVERAGE(OFFSET($H$3,0,0,'Données projet'!$E$9+1,1))</f>
        <v>422.10969295064359</v>
      </c>
      <c r="T157" s="59">
        <f t="shared" si="142"/>
        <v>184.04075143033037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61.050000000000011</v>
      </c>
      <c r="W157" s="16">
        <f>IF(ISNA(VLOOKUP(A157,'Données projet'!$A$35:$I$55,5,0)),0%,VLOOKUP(A157,'Données projet'!$A$35:$I$55,5,0)*VLOOKUP('Données projet'!$B$9,Paramètres!$A$1:$I$89,7,0))</f>
        <v>0.215</v>
      </c>
      <c r="X157" s="16">
        <f>IF(ISNA(VLOOKUP(A157,'Données projet'!$A$35:$I$55,6,0)),0%,VLOOKUP(A157,'Données projet'!$A$35:$I$55,6,0)*VLOOKUP('Données projet'!$B$9,Paramètres!$A$1:$I$89,7,0))</f>
        <v>8.6000000000000007E-2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54.143075455710473</v>
      </c>
      <c r="AA157" s="21">
        <f>EXP(-LN(2)/25)*AA156+(1-EXP(-LN(2)/25))/(LN(2)/25)*Calculateur!V157*Calculateur!X157*VLOOKUP('Données projet'!$B$9,Paramètres!$A$1:$I$89,3,0)*0.475*44/12</f>
        <v>22.895322941669175</v>
      </c>
      <c r="AB157" s="21">
        <f>EXP(-LN(2)/2)*AB156+(1-EXP(-LN(2)/2))/(LN(2)/2)*V157*Y157*VLOOKUP('Données projet'!$B$9,Paramètres!$A$1:$I$89,3,0)*0.475*44/12</f>
        <v>1.5582215385512185E-4</v>
      </c>
      <c r="AC157" s="22">
        <f t="shared" si="163"/>
        <v>77.038554219533509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6.7984728957526396E-14</v>
      </c>
      <c r="AK157" s="13">
        <f t="shared" si="164"/>
        <v>1.0682447123141398E-12</v>
      </c>
      <c r="AL157" s="20">
        <f t="shared" si="165"/>
        <v>1.978932943548152E-12</v>
      </c>
      <c r="AM157" s="59">
        <f t="shared" si="113"/>
        <v>293.3333333333353</v>
      </c>
      <c r="AN157" s="59">
        <f ca="1">AVERAGE(OFFSET($AM$3,0,0,'Données projet'!$E$10+1,1))-AVERAGE(OFFSET($H$3,0,0,'Données projet'!$E$10+1,1))</f>
        <v>213.90220310357444</v>
      </c>
      <c r="AO157" s="59">
        <f t="shared" si="144"/>
        <v>209.61422409790703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21.583659895829022</v>
      </c>
      <c r="AV157" s="21">
        <f>EXP(-LN(2)/25)*AV156+(1-EXP(-LN(2)/25))/(LN(2)/25)*Calculateur!AQ157*Calculateur!AS157*VLOOKUP('Données projet'!$B$10,Paramètres!$A$1:$I$89,3,0)*0.475*44/12</f>
        <v>3.5754934996847694</v>
      </c>
      <c r="AW157" s="21">
        <f>EXP(-LN(2)/2)*AW156+(1-EXP(-LN(2)/2))/(LN(2)/2)*AQ157*AT157*VLOOKUP('Données projet'!$B$10,Paramètres!$A$1:$I$89,3,0)*0.475*44/12</f>
        <v>4.2605167623828417E-13</v>
      </c>
      <c r="AX157" s="21">
        <f t="shared" si="166"/>
        <v>25.159153395514217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6">
        <f t="shared" si="110"/>
        <v>595.72937215414299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9.4880000000000049</v>
      </c>
      <c r="N158" s="13">
        <f>IF('Données projet'!$A$36&gt;35,N157+M158-V157,IF(A158&lt;'Données projet'!$A$36,$K$205^A158,IF(A158='Données projet'!$A$36,'Données projet'!$B$36,N157+M158-V157)))</f>
        <v>494.92800000000096</v>
      </c>
      <c r="O158" s="13">
        <f>N158*VLOOKUP('Données projet'!$B$9,Paramètres!$A$1:$I$89,3,0)*VLOOKUP('Données projet'!$B$9,Paramètres!$A$1:$I$89,5,0)</f>
        <v>447.81085440000084</v>
      </c>
      <c r="P158" s="13">
        <f t="shared" si="141"/>
        <v>101.40497625718913</v>
      </c>
      <c r="Q158" s="20">
        <f t="shared" si="162"/>
        <v>956.55090506127237</v>
      </c>
      <c r="R158" s="59">
        <f t="shared" si="109"/>
        <v>1249.8842383946057</v>
      </c>
      <c r="S158" s="59">
        <f ca="1">AVERAGE(OFFSET($R$3,0,0,'Données projet'!$E$9+1,1))-AVERAGE(OFFSET($H$3,0,0,'Données projet'!$E$9+1,1))</f>
        <v>422.10969295064359</v>
      </c>
      <c r="T158" s="59">
        <f t="shared" si="142"/>
        <v>184.04075143033037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53.081362770039171</v>
      </c>
      <c r="AA158" s="21">
        <f>EXP(-LN(2)/25)*AA157+(1-EXP(-LN(2)/25))/(LN(2)/25)*Calculateur!V158*Calculateur!X158*VLOOKUP('Données projet'!$B$9,Paramètres!$A$1:$I$89,3,0)*0.475*44/12</f>
        <v>22.269249131816526</v>
      </c>
      <c r="AB158" s="21">
        <f>EXP(-LN(2)/2)*AB157+(1-EXP(-LN(2)/2))/(LN(2)/2)*V158*Y158*VLOOKUP('Données projet'!$B$9,Paramètres!$A$1:$I$89,3,0)*0.475*44/12</f>
        <v>1.1018290165005019E-4</v>
      </c>
      <c r="AC158" s="22">
        <f t="shared" si="163"/>
        <v>75.350722084757351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6.7984728957526396E-14</v>
      </c>
      <c r="AK158" s="13">
        <f t="shared" si="164"/>
        <v>1.0682447123141398E-12</v>
      </c>
      <c r="AL158" s="20">
        <f t="shared" si="165"/>
        <v>1.978932943548152E-12</v>
      </c>
      <c r="AM158" s="59">
        <f t="shared" si="113"/>
        <v>293.3333333333353</v>
      </c>
      <c r="AN158" s="59">
        <f ca="1">AVERAGE(OFFSET($AM$3,0,0,'Données projet'!$E$10+1,1))-AVERAGE(OFFSET($H$3,0,0,'Données projet'!$E$10+1,1))</f>
        <v>213.90220310357444</v>
      </c>
      <c r="AO158" s="59">
        <f t="shared" si="144"/>
        <v>209.61422409790703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21.160417490004441</v>
      </c>
      <c r="AV158" s="21">
        <f>EXP(-LN(2)/25)*AV157+(1-EXP(-LN(2)/25))/(LN(2)/25)*Calculateur!AQ158*Calculateur!AS158*VLOOKUP('Données projet'!$B$10,Paramètres!$A$1:$I$89,3,0)*0.475*44/12</f>
        <v>3.4777214419088582</v>
      </c>
      <c r="AW158" s="21">
        <f>EXP(-LN(2)/2)*AW157+(1-EXP(-LN(2)/2))/(LN(2)/2)*AQ158*AT158*VLOOKUP('Données projet'!$B$10,Paramètres!$A$1:$I$89,3,0)*0.475*44/12</f>
        <v>3.0126402940398619E-13</v>
      </c>
      <c r="AX158" s="21">
        <f t="shared" si="166"/>
        <v>24.638138931913602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6">
        <f t="shared" si="110"/>
        <v>597.63335904672135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9.4880000000000049</v>
      </c>
      <c r="N159" s="13">
        <f>IF('Données projet'!$A$36&gt;35,N158+M159-V158,IF(A159&lt;'Données projet'!$A$36,$K$205^A159,IF(A159='Données projet'!$A$36,'Données projet'!$B$36,N158+M159-V158)))</f>
        <v>504.41600000000096</v>
      </c>
      <c r="O159" s="13">
        <f>N159*VLOOKUP('Données projet'!$B$9,Paramètres!$A$1:$I$89,3,0)*VLOOKUP('Données projet'!$B$9,Paramètres!$A$1:$I$89,5,0)</f>
        <v>456.39559680000082</v>
      </c>
      <c r="P159" s="13">
        <f t="shared" si="141"/>
        <v>103.12077454694855</v>
      </c>
      <c r="Q159" s="20">
        <f t="shared" si="162"/>
        <v>974.49101342927031</v>
      </c>
      <c r="R159" s="59">
        <f t="shared" si="109"/>
        <v>1267.8243467626037</v>
      </c>
      <c r="S159" s="59">
        <f ca="1">AVERAGE(OFFSET($R$3,0,0,'Données projet'!$E$9+1,1))-AVERAGE(OFFSET($H$3,0,0,'Données projet'!$E$9+1,1))</f>
        <v>422.10969295064359</v>
      </c>
      <c r="T159" s="59">
        <f t="shared" si="142"/>
        <v>184.04075143033037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52.040469622553083</v>
      </c>
      <c r="AA159" s="21">
        <f>EXP(-LN(2)/25)*AA158+(1-EXP(-LN(2)/25))/(LN(2)/25)*Calculateur!V159*Calculateur!X159*VLOOKUP('Données projet'!$B$9,Paramètres!$A$1:$I$89,3,0)*0.475*44/12</f>
        <v>21.660295343218088</v>
      </c>
      <c r="AB159" s="21">
        <f>EXP(-LN(2)/2)*AB158+(1-EXP(-LN(2)/2))/(LN(2)/2)*V159*Y159*VLOOKUP('Données projet'!$B$9,Paramètres!$A$1:$I$89,3,0)*0.475*44/12</f>
        <v>7.7911076927560926E-5</v>
      </c>
      <c r="AC159" s="22">
        <f t="shared" si="163"/>
        <v>73.7008428768481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6.7984728957526396E-14</v>
      </c>
      <c r="AK159" s="13">
        <f t="shared" si="164"/>
        <v>1.0682447123141398E-12</v>
      </c>
      <c r="AL159" s="20">
        <f t="shared" si="165"/>
        <v>1.978932943548152E-12</v>
      </c>
      <c r="AM159" s="59">
        <f t="shared" si="113"/>
        <v>293.3333333333353</v>
      </c>
      <c r="AN159" s="59">
        <f ca="1">AVERAGE(OFFSET($AM$3,0,0,'Données projet'!$E$10+1,1))-AVERAGE(OFFSET($H$3,0,0,'Données projet'!$E$10+1,1))</f>
        <v>213.90220310357444</v>
      </c>
      <c r="AO159" s="59">
        <f t="shared" si="144"/>
        <v>209.61422409790703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20.745474609605704</v>
      </c>
      <c r="AV159" s="21">
        <f>EXP(-LN(2)/25)*AV158+(1-EXP(-LN(2)/25))/(LN(2)/25)*Calculateur!AQ159*Calculateur!AS159*VLOOKUP('Données projet'!$B$10,Paramètres!$A$1:$I$89,3,0)*0.475*44/12</f>
        <v>3.3826229661944383</v>
      </c>
      <c r="AW159" s="21">
        <f>EXP(-LN(2)/2)*AW158+(1-EXP(-LN(2)/2))/(LN(2)/2)*AQ159*AT159*VLOOKUP('Données projet'!$B$10,Paramètres!$A$1:$I$89,3,0)*0.475*44/12</f>
        <v>2.1302583811914209E-13</v>
      </c>
      <c r="AX159" s="21">
        <f t="shared" si="166"/>
        <v>24.128097575800357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6">
        <f t="shared" si="110"/>
        <v>599.53708093011733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9.4880000000000049</v>
      </c>
      <c r="N160" s="13">
        <f>IF('Données projet'!$A$36&gt;35,N159+M160-V159,IF(A160&lt;'Données projet'!$A$36,$K$205^A160,IF(A160='Données projet'!$A$36,'Données projet'!$B$36,N159+M160-V159)))</f>
        <v>513.90400000000102</v>
      </c>
      <c r="O160" s="13">
        <f>N160*VLOOKUP('Données projet'!$B$9,Paramètres!$A$1:$I$89,3,0)*VLOOKUP('Données projet'!$B$9,Paramètres!$A$1:$I$89,5,0)</f>
        <v>464.98033920000091</v>
      </c>
      <c r="P160" s="13">
        <f t="shared" si="141"/>
        <v>104.83282002515982</v>
      </c>
      <c r="Q160" s="20">
        <f t="shared" si="162"/>
        <v>992.4245856504881</v>
      </c>
      <c r="R160" s="59">
        <f t="shared" si="109"/>
        <v>1285.7579189838214</v>
      </c>
      <c r="S160" s="59">
        <f ca="1">AVERAGE(OFFSET($R$3,0,0,'Données projet'!$E$9+1,1))-AVERAGE(OFFSET($H$3,0,0,'Données projet'!$E$9+1,1))</f>
        <v>422.10969295064359</v>
      </c>
      <c r="T160" s="59">
        <f t="shared" si="142"/>
        <v>184.04075143033037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51.019987754807069</v>
      </c>
      <c r="AA160" s="21">
        <f>EXP(-LN(2)/25)*AA159+(1-EXP(-LN(2)/25))/(LN(2)/25)*Calculateur!V160*Calculateur!X160*VLOOKUP('Données projet'!$B$9,Paramètres!$A$1:$I$89,3,0)*0.475*44/12</f>
        <v>21.067993427992363</v>
      </c>
      <c r="AB160" s="21">
        <f>EXP(-LN(2)/2)*AB159+(1-EXP(-LN(2)/2))/(LN(2)/2)*V160*Y160*VLOOKUP('Données projet'!$B$9,Paramètres!$A$1:$I$89,3,0)*0.475*44/12</f>
        <v>5.5091450825025096E-5</v>
      </c>
      <c r="AC160" s="22">
        <f t="shared" si="163"/>
        <v>72.088036274250257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6.7984728957526396E-14</v>
      </c>
      <c r="AK160" s="13">
        <f t="shared" si="164"/>
        <v>1.0682447123141398E-12</v>
      </c>
      <c r="AL160" s="20">
        <f t="shared" si="165"/>
        <v>1.978932943548152E-12</v>
      </c>
      <c r="AM160" s="59">
        <f t="shared" si="113"/>
        <v>293.3333333333353</v>
      </c>
      <c r="AN160" s="59">
        <f ca="1">AVERAGE(OFFSET($AM$3,0,0,'Données projet'!$E$10+1,1))-AVERAGE(OFFSET($H$3,0,0,'Données projet'!$E$10+1,1))</f>
        <v>213.90220310357444</v>
      </c>
      <c r="AO160" s="59">
        <f t="shared" si="144"/>
        <v>209.61422409790703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20.338668506001419</v>
      </c>
      <c r="AV160" s="21">
        <f>EXP(-LN(2)/25)*AV159+(1-EXP(-LN(2)/25))/(LN(2)/25)*Calculateur!AQ160*Calculateur!AS160*VLOOKUP('Données projet'!$B$10,Paramètres!$A$1:$I$89,3,0)*0.475*44/12</f>
        <v>3.2901249632994407</v>
      </c>
      <c r="AW160" s="21">
        <f>EXP(-LN(2)/2)*AW159+(1-EXP(-LN(2)/2))/(LN(2)/2)*AQ160*AT160*VLOOKUP('Données projet'!$B$10,Paramètres!$A$1:$I$89,3,0)*0.475*44/12</f>
        <v>1.506320147019931E-13</v>
      </c>
      <c r="AX160" s="21">
        <f t="shared" si="166"/>
        <v>23.628793469301009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6">
        <f t="shared" si="110"/>
        <v>601.44053968809271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9.4880000000000049</v>
      </c>
      <c r="N161" s="13">
        <f>IF('Données projet'!$A$36&gt;35,N160+M161-V160,IF(A161&lt;'Données projet'!$A$36,$K$205^A161,IF(A161='Données projet'!$A$36,'Données projet'!$B$36,N160+M161-V160)))</f>
        <v>523.39200000000108</v>
      </c>
      <c r="O161" s="13">
        <f>N161*VLOOKUP('Données projet'!$B$9,Paramètres!$A$1:$I$89,3,0)*VLOOKUP('Données projet'!$B$9,Paramètres!$A$1:$I$89,5,0)</f>
        <v>473.56508160000089</v>
      </c>
      <c r="P161" s="13">
        <f t="shared" si="141"/>
        <v>106.54118996921356</v>
      </c>
      <c r="Q161" s="20">
        <f t="shared" si="162"/>
        <v>1010.3517563163817</v>
      </c>
      <c r="R161" s="59">
        <f t="shared" si="109"/>
        <v>1303.6850896497151</v>
      </c>
      <c r="S161" s="59">
        <f ca="1">AVERAGE(OFFSET($R$3,0,0,'Données projet'!$E$9+1,1))-AVERAGE(OFFSET($H$3,0,0,'Données projet'!$E$9+1,1))</f>
        <v>422.10969295064359</v>
      </c>
      <c r="T161" s="59">
        <f t="shared" si="142"/>
        <v>184.04075143033037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50.019516914055075</v>
      </c>
      <c r="AA161" s="21">
        <f>EXP(-LN(2)/25)*AA160+(1-EXP(-LN(2)/25))/(LN(2)/25)*Calculateur!V161*Calculateur!X161*VLOOKUP('Données projet'!$B$9,Paramètres!$A$1:$I$89,3,0)*0.475*44/12</f>
        <v>20.491888039786289</v>
      </c>
      <c r="AB161" s="21">
        <f>EXP(-LN(2)/2)*AB160+(1-EXP(-LN(2)/2))/(LN(2)/2)*V161*Y161*VLOOKUP('Données projet'!$B$9,Paramètres!$A$1:$I$89,3,0)*0.475*44/12</f>
        <v>3.8955538463780463E-5</v>
      </c>
      <c r="AC161" s="22">
        <f t="shared" si="163"/>
        <v>70.511443909379821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6.7984728957526396E-14</v>
      </c>
      <c r="AK161" s="13">
        <f t="shared" si="164"/>
        <v>1.0682447123141398E-12</v>
      </c>
      <c r="AL161" s="20">
        <f t="shared" si="165"/>
        <v>1.978932943548152E-12</v>
      </c>
      <c r="AM161" s="59">
        <f t="shared" si="113"/>
        <v>293.3333333333353</v>
      </c>
      <c r="AN161" s="59">
        <f ca="1">AVERAGE(OFFSET($AM$3,0,0,'Données projet'!$E$10+1,1))-AVERAGE(OFFSET($H$3,0,0,'Données projet'!$E$10+1,1))</f>
        <v>213.90220310357444</v>
      </c>
      <c r="AO161" s="59">
        <f t="shared" si="144"/>
        <v>209.61422409790703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19.939839621961593</v>
      </c>
      <c r="AV161" s="21">
        <f>EXP(-LN(2)/25)*AV160+(1-EXP(-LN(2)/25))/(LN(2)/25)*Calculateur!AQ161*Calculateur!AS161*VLOOKUP('Données projet'!$B$10,Paramètres!$A$1:$I$89,3,0)*0.475*44/12</f>
        <v>3.2001563231578656</v>
      </c>
      <c r="AW161" s="21">
        <f>EXP(-LN(2)/2)*AW160+(1-EXP(-LN(2)/2))/(LN(2)/2)*AQ161*AT161*VLOOKUP('Données projet'!$B$10,Paramètres!$A$1:$I$89,3,0)*0.475*44/12</f>
        <v>1.0651291905957104E-13</v>
      </c>
      <c r="AX161" s="21">
        <f t="shared" si="166"/>
        <v>23.139995945119566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6">
        <f t="shared" si="110"/>
        <v>603.34373717918538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9.4880000000000049</v>
      </c>
      <c r="N162" s="13">
        <f>IF('Données projet'!$A$36&gt;35,N161+M162-V161,IF(A162&lt;'Données projet'!$A$36,$K$205^A162,IF(A162='Données projet'!$A$36,'Données projet'!$B$36,N161+M162-V161)))</f>
        <v>532.88000000000113</v>
      </c>
      <c r="O162" s="13">
        <f>N162*VLOOKUP('Données projet'!$B$9,Paramètres!$A$1:$I$89,3,0)*VLOOKUP('Données projet'!$B$9,Paramètres!$A$1:$I$89,5,0)</f>
        <v>482.14982400000099</v>
      </c>
      <c r="P162" s="13">
        <f t="shared" si="141"/>
        <v>108.24595869432409</v>
      </c>
      <c r="Q162" s="20">
        <f t="shared" si="162"/>
        <v>1028.272654859283</v>
      </c>
      <c r="R162" s="59">
        <f t="shared" si="109"/>
        <v>1321.6059881926162</v>
      </c>
      <c r="S162" s="59">
        <f ca="1">AVERAGE(OFFSET($R$3,0,0,'Données projet'!$E$9+1,1))-AVERAGE(OFFSET($H$3,0,0,'Données projet'!$E$9+1,1))</f>
        <v>422.10969295064359</v>
      </c>
      <c r="T162" s="59">
        <f t="shared" si="142"/>
        <v>184.04075143033037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49.038664696263268</v>
      </c>
      <c r="AA162" s="21">
        <f>EXP(-LN(2)/25)*AA161+(1-EXP(-LN(2)/25))/(LN(2)/25)*Calculateur!V162*Calculateur!X162*VLOOKUP('Données projet'!$B$9,Paramètres!$A$1:$I$89,3,0)*0.475*44/12</f>
        <v>19.931536283716778</v>
      </c>
      <c r="AB162" s="21">
        <f>EXP(-LN(2)/2)*AB161+(1-EXP(-LN(2)/2))/(LN(2)/2)*V162*Y162*VLOOKUP('Données projet'!$B$9,Paramètres!$A$1:$I$89,3,0)*0.475*44/12</f>
        <v>2.7545725412512548E-5</v>
      </c>
      <c r="AC162" s="22">
        <f t="shared" si="163"/>
        <v>68.970228525705465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6.7984728957526396E-14</v>
      </c>
      <c r="AK162" s="13">
        <f t="shared" si="164"/>
        <v>1.0682447123141398E-12</v>
      </c>
      <c r="AL162" s="20">
        <f t="shared" si="165"/>
        <v>1.978932943548152E-12</v>
      </c>
      <c r="AM162" s="59">
        <f t="shared" si="113"/>
        <v>293.3333333333353</v>
      </c>
      <c r="AN162" s="59">
        <f ca="1">AVERAGE(OFFSET($AM$3,0,0,'Données projet'!$E$10+1,1))-AVERAGE(OFFSET($H$3,0,0,'Données projet'!$E$10+1,1))</f>
        <v>213.90220310357444</v>
      </c>
      <c r="AO162" s="59">
        <f t="shared" si="144"/>
        <v>209.61422409790703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19.548831529076189</v>
      </c>
      <c r="AV162" s="21">
        <f>EXP(-LN(2)/25)*AV161+(1-EXP(-LN(2)/25))/(LN(2)/25)*Calculateur!AQ162*Calculateur!AS162*VLOOKUP('Données projet'!$B$10,Paramètres!$A$1:$I$89,3,0)*0.475*44/12</f>
        <v>3.1126478802122066</v>
      </c>
      <c r="AW162" s="21">
        <f>EXP(-LN(2)/2)*AW161+(1-EXP(-LN(2)/2))/(LN(2)/2)*AQ162*AT162*VLOOKUP('Données projet'!$B$10,Paramètres!$A$1:$I$89,3,0)*0.475*44/12</f>
        <v>7.5316007350996548E-14</v>
      </c>
      <c r="AX162" s="21">
        <f t="shared" si="166"/>
        <v>22.661479409288471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6">
        <f t="shared" si="110"/>
        <v>605.24667523720336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9.4880000000000049</v>
      </c>
      <c r="N163" s="13">
        <f>IF('Données projet'!$A$36&gt;35,N162+M163-V162,IF(A163&lt;'Données projet'!$A$36,$K$205^A163,IF(A163='Données projet'!$A$36,'Données projet'!$B$36,N162+M163-V162)))</f>
        <v>542.36800000000119</v>
      </c>
      <c r="O163" s="13">
        <f>N163*VLOOKUP('Données projet'!$B$9,Paramètres!$A$1:$I$89,3,0)*VLOOKUP('Données projet'!$B$9,Paramètres!$A$1:$I$89,5,0)</f>
        <v>490.73456640000109</v>
      </c>
      <c r="P163" s="13">
        <f t="shared" si="141"/>
        <v>109.94719771775897</v>
      </c>
      <c r="Q163" s="20">
        <f t="shared" si="162"/>
        <v>1046.1874058384321</v>
      </c>
      <c r="R163" s="59">
        <f t="shared" si="109"/>
        <v>1339.5207391717654</v>
      </c>
      <c r="S163" s="59">
        <f ca="1">AVERAGE(OFFSET($R$3,0,0,'Données projet'!$E$9+1,1))-AVERAGE(OFFSET($H$3,0,0,'Données projet'!$E$9+1,1))</f>
        <v>422.10969295064359</v>
      </c>
      <c r="T163" s="59">
        <f t="shared" si="142"/>
        <v>184.04075143033037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48.077046392201581</v>
      </c>
      <c r="AA163" s="21">
        <f>EXP(-LN(2)/25)*AA162+(1-EXP(-LN(2)/25))/(LN(2)/25)*Calculateur!V163*Calculateur!X163*VLOOKUP('Données projet'!$B$9,Paramètres!$A$1:$I$89,3,0)*0.475*44/12</f>
        <v>19.386507375884602</v>
      </c>
      <c r="AB163" s="21">
        <f>EXP(-LN(2)/2)*AB162+(1-EXP(-LN(2)/2))/(LN(2)/2)*V163*Y163*VLOOKUP('Données projet'!$B$9,Paramètres!$A$1:$I$89,3,0)*0.475*44/12</f>
        <v>1.9477769231890232E-5</v>
      </c>
      <c r="AC163" s="22">
        <f t="shared" si="163"/>
        <v>67.463573245855414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6.7984728957526396E-14</v>
      </c>
      <c r="AK163" s="13">
        <f t="shared" si="164"/>
        <v>1.0682447123141398E-12</v>
      </c>
      <c r="AL163" s="20">
        <f t="shared" si="165"/>
        <v>1.978932943548152E-12</v>
      </c>
      <c r="AM163" s="59">
        <f t="shared" si="113"/>
        <v>293.3333333333353</v>
      </c>
      <c r="AN163" s="59">
        <f ca="1">AVERAGE(OFFSET($AM$3,0,0,'Données projet'!$E$10+1,1))-AVERAGE(OFFSET($H$3,0,0,'Données projet'!$E$10+1,1))</f>
        <v>213.90220310357444</v>
      </c>
      <c r="AO163" s="59">
        <f t="shared" si="144"/>
        <v>209.61422409790703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19.16549086640088</v>
      </c>
      <c r="AV163" s="21">
        <f>EXP(-LN(2)/25)*AV162+(1-EXP(-LN(2)/25))/(LN(2)/25)*Calculateur!AQ163*Calculateur!AS163*VLOOKUP('Données projet'!$B$10,Paramètres!$A$1:$I$89,3,0)*0.475*44/12</f>
        <v>3.027532360240766</v>
      </c>
      <c r="AW163" s="21">
        <f>EXP(-LN(2)/2)*AW162+(1-EXP(-LN(2)/2))/(LN(2)/2)*AQ163*AT163*VLOOKUP('Données projet'!$B$10,Paramètres!$A$1:$I$89,3,0)*0.475*44/12</f>
        <v>5.3256459529785521E-14</v>
      </c>
      <c r="AX163" s="21">
        <f t="shared" si="166"/>
        <v>22.193023226641699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6">
        <f t="shared" si="110"/>
        <v>607.14935567170596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9.4880000000000049</v>
      </c>
      <c r="N164" s="13">
        <f>IF('Données projet'!$A$36&gt;35,N163+M164-V163,IF(A164&lt;'Données projet'!$A$36,$K$205^A164,IF(A164='Données projet'!$A$36,'Données projet'!$B$36,N163+M164-V163)))</f>
        <v>551.85600000000125</v>
      </c>
      <c r="O164" s="13">
        <f>N164*VLOOKUP('Données projet'!$B$9,Paramètres!$A$1:$I$89,3,0)*VLOOKUP('Données projet'!$B$9,Paramètres!$A$1:$I$89,5,0)</f>
        <v>499.31930880000107</v>
      </c>
      <c r="P164" s="13">
        <f t="shared" si="141"/>
        <v>111.64497591125094</v>
      </c>
      <c r="Q164" s="20">
        <f t="shared" si="162"/>
        <v>1064.0961292054305</v>
      </c>
      <c r="R164" s="59">
        <f t="shared" si="109"/>
        <v>1357.4294625387638</v>
      </c>
      <c r="S164" s="59">
        <f ca="1">AVERAGE(OFFSET($R$3,0,0,'Données projet'!$E$9+1,1))-AVERAGE(OFFSET($H$3,0,0,'Données projet'!$E$9+1,1))</f>
        <v>422.10969295064359</v>
      </c>
      <c r="T164" s="59">
        <f t="shared" si="142"/>
        <v>184.04075143033037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47.134284836553292</v>
      </c>
      <c r="AA164" s="21">
        <f>EXP(-LN(2)/25)*AA163+(1-EXP(-LN(2)/25))/(LN(2)/25)*Calculateur!V164*Calculateur!X164*VLOOKUP('Données projet'!$B$9,Paramètres!$A$1:$I$89,3,0)*0.475*44/12</f>
        <v>18.856382312198924</v>
      </c>
      <c r="AB164" s="21">
        <f>EXP(-LN(2)/2)*AB163+(1-EXP(-LN(2)/2))/(LN(2)/2)*V164*Y164*VLOOKUP('Données projet'!$B$9,Paramètres!$A$1:$I$89,3,0)*0.475*44/12</f>
        <v>1.3772862706256274E-5</v>
      </c>
      <c r="AC164" s="22">
        <f t="shared" si="163"/>
        <v>65.99068092161491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6.7984728957526396E-14</v>
      </c>
      <c r="AK164" s="13">
        <f t="shared" si="164"/>
        <v>1.0682447123141398E-12</v>
      </c>
      <c r="AL164" s="20">
        <f t="shared" si="165"/>
        <v>1.978932943548152E-12</v>
      </c>
      <c r="AM164" s="59">
        <f t="shared" si="113"/>
        <v>293.3333333333353</v>
      </c>
      <c r="AN164" s="59">
        <f ca="1">AVERAGE(OFFSET($AM$3,0,0,'Données projet'!$E$10+1,1))-AVERAGE(OFFSET($H$3,0,0,'Données projet'!$E$10+1,1))</f>
        <v>213.90220310357444</v>
      </c>
      <c r="AO164" s="59">
        <f t="shared" si="144"/>
        <v>209.61422409790703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18.789667280305917</v>
      </c>
      <c r="AV164" s="21">
        <f>EXP(-LN(2)/25)*AV163+(1-EXP(-LN(2)/25))/(LN(2)/25)*Calculateur!AQ164*Calculateur!AS164*VLOOKUP('Données projet'!$B$10,Paramètres!$A$1:$I$89,3,0)*0.475*44/12</f>
        <v>2.9447443286389747</v>
      </c>
      <c r="AW164" s="21">
        <f>EXP(-LN(2)/2)*AW163+(1-EXP(-LN(2)/2))/(LN(2)/2)*AQ164*AT164*VLOOKUP('Données projet'!$B$10,Paramètres!$A$1:$I$89,3,0)*0.475*44/12</f>
        <v>3.7658003675498274E-14</v>
      </c>
      <c r="AX164" s="21">
        <f t="shared" si="166"/>
        <v>21.734411608944932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6">
        <f t="shared" si="110"/>
        <v>609.05178026847398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9.4880000000000049</v>
      </c>
      <c r="N165" s="13">
        <f>IF('Données projet'!$A$36&gt;35,N164+M165-V164,IF(A165&lt;'Données projet'!$A$36,$K$205^A165,IF(A165='Données projet'!$A$36,'Données projet'!$B$36,N164+M165-V164)))</f>
        <v>561.3440000000013</v>
      </c>
      <c r="O165" s="13">
        <f>N165*VLOOKUP('Données projet'!$B$9,Paramètres!$A$1:$I$89,3,0)*VLOOKUP('Données projet'!$B$9,Paramètres!$A$1:$I$89,5,0)</f>
        <v>507.90405120000116</v>
      </c>
      <c r="P165" s="13">
        <f t="shared" si="141"/>
        <v>113.33935964263163</v>
      </c>
      <c r="Q165" s="20">
        <f t="shared" si="162"/>
        <v>1081.9989405509189</v>
      </c>
      <c r="R165" s="59">
        <f t="shared" si="109"/>
        <v>1375.3322738842521</v>
      </c>
      <c r="S165" s="59">
        <f ca="1">AVERAGE(OFFSET($R$3,0,0,'Données projet'!$E$9+1,1))-AVERAGE(OFFSET($H$3,0,0,'Données projet'!$E$9+1,1))</f>
        <v>422.10969295064359</v>
      </c>
      <c r="T165" s="59">
        <f t="shared" si="142"/>
        <v>184.04075143033037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46.210010259983498</v>
      </c>
      <c r="AA165" s="21">
        <f>EXP(-LN(2)/25)*AA164+(1-EXP(-LN(2)/25))/(LN(2)/25)*Calculateur!V165*Calculateur!X165*VLOOKUP('Données projet'!$B$9,Paramètres!$A$1:$I$89,3,0)*0.475*44/12</f>
        <v>18.340753546257798</v>
      </c>
      <c r="AB165" s="21">
        <f>EXP(-LN(2)/2)*AB164+(1-EXP(-LN(2)/2))/(LN(2)/2)*V165*Y165*VLOOKUP('Données projet'!$B$9,Paramètres!$A$1:$I$89,3,0)*0.475*44/12</f>
        <v>9.7388846159451158E-6</v>
      </c>
      <c r="AC165" s="22">
        <f t="shared" si="163"/>
        <v>64.550773545125907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6.7984728957526396E-14</v>
      </c>
      <c r="AK165" s="13">
        <f t="shared" si="164"/>
        <v>1.0682447123141398E-12</v>
      </c>
      <c r="AL165" s="20">
        <f t="shared" si="165"/>
        <v>1.978932943548152E-12</v>
      </c>
      <c r="AM165" s="59">
        <f t="shared" si="113"/>
        <v>293.3333333333353</v>
      </c>
      <c r="AN165" s="59">
        <f ca="1">AVERAGE(OFFSET($AM$3,0,0,'Données projet'!$E$10+1,1))-AVERAGE(OFFSET($H$3,0,0,'Données projet'!$E$10+1,1))</f>
        <v>213.90220310357444</v>
      </c>
      <c r="AO165" s="59">
        <f t="shared" si="144"/>
        <v>209.61422409790703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18.421213365504521</v>
      </c>
      <c r="AV165" s="21">
        <f>EXP(-LN(2)/25)*AV164+(1-EXP(-LN(2)/25))/(LN(2)/25)*Calculateur!AQ165*Calculateur!AS165*VLOOKUP('Données projet'!$B$10,Paramètres!$A$1:$I$89,3,0)*0.475*44/12</f>
        <v>2.8642201401149681</v>
      </c>
      <c r="AW165" s="21">
        <f>EXP(-LN(2)/2)*AW164+(1-EXP(-LN(2)/2))/(LN(2)/2)*AQ165*AT165*VLOOKUP('Données projet'!$B$10,Paramètres!$A$1:$I$89,3,0)*0.475*44/12</f>
        <v>2.6628229764892761E-14</v>
      </c>
      <c r="AX165" s="21">
        <f t="shared" si="166"/>
        <v>21.285433505619512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6">
        <f t="shared" si="110"/>
        <v>610.95395078996603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9.4880000000000049</v>
      </c>
      <c r="N166" s="13">
        <f>IF('Données projet'!$A$36&gt;35,N165+M166-V165,IF(A166&lt;'Données projet'!$A$36,$K$205^A166,IF(A166='Données projet'!$A$36,'Données projet'!$B$36,N165+M166-V165)))</f>
        <v>570.83200000000136</v>
      </c>
      <c r="O166" s="13">
        <f>N166*VLOOKUP('Données projet'!$B$9,Paramètres!$A$1:$I$89,3,0)*VLOOKUP('Données projet'!$B$9,Paramètres!$A$1:$I$89,5,0)</f>
        <v>516.48879360000115</v>
      </c>
      <c r="P166" s="13">
        <f t="shared" si="141"/>
        <v>115.03041290761819</v>
      </c>
      <c r="Q166" s="20">
        <f t="shared" si="162"/>
        <v>1099.8959513341035</v>
      </c>
      <c r="R166" s="59">
        <f t="shared" si="109"/>
        <v>1393.2292846674368</v>
      </c>
      <c r="S166" s="59">
        <f ca="1">AVERAGE(OFFSET($R$3,0,0,'Données projet'!$E$9+1,1))-AVERAGE(OFFSET($H$3,0,0,'Données projet'!$E$9+1,1))</f>
        <v>422.10969295064359</v>
      </c>
      <c r="T166" s="59">
        <f t="shared" si="142"/>
        <v>184.04075143033037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45.303860144108413</v>
      </c>
      <c r="AA166" s="21">
        <f>EXP(-LN(2)/25)*AA165+(1-EXP(-LN(2)/25))/(LN(2)/25)*Calculateur!V166*Calculateur!X166*VLOOKUP('Données projet'!$B$9,Paramètres!$A$1:$I$89,3,0)*0.475*44/12</f>
        <v>17.839224676037066</v>
      </c>
      <c r="AB166" s="21">
        <f>EXP(-LN(2)/2)*AB165+(1-EXP(-LN(2)/2))/(LN(2)/2)*V166*Y166*VLOOKUP('Données projet'!$B$9,Paramètres!$A$1:$I$89,3,0)*0.475*44/12</f>
        <v>6.886431353128137E-6</v>
      </c>
      <c r="AC166" s="22">
        <f t="shared" si="163"/>
        <v>63.143091706576826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6.7984728957526396E-14</v>
      </c>
      <c r="AK166" s="13">
        <f t="shared" si="164"/>
        <v>1.0682447123141398E-12</v>
      </c>
      <c r="AL166" s="20">
        <f t="shared" si="165"/>
        <v>1.978932943548152E-12</v>
      </c>
      <c r="AM166" s="59">
        <f t="shared" si="113"/>
        <v>293.3333333333353</v>
      </c>
      <c r="AN166" s="59">
        <f ca="1">AVERAGE(OFFSET($AM$3,0,0,'Données projet'!$E$10+1,1))-AVERAGE(OFFSET($H$3,0,0,'Données projet'!$E$10+1,1))</f>
        <v>213.90220310357444</v>
      </c>
      <c r="AO166" s="59">
        <f t="shared" si="144"/>
        <v>209.61422409790703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18.059984607237684</v>
      </c>
      <c r="AV166" s="21">
        <f>EXP(-LN(2)/25)*AV165+(1-EXP(-LN(2)/25))/(LN(2)/25)*Calculateur!AQ166*Calculateur!AS166*VLOOKUP('Données projet'!$B$10,Paramètres!$A$1:$I$89,3,0)*0.475*44/12</f>
        <v>2.7858978897607334</v>
      </c>
      <c r="AW166" s="21">
        <f>EXP(-LN(2)/2)*AW165+(1-EXP(-LN(2)/2))/(LN(2)/2)*AQ166*AT166*VLOOKUP('Données projet'!$B$10,Paramètres!$A$1:$I$89,3,0)*0.475*44/12</f>
        <v>1.8829001837749137E-14</v>
      </c>
      <c r="AX166" s="21">
        <f t="shared" si="166"/>
        <v>20.845882496998435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6">
        <f t="shared" si="110"/>
        <v>612.85586897576445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9.4880000000000049</v>
      </c>
      <c r="M167" s="12">
        <f t="array" ref="M167">INDEX(L:L,MIN(IF(ISNUMBER(L167:L363),ROW(L167:L363),"")))</f>
        <v>9.4880000000000049</v>
      </c>
      <c r="N167" s="13">
        <f>IF('Données projet'!$A$36&gt;35,N166+M167-V166,IF(A167&lt;'Données projet'!$A$36,$K$205^A167,IF(A167='Données projet'!$A$36,'Données projet'!$B$36,N166+M167-V166)))</f>
        <v>580.32000000000141</v>
      </c>
      <c r="O167" s="13">
        <f>N167*VLOOKUP('Données projet'!$B$9,Paramètres!$A$1:$I$89,3,0)*VLOOKUP('Données projet'!$B$9,Paramètres!$A$1:$I$89,5,0)</f>
        <v>525.07353600000124</v>
      </c>
      <c r="P167" s="13">
        <f t="shared" si="141"/>
        <v>116.71819745258949</v>
      </c>
      <c r="Q167" s="20">
        <f t="shared" si="162"/>
        <v>1117.7872690965953</v>
      </c>
      <c r="R167" s="59">
        <f t="shared" si="109"/>
        <v>1411.1206024299286</v>
      </c>
      <c r="S167" s="59">
        <f ca="1">AVERAGE(OFFSET($R$3,0,0,'Données projet'!$E$9+1,1))-AVERAGE(OFFSET($H$3,0,0,'Données projet'!$E$9+1,1))</f>
        <v>422.10969295064359</v>
      </c>
      <c r="T167" s="59">
        <f t="shared" si="142"/>
        <v>184.04075143033037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66.020000000000095</v>
      </c>
      <c r="W167" s="16">
        <f>IF(ISNA(VLOOKUP(A167,'Données projet'!$A$35:$I$55,5,0)),0%,VLOOKUP(A167,'Données projet'!$A$35:$I$55,5,0)*VLOOKUP('Données projet'!$B$9,Paramètres!$A$1:$I$89,7,0))</f>
        <v>0.215</v>
      </c>
      <c r="X167" s="16">
        <f>IF(ISNA(VLOOKUP(A167,'Données projet'!$A$35:$I$55,6,0)),0%,VLOOKUP(A167,'Données projet'!$A$35:$I$55,6,0)*VLOOKUP('Données projet'!$B$9,Paramètres!$A$1:$I$89,7,0))</f>
        <v>8.6000000000000007E-2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58.613038082092139</v>
      </c>
      <c r="AA167" s="21">
        <f>EXP(-LN(2)/25)*AA166+(1-EXP(-LN(2)/25))/(LN(2)/25)*Calculateur!V167*Calculateur!X167*VLOOKUP('Données projet'!$B$9,Paramètres!$A$1:$I$89,3,0)*0.475*44/12</f>
        <v>23.008073260464958</v>
      </c>
      <c r="AB167" s="21">
        <f>EXP(-LN(2)/2)*AB166+(1-EXP(-LN(2)/2))/(LN(2)/2)*V167*Y167*VLOOKUP('Données projet'!$B$9,Paramètres!$A$1:$I$89,3,0)*0.475*44/12</f>
        <v>4.8694423079725579E-6</v>
      </c>
      <c r="AC167" s="22">
        <f t="shared" si="163"/>
        <v>81.621116211999407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6.7984728957526396E-14</v>
      </c>
      <c r="AK167" s="13">
        <f t="shared" si="164"/>
        <v>1.0682447123141398E-12</v>
      </c>
      <c r="AL167" s="20">
        <f t="shared" si="165"/>
        <v>1.978932943548152E-12</v>
      </c>
      <c r="AM167" s="59">
        <f t="shared" si="113"/>
        <v>293.3333333333353</v>
      </c>
      <c r="AN167" s="59">
        <f ca="1">AVERAGE(OFFSET($AM$3,0,0,'Données projet'!$E$10+1,1))-AVERAGE(OFFSET($H$3,0,0,'Données projet'!$E$10+1,1))</f>
        <v>213.90220310357444</v>
      </c>
      <c r="AO167" s="59">
        <f t="shared" si="144"/>
        <v>209.61422409790703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17.705839324592674</v>
      </c>
      <c r="AV167" s="21">
        <f>EXP(-LN(2)/25)*AV166+(1-EXP(-LN(2)/25))/(LN(2)/25)*Calculateur!AQ167*Calculateur!AS167*VLOOKUP('Données projet'!$B$10,Paramètres!$A$1:$I$89,3,0)*0.475*44/12</f>
        <v>2.7097173654612234</v>
      </c>
      <c r="AW167" s="21">
        <f>EXP(-LN(2)/2)*AW166+(1-EXP(-LN(2)/2))/(LN(2)/2)*AQ167*AT167*VLOOKUP('Données projet'!$B$10,Paramètres!$A$1:$I$89,3,0)*0.475*44/12</f>
        <v>1.331411488244638E-14</v>
      </c>
      <c r="AX167" s="21">
        <f t="shared" si="166"/>
        <v>20.415556690053911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6">
        <f t="shared" si="110"/>
        <v>614.75753654301047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9.6220000000000034</v>
      </c>
      <c r="N168" s="13">
        <f>IF('Données projet'!$A$36&gt;35,N167+M168-V167,IF(A168&lt;'Données projet'!$A$36,$K$205^A168,IF(A168='Données projet'!$A$36,'Données projet'!$B$36,N167+M168-V167)))</f>
        <v>523.92200000000128</v>
      </c>
      <c r="O168" s="13">
        <f>N168*VLOOKUP('Données projet'!$B$9,Paramètres!$A$1:$I$89,3,0)*VLOOKUP('Données projet'!$B$9,Paramètres!$A$1:$I$89,5,0)</f>
        <v>474.04462560000115</v>
      </c>
      <c r="P168" s="13">
        <f t="shared" si="141"/>
        <v>106.63651269520395</v>
      </c>
      <c r="Q168" s="20">
        <f t="shared" si="162"/>
        <v>1011.3529825308154</v>
      </c>
      <c r="R168" s="59">
        <f t="shared" si="109"/>
        <v>1304.6863158641488</v>
      </c>
      <c r="S168" s="59">
        <f ca="1">AVERAGE(OFFSET($R$3,0,0,'Données projet'!$E$9+1,1))-AVERAGE(OFFSET($H$3,0,0,'Données projet'!$E$9+1,1))</f>
        <v>422.10969295064359</v>
      </c>
      <c r="T168" s="59">
        <f t="shared" si="142"/>
        <v>184.04075143033037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57.463672155725483</v>
      </c>
      <c r="AA168" s="21">
        <f>EXP(-LN(2)/25)*AA167+(1-EXP(-LN(2)/25))/(LN(2)/25)*Calculateur!V168*Calculateur!X168*VLOOKUP('Données projet'!$B$9,Paramètres!$A$1:$I$89,3,0)*0.475*44/12</f>
        <v>22.378916287215556</v>
      </c>
      <c r="AB168" s="21">
        <f>EXP(-LN(2)/2)*AB167+(1-EXP(-LN(2)/2))/(LN(2)/2)*V168*Y168*VLOOKUP('Données projet'!$B$9,Paramètres!$A$1:$I$89,3,0)*0.475*44/12</f>
        <v>3.4432156765640685E-6</v>
      </c>
      <c r="AC168" s="22">
        <f t="shared" si="163"/>
        <v>79.842591886156711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6.7984728957526396E-14</v>
      </c>
      <c r="AK168" s="13">
        <f t="shared" si="164"/>
        <v>1.0682447123141398E-12</v>
      </c>
      <c r="AL168" s="20">
        <f t="shared" si="165"/>
        <v>1.978932943548152E-12</v>
      </c>
      <c r="AM168" s="59">
        <f t="shared" si="113"/>
        <v>293.3333333333353</v>
      </c>
      <c r="AN168" s="59">
        <f ca="1">AVERAGE(OFFSET($AM$3,0,0,'Données projet'!$E$10+1,1))-AVERAGE(OFFSET($H$3,0,0,'Données projet'!$E$10+1,1))</f>
        <v>213.90220310357444</v>
      </c>
      <c r="AO168" s="59">
        <f t="shared" si="144"/>
        <v>209.61422409790703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17.358638614933039</v>
      </c>
      <c r="AV168" s="21">
        <f>EXP(-LN(2)/25)*AV167+(1-EXP(-LN(2)/25))/(LN(2)/25)*Calculateur!AQ168*Calculateur!AS168*VLOOKUP('Données projet'!$B$10,Paramètres!$A$1:$I$89,3,0)*0.475*44/12</f>
        <v>2.6356200016048432</v>
      </c>
      <c r="AW168" s="21">
        <f>EXP(-LN(2)/2)*AW167+(1-EXP(-LN(2)/2))/(LN(2)/2)*AQ168*AT168*VLOOKUP('Données projet'!$B$10,Paramètres!$A$1:$I$89,3,0)*0.475*44/12</f>
        <v>9.4145009188745685E-15</v>
      </c>
      <c r="AX168" s="21">
        <f t="shared" si="166"/>
        <v>19.994258616537891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6">
        <f t="shared" si="110"/>
        <v>616.65895518682692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9.6220000000000034</v>
      </c>
      <c r="N169" s="13">
        <f>IF('Données projet'!$A$36&gt;35,N168+M169-V168,IF(A169&lt;'Données projet'!$A$36,$K$205^A169,IF(A169='Données projet'!$A$36,'Données projet'!$B$36,N168+M169-V168)))</f>
        <v>533.54400000000123</v>
      </c>
      <c r="O169" s="13">
        <f>N169*VLOOKUP('Données projet'!$B$9,Paramètres!$A$1:$I$89,3,0)*VLOOKUP('Données projet'!$B$9,Paramètres!$A$1:$I$89,5,0)</f>
        <v>482.75061120000112</v>
      </c>
      <c r="P169" s="13">
        <f t="shared" si="141"/>
        <v>108.36513078962237</v>
      </c>
      <c r="Q169" s="20">
        <f t="shared" si="162"/>
        <v>1029.5265839652609</v>
      </c>
      <c r="R169" s="59">
        <f t="shared" si="109"/>
        <v>1322.8599172985942</v>
      </c>
      <c r="S169" s="59">
        <f ca="1">AVERAGE(OFFSET($R$3,0,0,'Données projet'!$E$9+1,1))-AVERAGE(OFFSET($H$3,0,0,'Données projet'!$E$9+1,1))</f>
        <v>422.10969295064359</v>
      </c>
      <c r="T169" s="59">
        <f t="shared" si="142"/>
        <v>184.04075143033037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56.336844594130881</v>
      </c>
      <c r="AA169" s="21">
        <f>EXP(-LN(2)/25)*AA168+(1-EXP(-LN(2)/25))/(LN(2)/25)*Calculateur!V169*Calculateur!X169*VLOOKUP('Données projet'!$B$9,Paramètres!$A$1:$I$89,3,0)*0.475*44/12</f>
        <v>21.766963644485589</v>
      </c>
      <c r="AB169" s="21">
        <f>EXP(-LN(2)/2)*AB168+(1-EXP(-LN(2)/2))/(LN(2)/2)*V169*Y169*VLOOKUP('Données projet'!$B$9,Paramètres!$A$1:$I$89,3,0)*0.475*44/12</f>
        <v>2.434721153986279E-6</v>
      </c>
      <c r="AC169" s="22">
        <f t="shared" si="163"/>
        <v>78.10381067333762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6.7984728957526396E-14</v>
      </c>
      <c r="AK169" s="13">
        <f t="shared" si="164"/>
        <v>1.0682447123141398E-12</v>
      </c>
      <c r="AL169" s="20">
        <f t="shared" si="165"/>
        <v>1.978932943548152E-12</v>
      </c>
      <c r="AM169" s="59">
        <f t="shared" si="113"/>
        <v>293.3333333333353</v>
      </c>
      <c r="AN169" s="59">
        <f ca="1">AVERAGE(OFFSET($AM$3,0,0,'Données projet'!$E$10+1,1))-AVERAGE(OFFSET($H$3,0,0,'Données projet'!$E$10+1,1))</f>
        <v>213.90220310357444</v>
      </c>
      <c r="AO169" s="59">
        <f t="shared" si="144"/>
        <v>209.61422409790703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17.018246299418305</v>
      </c>
      <c r="AV169" s="21">
        <f>EXP(-LN(2)/25)*AV168+(1-EXP(-LN(2)/25))/(LN(2)/25)*Calculateur!AQ169*Calculateur!AS169*VLOOKUP('Données projet'!$B$10,Paramètres!$A$1:$I$89,3,0)*0.475*44/12</f>
        <v>2.5635488340597266</v>
      </c>
      <c r="AW169" s="21">
        <f>EXP(-LN(2)/2)*AW168+(1-EXP(-LN(2)/2))/(LN(2)/2)*AQ169*AT169*VLOOKUP('Données projet'!$B$10,Paramètres!$A$1:$I$89,3,0)*0.475*44/12</f>
        <v>6.6570574412231902E-15</v>
      </c>
      <c r="AX169" s="21">
        <f t="shared" si="166"/>
        <v>19.581795133478039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6">
        <f t="shared" si="110"/>
        <v>618.56012658073257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9.6220000000000034</v>
      </c>
      <c r="N170" s="13">
        <f>IF('Données projet'!$A$36&gt;35,N169+M170-V169,IF(A170&lt;'Données projet'!$A$36,$K$205^A170,IF(A170='Données projet'!$A$36,'Données projet'!$B$36,N169+M170-V169)))</f>
        <v>543.16600000000119</v>
      </c>
      <c r="O170" s="13">
        <f>N170*VLOOKUP('Données projet'!$B$9,Paramètres!$A$1:$I$89,3,0)*VLOOKUP('Données projet'!$B$9,Paramètres!$A$1:$I$89,5,0)</f>
        <v>491.45659680000102</v>
      </c>
      <c r="P170" s="13">
        <f t="shared" si="141"/>
        <v>110.09012381497753</v>
      </c>
      <c r="Q170" s="20">
        <f t="shared" si="162"/>
        <v>1047.6938717377543</v>
      </c>
      <c r="R170" s="59">
        <f t="shared" si="109"/>
        <v>1341.0272050710876</v>
      </c>
      <c r="S170" s="59">
        <f ca="1">AVERAGE(OFFSET($R$3,0,0,'Données projet'!$E$9+1,1))-AVERAGE(OFFSET($H$3,0,0,'Données projet'!$E$9+1,1))</f>
        <v>422.10969295064359</v>
      </c>
      <c r="T170" s="59">
        <f t="shared" si="142"/>
        <v>184.04075143033037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55.232113433722205</v>
      </c>
      <c r="AA170" s="21">
        <f>EXP(-LN(2)/25)*AA169+(1-EXP(-LN(2)/25))/(LN(2)/25)*Calculateur!V170*Calculateur!X170*VLOOKUP('Données projet'!$B$9,Paramètres!$A$1:$I$89,3,0)*0.475*44/12</f>
        <v>21.171744878952261</v>
      </c>
      <c r="AB170" s="21">
        <f>EXP(-LN(2)/2)*AB169+(1-EXP(-LN(2)/2))/(LN(2)/2)*V170*Y170*VLOOKUP('Données projet'!$B$9,Paramètres!$A$1:$I$89,3,0)*0.475*44/12</f>
        <v>1.7216078382820342E-6</v>
      </c>
      <c r="AC170" s="22">
        <f t="shared" si="163"/>
        <v>76.403860034282303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6.7984728957526396E-14</v>
      </c>
      <c r="AK170" s="13">
        <f t="shared" si="164"/>
        <v>1.0682447123141398E-12</v>
      </c>
      <c r="AL170" s="20">
        <f t="shared" si="165"/>
        <v>1.978932943548152E-12</v>
      </c>
      <c r="AM170" s="59">
        <f t="shared" si="113"/>
        <v>293.3333333333353</v>
      </c>
      <c r="AN170" s="59">
        <f ca="1">AVERAGE(OFFSET($AM$3,0,0,'Données projet'!$E$10+1,1))-AVERAGE(OFFSET($H$3,0,0,'Données projet'!$E$10+1,1))</f>
        <v>213.90220310357444</v>
      </c>
      <c r="AO170" s="59">
        <f t="shared" si="144"/>
        <v>209.61422409790703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16.684528869592004</v>
      </c>
      <c r="AV170" s="21">
        <f>EXP(-LN(2)/25)*AV169+(1-EXP(-LN(2)/25))/(LN(2)/25)*Calculateur!AQ170*Calculateur!AS170*VLOOKUP('Données projet'!$B$10,Paramètres!$A$1:$I$89,3,0)*0.475*44/12</f>
        <v>2.4934484563811892</v>
      </c>
      <c r="AW170" s="21">
        <f>EXP(-LN(2)/2)*AW169+(1-EXP(-LN(2)/2))/(LN(2)/2)*AQ170*AT170*VLOOKUP('Données projet'!$B$10,Paramètres!$A$1:$I$89,3,0)*0.475*44/12</f>
        <v>4.7072504594372843E-15</v>
      </c>
      <c r="AX170" s="21">
        <f t="shared" si="166"/>
        <v>19.177977325973195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6">
        <f t="shared" si="110"/>
        <v>620.46105237704421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9.6220000000000034</v>
      </c>
      <c r="N171" s="13">
        <f>IF('Données projet'!$A$36&gt;35,N170+M171-V170,IF(A171&lt;'Données projet'!$A$36,$K$205^A171,IF(A171='Données projet'!$A$36,'Données projet'!$B$36,N170+M171-V170)))</f>
        <v>552.78800000000115</v>
      </c>
      <c r="O171" s="13">
        <f>N171*VLOOKUP('Données projet'!$B$9,Paramètres!$A$1:$I$89,3,0)*VLOOKUP('Données projet'!$B$9,Paramètres!$A$1:$I$89,5,0)</f>
        <v>500.16258240000104</v>
      </c>
      <c r="P171" s="13">
        <f t="shared" si="141"/>
        <v>111.81156339666074</v>
      </c>
      <c r="Q171" s="20">
        <f t="shared" si="162"/>
        <v>1065.8549705958526</v>
      </c>
      <c r="R171" s="59">
        <f t="shared" si="109"/>
        <v>1359.1883039291858</v>
      </c>
      <c r="S171" s="59">
        <f ca="1">AVERAGE(OFFSET($R$3,0,0,'Données projet'!$E$9+1,1))-AVERAGE(OFFSET($H$3,0,0,'Données projet'!$E$9+1,1))</f>
        <v>422.10969295064359</v>
      </c>
      <c r="T171" s="59">
        <f t="shared" si="142"/>
        <v>184.04075143033037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54.149045377549669</v>
      </c>
      <c r="AA171" s="21">
        <f>EXP(-LN(2)/25)*AA170+(1-EXP(-LN(2)/25))/(LN(2)/25)*Calculateur!V171*Calculateur!X171*VLOOKUP('Données projet'!$B$9,Paramètres!$A$1:$I$89,3,0)*0.475*44/12</f>
        <v>20.592802401863636</v>
      </c>
      <c r="AB171" s="21">
        <f>EXP(-LN(2)/2)*AB170+(1-EXP(-LN(2)/2))/(LN(2)/2)*V171*Y171*VLOOKUP('Données projet'!$B$9,Paramètres!$A$1:$I$89,3,0)*0.475*44/12</f>
        <v>1.2173605769931395E-6</v>
      </c>
      <c r="AC171" s="22">
        <f t="shared" si="163"/>
        <v>74.741848996773882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6.7984728957526396E-14</v>
      </c>
      <c r="AK171" s="13">
        <f t="shared" si="164"/>
        <v>1.0682447123141398E-12</v>
      </c>
      <c r="AL171" s="20">
        <f t="shared" si="165"/>
        <v>1.978932943548152E-12</v>
      </c>
      <c r="AM171" s="59">
        <f t="shared" si="113"/>
        <v>293.3333333333353</v>
      </c>
      <c r="AN171" s="59">
        <f ca="1">AVERAGE(OFFSET($AM$3,0,0,'Données projet'!$E$10+1,1))-AVERAGE(OFFSET($H$3,0,0,'Données projet'!$E$10+1,1))</f>
        <v>213.90220310357444</v>
      </c>
      <c r="AO171" s="59">
        <f t="shared" si="144"/>
        <v>209.61422409790703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16.357355435017062</v>
      </c>
      <c r="AV171" s="21">
        <f>EXP(-LN(2)/25)*AV170+(1-EXP(-LN(2)/25))/(LN(2)/25)*Calculateur!AQ171*Calculateur!AS171*VLOOKUP('Données projet'!$B$10,Paramètres!$A$1:$I$89,3,0)*0.475*44/12</f>
        <v>2.4252649772166901</v>
      </c>
      <c r="AW171" s="21">
        <f>EXP(-LN(2)/2)*AW170+(1-EXP(-LN(2)/2))/(LN(2)/2)*AQ171*AT171*VLOOKUP('Données projet'!$B$10,Paramètres!$A$1:$I$89,3,0)*0.475*44/12</f>
        <v>3.3285287206115951E-15</v>
      </c>
      <c r="AX171" s="21">
        <f t="shared" si="166"/>
        <v>18.782620412233758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6">
        <f t="shared" si="110"/>
        <v>622.36173420727039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9.6220000000000034</v>
      </c>
      <c r="N172" s="13">
        <f>IF('Données projet'!$A$36&gt;35,N171+M172-V171,IF(A172&lt;'Données projet'!$A$36,$K$205^A172,IF(A172='Données projet'!$A$36,'Données projet'!$B$36,N171+M172-V171)))</f>
        <v>562.41000000000111</v>
      </c>
      <c r="O172" s="13">
        <f>N172*VLOOKUP('Données projet'!$B$9,Paramètres!$A$1:$I$89,3,0)*VLOOKUP('Données projet'!$B$9,Paramètres!$A$1:$I$89,5,0)</f>
        <v>508.86856800000095</v>
      </c>
      <c r="P172" s="13">
        <f t="shared" si="141"/>
        <v>113.52951852374844</v>
      </c>
      <c r="Q172" s="20">
        <f t="shared" si="162"/>
        <v>1084.0100006955302</v>
      </c>
      <c r="R172" s="59">
        <f t="shared" si="109"/>
        <v>1377.3433340288634</v>
      </c>
      <c r="S172" s="59">
        <f ca="1">AVERAGE(OFFSET($R$3,0,0,'Données projet'!$E$9+1,1))-AVERAGE(OFFSET($H$3,0,0,'Données projet'!$E$9+1,1))</f>
        <v>422.10969295064359</v>
      </c>
      <c r="T172" s="59">
        <f t="shared" si="142"/>
        <v>184.04075143033037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53.087215625352393</v>
      </c>
      <c r="AA172" s="21">
        <f>EXP(-LN(2)/25)*AA171+(1-EXP(-LN(2)/25))/(LN(2)/25)*Calculateur!V172*Calculateur!X172*VLOOKUP('Données projet'!$B$9,Paramètres!$A$1:$I$89,3,0)*0.475*44/12</f>
        <v>20.029691137256261</v>
      </c>
      <c r="AB172" s="21">
        <f>EXP(-LN(2)/2)*AB171+(1-EXP(-LN(2)/2))/(LN(2)/2)*V172*Y172*VLOOKUP('Données projet'!$B$9,Paramètres!$A$1:$I$89,3,0)*0.475*44/12</f>
        <v>8.6080391914101712E-7</v>
      </c>
      <c r="AC172" s="22">
        <f t="shared" si="163"/>
        <v>73.116907623412573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6.7984728957526396E-14</v>
      </c>
      <c r="AK172" s="13">
        <f t="shared" si="164"/>
        <v>1.0682447123141398E-12</v>
      </c>
      <c r="AL172" s="20">
        <f t="shared" si="165"/>
        <v>1.978932943548152E-12</v>
      </c>
      <c r="AM172" s="59">
        <f t="shared" si="113"/>
        <v>293.3333333333353</v>
      </c>
      <c r="AN172" s="59">
        <f ca="1">AVERAGE(OFFSET($AM$3,0,0,'Données projet'!$E$10+1,1))-AVERAGE(OFFSET($H$3,0,0,'Données projet'!$E$10+1,1))</f>
        <v>213.90220310357444</v>
      </c>
      <c r="AO172" s="59">
        <f t="shared" si="144"/>
        <v>209.61422409790703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16.036597671938047</v>
      </c>
      <c r="AV172" s="21">
        <f>EXP(-LN(2)/25)*AV171+(1-EXP(-LN(2)/25))/(LN(2)/25)*Calculateur!AQ172*Calculateur!AS172*VLOOKUP('Données projet'!$B$10,Paramètres!$A$1:$I$89,3,0)*0.475*44/12</f>
        <v>2.3589459788755578</v>
      </c>
      <c r="AW172" s="21">
        <f>EXP(-LN(2)/2)*AW171+(1-EXP(-LN(2)/2))/(LN(2)/2)*AQ172*AT172*VLOOKUP('Données projet'!$B$10,Paramètres!$A$1:$I$89,3,0)*0.475*44/12</f>
        <v>2.3536252297186421E-15</v>
      </c>
      <c r="AX172" s="21">
        <f t="shared" si="166"/>
        <v>18.395543650813607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6">
        <f t="shared" si="110"/>
        <v>624.26217368249513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9.6220000000000034</v>
      </c>
      <c r="N173" s="13">
        <f>IF('Données projet'!$A$36&gt;35,N172+M173-V172,IF(A173&lt;'Données projet'!$A$36,$K$205^A173,IF(A173='Données projet'!$A$36,'Données projet'!$B$36,N172+M173-V172)))</f>
        <v>572.03200000000106</v>
      </c>
      <c r="O173" s="13">
        <f>N173*VLOOKUP('Données projet'!$B$9,Paramètres!$A$1:$I$89,3,0)*VLOOKUP('Données projet'!$B$9,Paramètres!$A$1:$I$89,5,0)</f>
        <v>517.57455360000097</v>
      </c>
      <c r="P173" s="13">
        <f t="shared" si="141"/>
        <v>115.24405568945055</v>
      </c>
      <c r="Q173" s="20">
        <f t="shared" si="162"/>
        <v>1102.1590778457946</v>
      </c>
      <c r="R173" s="59">
        <f t="shared" si="109"/>
        <v>1395.4924111791279</v>
      </c>
      <c r="S173" s="59">
        <f ca="1">AVERAGE(OFFSET($R$3,0,0,'Données projet'!$E$9+1,1))-AVERAGE(OFFSET($H$3,0,0,'Données projet'!$E$9+1,1))</f>
        <v>422.10969295064359</v>
      </c>
      <c r="T173" s="59">
        <f t="shared" si="142"/>
        <v>184.04075143033037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52.046207706943505</v>
      </c>
      <c r="AA173" s="21">
        <f>EXP(-LN(2)/25)*AA172+(1-EXP(-LN(2)/25))/(LN(2)/25)*Calculateur!V173*Calculateur!X173*VLOOKUP('Données projet'!$B$9,Paramètres!$A$1:$I$89,3,0)*0.475*44/12</f>
        <v>19.481978179792311</v>
      </c>
      <c r="AB173" s="21">
        <f>EXP(-LN(2)/2)*AB172+(1-EXP(-LN(2)/2))/(LN(2)/2)*V173*Y173*VLOOKUP('Données projet'!$B$9,Paramètres!$A$1:$I$89,3,0)*0.475*44/12</f>
        <v>6.0868028849656974E-7</v>
      </c>
      <c r="AC173" s="22">
        <f t="shared" si="163"/>
        <v>71.528186495416108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6.7984728957526396E-14</v>
      </c>
      <c r="AK173" s="13">
        <f t="shared" si="164"/>
        <v>1.0682447123141398E-12</v>
      </c>
      <c r="AL173" s="20">
        <f t="shared" si="165"/>
        <v>1.978932943548152E-12</v>
      </c>
      <c r="AM173" s="59">
        <f t="shared" si="113"/>
        <v>293.3333333333353</v>
      </c>
      <c r="AN173" s="59">
        <f ca="1">AVERAGE(OFFSET($AM$3,0,0,'Données projet'!$E$10+1,1))-AVERAGE(OFFSET($H$3,0,0,'Données projet'!$E$10+1,1))</f>
        <v>213.90220310357444</v>
      </c>
      <c r="AO173" s="59">
        <f t="shared" si="144"/>
        <v>209.61422409790703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15.722129772950092</v>
      </c>
      <c r="AV173" s="21">
        <f>EXP(-LN(2)/25)*AV172+(1-EXP(-LN(2)/25))/(LN(2)/25)*Calculateur!AQ173*Calculateur!AS173*VLOOKUP('Données projet'!$B$10,Paramètres!$A$1:$I$89,3,0)*0.475*44/12</f>
        <v>2.2944404770316282</v>
      </c>
      <c r="AW173" s="21">
        <f>EXP(-LN(2)/2)*AW172+(1-EXP(-LN(2)/2))/(LN(2)/2)*AQ173*AT173*VLOOKUP('Données projet'!$B$10,Paramètres!$A$1:$I$89,3,0)*0.475*44/12</f>
        <v>1.6642643603057975E-15</v>
      </c>
      <c r="AX173" s="21">
        <f t="shared" si="166"/>
        <v>18.016570249981719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6">
        <f t="shared" si="110"/>
        <v>626.1623723937513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9.6220000000000034</v>
      </c>
      <c r="N174" s="13">
        <f>IF('Données projet'!$A$36&gt;35,N173+M174-V173,IF(A174&lt;'Données projet'!$A$36,$K$205^A174,IF(A174='Données projet'!$A$36,'Données projet'!$B$36,N173+M174-V173)))</f>
        <v>581.65400000000102</v>
      </c>
      <c r="O174" s="13">
        <f>N174*VLOOKUP('Données projet'!$B$9,Paramètres!$A$1:$I$89,3,0)*VLOOKUP('Données projet'!$B$9,Paramètres!$A$1:$I$89,5,0)</f>
        <v>526.28053920000093</v>
      </c>
      <c r="P174" s="13">
        <f t="shared" si="141"/>
        <v>116.95523902184036</v>
      </c>
      <c r="Q174" s="20">
        <f t="shared" si="162"/>
        <v>1120.3023137363737</v>
      </c>
      <c r="R174" s="59">
        <f t="shared" si="109"/>
        <v>1413.6356470697069</v>
      </c>
      <c r="S174" s="59">
        <f ca="1">AVERAGE(OFFSET($R$3,0,0,'Données projet'!$E$9+1,1))-AVERAGE(OFFSET($H$3,0,0,'Données projet'!$E$9+1,1))</f>
        <v>422.10969295064359</v>
      </c>
      <c r="T174" s="59">
        <f t="shared" si="142"/>
        <v>184.04075143033037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51.025613318862483</v>
      </c>
      <c r="AA174" s="21">
        <f>EXP(-LN(2)/25)*AA173+(1-EXP(-LN(2)/25))/(LN(2)/25)*Calculateur!V174*Calculateur!X174*VLOOKUP('Données projet'!$B$9,Paramètres!$A$1:$I$89,3,0)*0.475*44/12</f>
        <v>18.949242461953183</v>
      </c>
      <c r="AB174" s="21">
        <f>EXP(-LN(2)/2)*AB173+(1-EXP(-LN(2)/2))/(LN(2)/2)*V174*Y174*VLOOKUP('Données projet'!$B$9,Paramètres!$A$1:$I$89,3,0)*0.475*44/12</f>
        <v>4.3040195957050856E-7</v>
      </c>
      <c r="AC174" s="22">
        <f t="shared" si="163"/>
        <v>69.974856211217613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6.7984728957526396E-14</v>
      </c>
      <c r="AK174" s="13">
        <f t="shared" si="164"/>
        <v>1.0682447123141398E-12</v>
      </c>
      <c r="AL174" s="20">
        <f t="shared" si="165"/>
        <v>1.978932943548152E-12</v>
      </c>
      <c r="AM174" s="59">
        <f t="shared" si="113"/>
        <v>293.3333333333353</v>
      </c>
      <c r="AN174" s="59">
        <f ca="1">AVERAGE(OFFSET($AM$3,0,0,'Données projet'!$E$10+1,1))-AVERAGE(OFFSET($H$3,0,0,'Données projet'!$E$10+1,1))</f>
        <v>213.90220310357444</v>
      </c>
      <c r="AO174" s="59">
        <f t="shared" si="144"/>
        <v>209.61422409790703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15.413828397654813</v>
      </c>
      <c r="AV174" s="21">
        <f>EXP(-LN(2)/25)*AV173+(1-EXP(-LN(2)/25))/(LN(2)/25)*Calculateur!AQ174*Calculateur!AS174*VLOOKUP('Données projet'!$B$10,Paramètres!$A$1:$I$89,3,0)*0.475*44/12</f>
        <v>2.2316988815278176</v>
      </c>
      <c r="AW174" s="21">
        <f>EXP(-LN(2)/2)*AW173+(1-EXP(-LN(2)/2))/(LN(2)/2)*AQ174*AT174*VLOOKUP('Données projet'!$B$10,Paramètres!$A$1:$I$89,3,0)*0.475*44/12</f>
        <v>1.1768126148593211E-15</v>
      </c>
      <c r="AX174" s="21">
        <f t="shared" si="166"/>
        <v>17.64552727918263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6">
        <f t="shared" si="110"/>
        <v>628.06233191238698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9.6220000000000034</v>
      </c>
      <c r="N175" s="13">
        <f>IF('Données projet'!$A$36&gt;35,N174+M175-V174,IF(A175&lt;'Données projet'!$A$36,$K$205^A175,IF(A175='Données projet'!$A$36,'Données projet'!$B$36,N174+M175-V174)))</f>
        <v>591.27600000000098</v>
      </c>
      <c r="O175" s="13">
        <f>N175*VLOOKUP('Données projet'!$B$9,Paramètres!$A$1:$I$89,3,0)*VLOOKUP('Données projet'!$B$9,Paramètres!$A$1:$I$89,5,0)</f>
        <v>534.98652480000089</v>
      </c>
      <c r="P175" s="13">
        <f t="shared" si="141"/>
        <v>118.66313040568902</v>
      </c>
      <c r="Q175" s="20">
        <f t="shared" si="162"/>
        <v>1138.4398161499098</v>
      </c>
      <c r="R175" s="59">
        <f t="shared" si="109"/>
        <v>1431.7731494832431</v>
      </c>
      <c r="S175" s="59">
        <f ca="1">AVERAGE(OFFSET($R$3,0,0,'Données projet'!$E$9+1,1))-AVERAGE(OFFSET($H$3,0,0,'Données projet'!$E$9+1,1))</f>
        <v>422.10969295064359</v>
      </c>
      <c r="T175" s="59">
        <f t="shared" si="142"/>
        <v>184.04075143033037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50.025032164230616</v>
      </c>
      <c r="AA175" s="21">
        <f>EXP(-LN(2)/25)*AA174+(1-EXP(-LN(2)/25))/(LN(2)/25)*Calculateur!V175*Calculateur!X175*VLOOKUP('Données projet'!$B$9,Paramètres!$A$1:$I$89,3,0)*0.475*44/12</f>
        <v>18.431074430333723</v>
      </c>
      <c r="AB175" s="21">
        <f>EXP(-LN(2)/2)*AB174+(1-EXP(-LN(2)/2))/(LN(2)/2)*V175*Y175*VLOOKUP('Données projet'!$B$9,Paramètres!$A$1:$I$89,3,0)*0.475*44/12</f>
        <v>3.0434014424828487E-7</v>
      </c>
      <c r="AC175" s="22">
        <f t="shared" si="163"/>
        <v>68.456106898904494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6.7984728957526396E-14</v>
      </c>
      <c r="AK175" s="13">
        <f t="shared" si="164"/>
        <v>1.0682447123141398E-12</v>
      </c>
      <c r="AL175" s="20">
        <f t="shared" si="165"/>
        <v>1.978932943548152E-12</v>
      </c>
      <c r="AM175" s="59">
        <f t="shared" si="113"/>
        <v>293.3333333333353</v>
      </c>
      <c r="AN175" s="59">
        <f ca="1">AVERAGE(OFFSET($AM$3,0,0,'Données projet'!$E$10+1,1))-AVERAGE(OFFSET($H$3,0,0,'Données projet'!$E$10+1,1))</f>
        <v>213.90220310357444</v>
      </c>
      <c r="AO175" s="59">
        <f t="shared" si="144"/>
        <v>209.61422409790703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15.111572624283802</v>
      </c>
      <c r="AV175" s="21">
        <f>EXP(-LN(2)/25)*AV174+(1-EXP(-LN(2)/25))/(LN(2)/25)*Calculateur!AQ175*Calculateur!AS175*VLOOKUP('Données projet'!$B$10,Paramètres!$A$1:$I$89,3,0)*0.475*44/12</f>
        <v>2.1706729582524957</v>
      </c>
      <c r="AW175" s="21">
        <f>EXP(-LN(2)/2)*AW174+(1-EXP(-LN(2)/2))/(LN(2)/2)*AQ175*AT175*VLOOKUP('Données projet'!$B$10,Paramètres!$A$1:$I$89,3,0)*0.475*44/12</f>
        <v>8.3213218015289877E-16</v>
      </c>
      <c r="AX175" s="21">
        <f t="shared" si="166"/>
        <v>17.282245582536298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6">
        <f t="shared" si="110"/>
        <v>629.96205379042158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9.6220000000000034</v>
      </c>
      <c r="N176" s="13">
        <f>IF('Données projet'!$A$36&gt;35,N175+M176-V175,IF(A176&lt;'Données projet'!$A$36,$K$205^A176,IF(A176='Données projet'!$A$36,'Données projet'!$B$36,N175+M176-V175)))</f>
        <v>600.89800000000093</v>
      </c>
      <c r="O176" s="13">
        <f>N176*VLOOKUP('Données projet'!$B$9,Paramètres!$A$1:$I$89,3,0)*VLOOKUP('Données projet'!$B$9,Paramètres!$A$1:$I$89,5,0)</f>
        <v>543.69251040000086</v>
      </c>
      <c r="P176" s="13">
        <f t="shared" si="141"/>
        <v>120.36778959614513</v>
      </c>
      <c r="Q176" s="20">
        <f t="shared" si="162"/>
        <v>1156.5716891599543</v>
      </c>
      <c r="R176" s="59">
        <f t="shared" si="109"/>
        <v>1449.9050224932876</v>
      </c>
      <c r="S176" s="59">
        <f ca="1">AVERAGE(OFFSET($R$3,0,0,'Données projet'!$E$9+1,1))-AVERAGE(OFFSET($H$3,0,0,'Données projet'!$E$9+1,1))</f>
        <v>422.10969295064359</v>
      </c>
      <c r="T176" s="59">
        <f t="shared" si="142"/>
        <v>184.04075143033037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49.044071795746838</v>
      </c>
      <c r="AA176" s="21">
        <f>EXP(-LN(2)/25)*AA175+(1-EXP(-LN(2)/25))/(LN(2)/25)*Calculateur!V176*Calculateur!X176*VLOOKUP('Données projet'!$B$9,Paramètres!$A$1:$I$89,3,0)*0.475*44/12</f>
        <v>17.927075730788168</v>
      </c>
      <c r="AB176" s="21">
        <f>EXP(-LN(2)/2)*AB175+(1-EXP(-LN(2)/2))/(LN(2)/2)*V176*Y176*VLOOKUP('Données projet'!$B$9,Paramètres!$A$1:$I$89,3,0)*0.475*44/12</f>
        <v>2.1520097978525428E-7</v>
      </c>
      <c r="AC176" s="22">
        <f t="shared" si="163"/>
        <v>66.97114774173599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6.7984728957526396E-14</v>
      </c>
      <c r="AK176" s="13">
        <f t="shared" si="164"/>
        <v>1.0682447123141398E-12</v>
      </c>
      <c r="AL176" s="20">
        <f t="shared" si="165"/>
        <v>1.978932943548152E-12</v>
      </c>
      <c r="AM176" s="59">
        <f t="shared" si="113"/>
        <v>293.3333333333353</v>
      </c>
      <c r="AN176" s="59">
        <f ca="1">AVERAGE(OFFSET($AM$3,0,0,'Données projet'!$E$10+1,1))-AVERAGE(OFFSET($H$3,0,0,'Données projet'!$E$10+1,1))</f>
        <v>213.90220310357444</v>
      </c>
      <c r="AO176" s="59">
        <f t="shared" si="144"/>
        <v>209.61422409790703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14.81524390227078</v>
      </c>
      <c r="AV176" s="21">
        <f>EXP(-LN(2)/25)*AV175+(1-EXP(-LN(2)/25))/(LN(2)/25)*Calculateur!AQ176*Calculateur!AS176*VLOOKUP('Données projet'!$B$10,Paramètres!$A$1:$I$89,3,0)*0.475*44/12</f>
        <v>2.1113157920583516</v>
      </c>
      <c r="AW176" s="21">
        <f>EXP(-LN(2)/2)*AW175+(1-EXP(-LN(2)/2))/(LN(2)/2)*AQ176*AT176*VLOOKUP('Données projet'!$B$10,Paramètres!$A$1:$I$89,3,0)*0.475*44/12</f>
        <v>5.8840630742966053E-16</v>
      </c>
      <c r="AX176" s="21">
        <f t="shared" si="166"/>
        <v>16.926559694329132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6">
        <f t="shared" si="110"/>
        <v>631.86153956089356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9.6220000000000034</v>
      </c>
      <c r="M177" s="12">
        <f t="array" ref="M177">INDEX(L:L,MIN(IF(ISNUMBER(L177:L373),ROW(L177:L373),"")))</f>
        <v>9.6220000000000034</v>
      </c>
      <c r="N177" s="13">
        <f>IF('Données projet'!$A$36&gt;35,N176+M177-V176,IF(A177&lt;'Données projet'!$A$36,$K$205^A177,IF(A177='Données projet'!$A$36,'Données projet'!$B$36,N176+M177-V176)))</f>
        <v>610.52000000000089</v>
      </c>
      <c r="O177" s="13">
        <f>N177*VLOOKUP('Données projet'!$B$9,Paramètres!$A$1:$I$89,3,0)*VLOOKUP('Données projet'!$B$9,Paramètres!$A$1:$I$89,5,0)</f>
        <v>552.3984960000007</v>
      </c>
      <c r="P177" s="13">
        <f t="shared" si="141"/>
        <v>122.06927432492597</v>
      </c>
      <c r="Q177" s="20">
        <f t="shared" si="162"/>
        <v>1174.698033315914</v>
      </c>
      <c r="R177" s="59">
        <f t="shared" si="109"/>
        <v>1468.0313666492473</v>
      </c>
      <c r="S177" s="59">
        <f ca="1">AVERAGE(OFFSET($R$3,0,0,'Données projet'!$E$9+1,1))-AVERAGE(OFFSET($H$3,0,0,'Données projet'!$E$9+1,1))</f>
        <v>422.10969295064359</v>
      </c>
      <c r="T177" s="59">
        <f t="shared" si="142"/>
        <v>184.04075143033037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240</v>
      </c>
      <c r="W177" s="16">
        <f>IF(ISNA(VLOOKUP(A177,'Données projet'!$A$35:$I$55,5,0)),0%,VLOOKUP(A177,'Données projet'!$A$35:$I$55,5,0)*VLOOKUP('Données projet'!$B$9,Paramètres!$A$1:$I$89,7,0))</f>
        <v>0.19350000000000001</v>
      </c>
      <c r="X177" s="16">
        <f>IF(ISNA(VLOOKUP(A177,'Données projet'!$A$35:$I$55,6,0)),0%,VLOOKUP(A177,'Données projet'!$A$35:$I$55,6,0)*VLOOKUP('Données projet'!$B$9,Paramètres!$A$1:$I$89,7,0))</f>
        <v>2.1500000000000002E-2</v>
      </c>
      <c r="Y177" s="16">
        <f>IF(ISNA(VLOOKUP(A177,'Données projet'!$A$35:$I$55,7,0)),0%,VLOOKUP(A177,'Données projet'!$A$35:$I$55,7,0))</f>
        <v>0.05</v>
      </c>
      <c r="Z177" s="21">
        <f>EXP(-LN(2)/35)*Z176+(1-EXP(-LN(2)/35))/(LN(2)/35)*V177*W177*VLOOKUP('Données projet'!$B$9,Paramètres!$A$1:$I$89,3,0)*0.475*44/12</f>
        <v>94.533010057963907</v>
      </c>
      <c r="AA177" s="21">
        <f>EXP(-LN(2)/25)*AA176+(1-EXP(-LN(2)/25))/(LN(2)/25)*Calculateur!V177*Calculateur!X177*VLOOKUP('Données projet'!$B$9,Paramètres!$A$1:$I$89,3,0)*0.475*44/12</f>
        <v>22.577722084238086</v>
      </c>
      <c r="AB177" s="21">
        <f>EXP(-LN(2)/2)*AB176+(1-EXP(-LN(2)/2))/(LN(2)/2)*V177*Y177*VLOOKUP('Données projet'!$B$9,Paramètres!$A$1:$I$89,3,0)*0.475*44/12</f>
        <v>10.244437980189536</v>
      </c>
      <c r="AC177" s="22">
        <f t="shared" si="163"/>
        <v>127.35517012239153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6.7984728957526396E-14</v>
      </c>
      <c r="AK177" s="13">
        <f t="shared" si="164"/>
        <v>1.0682447123141398E-12</v>
      </c>
      <c r="AL177" s="20">
        <f t="shared" si="165"/>
        <v>1.978932943548152E-12</v>
      </c>
      <c r="AM177" s="59">
        <f t="shared" si="113"/>
        <v>293.3333333333353</v>
      </c>
      <c r="AN177" s="59">
        <f ca="1">AVERAGE(OFFSET($AM$3,0,0,'Données projet'!$E$10+1,1))-AVERAGE(OFFSET($H$3,0,0,'Données projet'!$E$10+1,1))</f>
        <v>213.90220310357444</v>
      </c>
      <c r="AO177" s="59">
        <f t="shared" si="144"/>
        <v>209.61422409790703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14.524726005753759</v>
      </c>
      <c r="AV177" s="21">
        <f>EXP(-LN(2)/25)*AV176+(1-EXP(-LN(2)/25))/(LN(2)/25)*Calculateur!AQ177*Calculateur!AS177*VLOOKUP('Données projet'!$B$10,Paramètres!$A$1:$I$89,3,0)*0.475*44/12</f>
        <v>2.0535817506952441</v>
      </c>
      <c r="AW177" s="21">
        <f>EXP(-LN(2)/2)*AW176+(1-EXP(-LN(2)/2))/(LN(2)/2)*AQ177*AT177*VLOOKUP('Données projet'!$B$10,Paramètres!$A$1:$I$89,3,0)*0.475*44/12</f>
        <v>4.1606609007644939E-16</v>
      </c>
      <c r="AX177" s="21">
        <f t="shared" si="166"/>
        <v>16.578307756449004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6">
        <f t="shared" si="110"/>
        <v>633.76079073820119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6.140000000000005</v>
      </c>
      <c r="N178" s="13">
        <f>IF('Données projet'!$A$36&gt;35,N177+M178-V177,IF(A178&lt;'Données projet'!$A$36,$K$205^A178,IF(A178='Données projet'!$A$36,'Données projet'!$B$36,N177+M178-V177)))</f>
        <v>376.66000000000088</v>
      </c>
      <c r="O178" s="13">
        <f>N178*VLOOKUP('Données projet'!$B$9,Paramètres!$A$1:$I$89,3,0)*VLOOKUP('Données projet'!$B$9,Paramètres!$A$1:$I$89,5,0)</f>
        <v>340.80196800000078</v>
      </c>
      <c r="P178" s="13">
        <f t="shared" si="141"/>
        <v>79.665615362245418</v>
      </c>
      <c r="Q178" s="20">
        <f t="shared" si="162"/>
        <v>732.31437435591215</v>
      </c>
      <c r="R178" s="59">
        <f t="shared" si="109"/>
        <v>1025.6477076892454</v>
      </c>
      <c r="S178" s="59">
        <f ca="1">AVERAGE(OFFSET($R$3,0,0,'Données projet'!$E$9+1,1))-AVERAGE(OFFSET($H$3,0,0,'Données projet'!$E$9+1,1))</f>
        <v>422.10969295064359</v>
      </c>
      <c r="T178" s="59">
        <f t="shared" si="142"/>
        <v>184.04075143033037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92.679275390169977</v>
      </c>
      <c r="AA178" s="21">
        <f>EXP(-LN(2)/25)*AA177+(1-EXP(-LN(2)/25))/(LN(2)/25)*Calculateur!V178*Calculateur!X178*VLOOKUP('Données projet'!$B$9,Paramètres!$A$1:$I$89,3,0)*0.475*44/12</f>
        <v>21.960333086533794</v>
      </c>
      <c r="AB178" s="21">
        <f>EXP(-LN(2)/2)*AB177+(1-EXP(-LN(2)/2))/(LN(2)/2)*V178*Y178*VLOOKUP('Données projet'!$B$9,Paramètres!$A$1:$I$89,3,0)*0.475*44/12</f>
        <v>7.2439115652370401</v>
      </c>
      <c r="AC178" s="22">
        <f t="shared" si="163"/>
        <v>121.88352004194081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6.7984728957526396E-14</v>
      </c>
      <c r="AK178" s="13">
        <f t="shared" si="164"/>
        <v>1.0682447123141398E-12</v>
      </c>
      <c r="AL178" s="20">
        <f t="shared" si="165"/>
        <v>1.978932943548152E-12</v>
      </c>
      <c r="AM178" s="59">
        <f t="shared" si="113"/>
        <v>293.3333333333353</v>
      </c>
      <c r="AN178" s="59">
        <f ca="1">AVERAGE(OFFSET($AM$3,0,0,'Données projet'!$E$10+1,1))-AVERAGE(OFFSET($H$3,0,0,'Données projet'!$E$10+1,1))</f>
        <v>213.90220310357444</v>
      </c>
      <c r="AO178" s="59">
        <f t="shared" si="144"/>
        <v>209.61422409790703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14.239904987989018</v>
      </c>
      <c r="AV178" s="21">
        <f>EXP(-LN(2)/25)*AV177+(1-EXP(-LN(2)/25))/(LN(2)/25)*Calculateur!AQ178*Calculateur!AS178*VLOOKUP('Données projet'!$B$10,Paramètres!$A$1:$I$89,3,0)*0.475*44/12</f>
        <v>1.9974264497293119</v>
      </c>
      <c r="AW178" s="21">
        <f>EXP(-LN(2)/2)*AW177+(1-EXP(-LN(2)/2))/(LN(2)/2)*AQ178*AT178*VLOOKUP('Données projet'!$B$10,Paramètres!$A$1:$I$89,3,0)*0.475*44/12</f>
        <v>2.9420315371483027E-16</v>
      </c>
      <c r="AX178" s="21">
        <f t="shared" si="166"/>
        <v>16.237331437718328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6">
        <f t="shared" si="110"/>
        <v>635.65980881843325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6.140000000000005</v>
      </c>
      <c r="N179" s="13">
        <f>IF('Données projet'!$A$36&gt;35,N178+M179-V178,IF(A179&lt;'Données projet'!$A$36,$K$205^A179,IF(A179='Données projet'!$A$36,'Données projet'!$B$36,N178+M179-V178)))</f>
        <v>382.80000000000086</v>
      </c>
      <c r="O179" s="13">
        <f>N179*VLOOKUP('Données projet'!$B$9,Paramètres!$A$1:$I$89,3,0)*VLOOKUP('Données projet'!$B$9,Paramètres!$A$1:$I$89,5,0)</f>
        <v>346.35744000000079</v>
      </c>
      <c r="P179" s="13">
        <f t="shared" si="141"/>
        <v>80.812014230904367</v>
      </c>
      <c r="Q179" s="20">
        <f t="shared" si="162"/>
        <v>743.98679945215974</v>
      </c>
      <c r="R179" s="59">
        <f t="shared" si="109"/>
        <v>1037.3201327854931</v>
      </c>
      <c r="S179" s="59">
        <f ca="1">AVERAGE(OFFSET($R$3,0,0,'Données projet'!$E$9+1,1))-AVERAGE(OFFSET($H$3,0,0,'Données projet'!$E$9+1,1))</f>
        <v>422.10969295064359</v>
      </c>
      <c r="T179" s="59">
        <f t="shared" si="142"/>
        <v>184.04075143033037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90.861891328544985</v>
      </c>
      <c r="AA179" s="21">
        <f>EXP(-LN(2)/25)*AA178+(1-EXP(-LN(2)/25))/(LN(2)/25)*Calculateur!V179*Calculateur!X179*VLOOKUP('Données projet'!$B$9,Paramètres!$A$1:$I$89,3,0)*0.475*44/12</f>
        <v>21.359826623438803</v>
      </c>
      <c r="AB179" s="21">
        <f>EXP(-LN(2)/2)*AB178+(1-EXP(-LN(2)/2))/(LN(2)/2)*V179*Y179*VLOOKUP('Données projet'!$B$9,Paramètres!$A$1:$I$89,3,0)*0.475*44/12</f>
        <v>5.122218990094769</v>
      </c>
      <c r="AC179" s="22">
        <f t="shared" si="163"/>
        <v>117.34393694207856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6.7984728957526396E-14</v>
      </c>
      <c r="AK179" s="13">
        <f t="shared" si="164"/>
        <v>1.0682447123141398E-12</v>
      </c>
      <c r="AL179" s="20">
        <f t="shared" si="165"/>
        <v>1.978932943548152E-12</v>
      </c>
      <c r="AM179" s="59">
        <f t="shared" si="113"/>
        <v>293.3333333333353</v>
      </c>
      <c r="AN179" s="59">
        <f ca="1">AVERAGE(OFFSET($AM$3,0,0,'Données projet'!$E$10+1,1))-AVERAGE(OFFSET($H$3,0,0,'Données projet'!$E$10+1,1))</f>
        <v>213.90220310357444</v>
      </c>
      <c r="AO179" s="59">
        <f t="shared" si="144"/>
        <v>209.61422409790703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13.960669136658975</v>
      </c>
      <c r="AV179" s="21">
        <f>EXP(-LN(2)/25)*AV178+(1-EXP(-LN(2)/25))/(LN(2)/25)*Calculateur!AQ179*Calculateur!AS179*VLOOKUP('Données projet'!$B$10,Paramètres!$A$1:$I$89,3,0)*0.475*44/12</f>
        <v>1.942806718421372</v>
      </c>
      <c r="AW179" s="21">
        <f>EXP(-LN(2)/2)*AW178+(1-EXP(-LN(2)/2))/(LN(2)/2)*AQ179*AT179*VLOOKUP('Données projet'!$B$10,Paramètres!$A$1:$I$89,3,0)*0.475*44/12</f>
        <v>2.0803304503822469E-16</v>
      </c>
      <c r="AX179" s="21">
        <f t="shared" si="166"/>
        <v>15.903475855080346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6">
        <f t="shared" si="110"/>
        <v>637.55859527969415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6.140000000000005</v>
      </c>
      <c r="M180" s="12">
        <f t="array" ref="M180">INDEX(L:L,MIN(IF(ISNUMBER(L180:L376),ROW(L180:L376),"")))</f>
        <v>6.140000000000005</v>
      </c>
      <c r="N180" s="13">
        <f>IF('Données projet'!$A$36&gt;35,N179+M180-V179,IF(A180&lt;'Données projet'!$A$36,$K$205^A180,IF(A180='Données projet'!$A$36,'Données projet'!$B$36,N179+M180-V179)))</f>
        <v>388.94000000000085</v>
      </c>
      <c r="O180" s="13">
        <f>N180*VLOOKUP('Données projet'!$B$9,Paramètres!$A$1:$I$89,3,0)*VLOOKUP('Données projet'!$B$9,Paramètres!$A$1:$I$89,5,0)</f>
        <v>351.91291200000074</v>
      </c>
      <c r="P180" s="13">
        <f t="shared" si="141"/>
        <v>81.956274647572329</v>
      </c>
      <c r="Q180" s="20">
        <f t="shared" si="162"/>
        <v>755.65550007785635</v>
      </c>
      <c r="R180" s="59">
        <f t="shared" si="109"/>
        <v>1048.9888334111897</v>
      </c>
      <c r="S180" s="59">
        <f ca="1">AVERAGE(OFFSET($R$3,0,0,'Données projet'!$E$9+1,1))-AVERAGE(OFFSET($H$3,0,0,'Données projet'!$E$9+1,1))</f>
        <v>422.10969295064359</v>
      </c>
      <c r="T180" s="59">
        <f t="shared" si="142"/>
        <v>184.04075143033037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128.66000000000003</v>
      </c>
      <c r="W180" s="16">
        <f>IF(ISNA(VLOOKUP(A180,'Données projet'!$A$35:$I$55,5,0)),0%,VLOOKUP(A180,'Données projet'!$A$35:$I$55,5,0)*VLOOKUP('Données projet'!$B$9,Paramètres!$A$1:$I$89,7,0))</f>
        <v>0.19350000000000001</v>
      </c>
      <c r="X180" s="16">
        <f>IF(ISNA(VLOOKUP(A180,'Données projet'!$A$35:$I$55,6,0)),0%,VLOOKUP(A180,'Données projet'!$A$35:$I$55,6,0)*VLOOKUP('Données projet'!$B$9,Paramètres!$A$1:$I$89,7,0))</f>
        <v>2.1500000000000002E-2</v>
      </c>
      <c r="Y180" s="16">
        <f>IF(ISNA(VLOOKUP(A180,'Données projet'!$A$35:$I$55,7,0)),0%,VLOOKUP(A180,'Données projet'!$A$35:$I$55,7,0))</f>
        <v>0.05</v>
      </c>
      <c r="Z180" s="21">
        <f>EXP(-LN(2)/35)*Z179+(1-EXP(-LN(2)/35))/(LN(2)/35)*V180*W180*VLOOKUP('Données projet'!$B$9,Paramètres!$A$1:$I$89,3,0)*0.475*44/12</f>
        <v>113.98157109998739</v>
      </c>
      <c r="AA180" s="21">
        <f>EXP(-LN(2)/25)*AA179+(1-EXP(-LN(2)/25))/(LN(2)/25)*Calculateur!V180*Calculateur!X180*VLOOKUP('Données projet'!$B$9,Paramètres!$A$1:$I$89,3,0)*0.475*44/12</f>
        <v>23.531672112001587</v>
      </c>
      <c r="AB180" s="21">
        <f>EXP(-LN(2)/2)*AB179+(1-EXP(-LN(2)/2))/(LN(2)/2)*V180*Y180*VLOOKUP('Données projet'!$B$9,Paramètres!$A$1:$I$89,3,0)*0.475*44/12</f>
        <v>9.1138281615892875</v>
      </c>
      <c r="AC180" s="22">
        <f t="shared" si="163"/>
        <v>146.62707137357827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6.7984728957526396E-14</v>
      </c>
      <c r="AK180" s="13">
        <f t="shared" si="164"/>
        <v>1.0682447123141398E-12</v>
      </c>
      <c r="AL180" s="20">
        <f t="shared" si="165"/>
        <v>1.978932943548152E-12</v>
      </c>
      <c r="AM180" s="59">
        <f t="shared" si="113"/>
        <v>293.3333333333353</v>
      </c>
      <c r="AN180" s="59">
        <f ca="1">AVERAGE(OFFSET($AM$3,0,0,'Données projet'!$E$10+1,1))-AVERAGE(OFFSET($H$3,0,0,'Données projet'!$E$10+1,1))</f>
        <v>213.90220310357444</v>
      </c>
      <c r="AO180" s="59">
        <f t="shared" si="144"/>
        <v>209.61422409790703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13.686908930056463</v>
      </c>
      <c r="AV180" s="21">
        <f>EXP(-LN(2)/25)*AV179+(1-EXP(-LN(2)/25))/(LN(2)/25)*Calculateur!AQ180*Calculateur!AS180*VLOOKUP('Données projet'!$B$10,Paramètres!$A$1:$I$89,3,0)*0.475*44/12</f>
        <v>1.8896805665383747</v>
      </c>
      <c r="AW180" s="21">
        <f>EXP(-LN(2)/2)*AW179+(1-EXP(-LN(2)/2))/(LN(2)/2)*AQ180*AT180*VLOOKUP('Données projet'!$B$10,Paramètres!$A$1:$I$89,3,0)*0.475*44/12</f>
        <v>1.4710157685741513E-16</v>
      </c>
      <c r="AX180" s="21">
        <f t="shared" si="166"/>
        <v>15.576589496594838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6">
        <f t="shared" si="110"/>
        <v>639.4571515824199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3.76000000000001</v>
      </c>
      <c r="N181" s="13">
        <f>IF('Données projet'!$A$36&gt;35,N180+M181-V180,IF(A181&lt;'Données projet'!$A$36,$K$205^A181,IF(A181='Données projet'!$A$36,'Données projet'!$B$36,N180+M181-V180)))</f>
        <v>264.04000000000082</v>
      </c>
      <c r="O181" s="13">
        <f>N181*VLOOKUP('Données projet'!$B$9,Paramètres!$A$1:$I$89,3,0)*VLOOKUP('Données projet'!$B$9,Paramètres!$A$1:$I$89,5,0)</f>
        <v>238.90339200000074</v>
      </c>
      <c r="P181" s="13">
        <f t="shared" si="141"/>
        <v>58.203527078995975</v>
      </c>
      <c r="Q181" s="20">
        <f t="shared" si="162"/>
        <v>517.46121739591933</v>
      </c>
      <c r="R181" s="59">
        <f t="shared" si="109"/>
        <v>810.79455072925271</v>
      </c>
      <c r="S181" s="59">
        <f ca="1">AVERAGE(OFFSET($R$3,0,0,'Données projet'!$E$9+1,1))-AVERAGE(OFFSET($H$3,0,0,'Données projet'!$E$9+1,1))</f>
        <v>422.10969295064359</v>
      </c>
      <c r="T181" s="59">
        <f t="shared" si="142"/>
        <v>184.04075143033037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111.74646201261029</v>
      </c>
      <c r="AA181" s="21">
        <f>EXP(-LN(2)/25)*AA180+(1-EXP(-LN(2)/25))/(LN(2)/25)*Calculateur!V181*Calculateur!X181*VLOOKUP('Données projet'!$B$9,Paramètres!$A$1:$I$89,3,0)*0.475*44/12</f>
        <v>22.88819730062205</v>
      </c>
      <c r="AB181" s="21">
        <f>EXP(-LN(2)/2)*AB180+(1-EXP(-LN(2)/2))/(LN(2)/2)*V181*Y181*VLOOKUP('Données projet'!$B$9,Paramètres!$A$1:$I$89,3,0)*0.475*44/12</f>
        <v>6.4444496956287116</v>
      </c>
      <c r="AC181" s="22">
        <f t="shared" si="163"/>
        <v>141.07910900886105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6.7984728957526396E-14</v>
      </c>
      <c r="AK181" s="13">
        <f t="shared" si="164"/>
        <v>1.0682447123141398E-12</v>
      </c>
      <c r="AL181" s="20">
        <f t="shared" si="165"/>
        <v>1.978932943548152E-12</v>
      </c>
      <c r="AM181" s="59">
        <f t="shared" si="113"/>
        <v>293.3333333333353</v>
      </c>
      <c r="AN181" s="59">
        <f ca="1">AVERAGE(OFFSET($AM$3,0,0,'Données projet'!$E$10+1,1))-AVERAGE(OFFSET($H$3,0,0,'Données projet'!$E$10+1,1))</f>
        <v>213.90220310357444</v>
      </c>
      <c r="AO181" s="59">
        <f t="shared" si="144"/>
        <v>209.61422409790703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13.418516994128188</v>
      </c>
      <c r="AV181" s="21">
        <f>EXP(-LN(2)/25)*AV180+(1-EXP(-LN(2)/25))/(LN(2)/25)*Calculateur!AQ181*Calculateur!AS181*VLOOKUP('Données projet'!$B$10,Paramètres!$A$1:$I$89,3,0)*0.475*44/12</f>
        <v>1.8380071520724008</v>
      </c>
      <c r="AW181" s="21">
        <f>EXP(-LN(2)/2)*AW180+(1-EXP(-LN(2)/2))/(LN(2)/2)*AQ181*AT181*VLOOKUP('Données projet'!$B$10,Paramètres!$A$1:$I$89,3,0)*0.475*44/12</f>
        <v>1.0401652251911235E-16</v>
      </c>
      <c r="AX181" s="21">
        <f t="shared" si="166"/>
        <v>15.256524146200588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6">
        <f t="shared" si="110"/>
        <v>641.35547916968733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3.76000000000001</v>
      </c>
      <c r="N182" s="13">
        <f>IF('Données projet'!$A$36&gt;35,N181+M182-V181,IF(A182&lt;'Données projet'!$A$36,$K$205^A182,IF(A182='Données projet'!$A$36,'Données projet'!$B$36,N181+M182-V181)))</f>
        <v>267.80000000000081</v>
      </c>
      <c r="O182" s="13">
        <f>N182*VLOOKUP('Données projet'!$B$9,Paramètres!$A$1:$I$89,3,0)*VLOOKUP('Données projet'!$B$9,Paramètres!$A$1:$I$89,5,0)</f>
        <v>242.30544000000074</v>
      </c>
      <c r="P182" s="13">
        <f t="shared" si="141"/>
        <v>58.935280802002858</v>
      </c>
      <c r="Q182" s="20">
        <f t="shared" si="162"/>
        <v>524.66092206348958</v>
      </c>
      <c r="R182" s="59">
        <f t="shared" si="109"/>
        <v>817.99425539682284</v>
      </c>
      <c r="S182" s="59">
        <f ca="1">AVERAGE(OFFSET($R$3,0,0,'Données projet'!$E$9+1,1))-AVERAGE(OFFSET($H$3,0,0,'Données projet'!$E$9+1,1))</f>
        <v>422.10969295064359</v>
      </c>
      <c r="T182" s="59">
        <f t="shared" si="142"/>
        <v>184.04075143033037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109.55518205115473</v>
      </c>
      <c r="AA182" s="21">
        <f>EXP(-LN(2)/25)*AA181+(1-EXP(-LN(2)/25))/(LN(2)/25)*Calculateur!V182*Calculateur!X182*VLOOKUP('Données projet'!$B$9,Paramètres!$A$1:$I$89,3,0)*0.475*44/12</f>
        <v>22.262318341798554</v>
      </c>
      <c r="AB182" s="21">
        <f>EXP(-LN(2)/2)*AB181+(1-EXP(-LN(2)/2))/(LN(2)/2)*V182*Y182*VLOOKUP('Données projet'!$B$9,Paramètres!$A$1:$I$89,3,0)*0.475*44/12</f>
        <v>4.5569140807946447</v>
      </c>
      <c r="AC182" s="22">
        <f t="shared" si="163"/>
        <v>136.37441447374795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6.7984728957526396E-14</v>
      </c>
      <c r="AK182" s="13">
        <f t="shared" si="164"/>
        <v>1.0682447123141398E-12</v>
      </c>
      <c r="AL182" s="20">
        <f t="shared" si="165"/>
        <v>1.978932943548152E-12</v>
      </c>
      <c r="AM182" s="59">
        <f t="shared" si="113"/>
        <v>293.3333333333353</v>
      </c>
      <c r="AN182" s="59">
        <f ca="1">AVERAGE(OFFSET($AM$3,0,0,'Données projet'!$E$10+1,1))-AVERAGE(OFFSET($H$3,0,0,'Données projet'!$E$10+1,1))</f>
        <v>213.90220310357444</v>
      </c>
      <c r="AO182" s="59">
        <f t="shared" si="144"/>
        <v>209.61422409790703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13.155388060360551</v>
      </c>
      <c r="AV182" s="21">
        <f>EXP(-LN(2)/25)*AV181+(1-EXP(-LN(2)/25))/(LN(2)/25)*Calculateur!AQ182*Calculateur!AS182*VLOOKUP('Données projet'!$B$10,Paramètres!$A$1:$I$89,3,0)*0.475*44/12</f>
        <v>1.7877467498423858</v>
      </c>
      <c r="AW182" s="21">
        <f>EXP(-LN(2)/2)*AW181+(1-EXP(-LN(2)/2))/(LN(2)/2)*AQ182*AT182*VLOOKUP('Données projet'!$B$10,Paramètres!$A$1:$I$89,3,0)*0.475*44/12</f>
        <v>7.3550788428707566E-17</v>
      </c>
      <c r="AX182" s="21">
        <f t="shared" si="166"/>
        <v>14.943134810202936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6">
        <f t="shared" si="110"/>
        <v>643.2535794675166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3.76000000000001</v>
      </c>
      <c r="M183" s="12">
        <f t="array" ref="M183">INDEX(L:L,MIN(IF(ISNUMBER(L183:L379),ROW(L183:L379),"")))</f>
        <v>3.76000000000001</v>
      </c>
      <c r="N183" s="13">
        <f>IF('Données projet'!$A$36&gt;35,N182+M183-V182,IF(A183&lt;'Données projet'!$A$36,$K$205^A183,IF(A183='Données projet'!$A$36,'Données projet'!$B$36,N182+M183-V182)))</f>
        <v>271.5600000000008</v>
      </c>
      <c r="O183" s="13">
        <f>N183*VLOOKUP('Données projet'!$B$9,Paramètres!$A$1:$I$89,3,0)*VLOOKUP('Données projet'!$B$9,Paramètres!$A$1:$I$89,5,0)</f>
        <v>245.70748800000069</v>
      </c>
      <c r="P183" s="13">
        <f t="shared" si="141"/>
        <v>59.665839559289225</v>
      </c>
      <c r="Q183" s="20">
        <f t="shared" si="162"/>
        <v>531.85854549909652</v>
      </c>
      <c r="R183" s="59">
        <f t="shared" si="109"/>
        <v>825.19187883242989</v>
      </c>
      <c r="S183" s="59">
        <f ca="1">AVERAGE(OFFSET($R$3,0,0,'Données projet'!$E$9+1,1))-AVERAGE(OFFSET($H$3,0,0,'Données projet'!$E$9+1,1))</f>
        <v>422.10969295064359</v>
      </c>
      <c r="T183" s="59">
        <f t="shared" si="142"/>
        <v>184.04075143033037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86.97</v>
      </c>
      <c r="W183" s="16">
        <f>IF(ISNA(VLOOKUP(A183,'Données projet'!$A$35:$I$55,5,0)),0%,VLOOKUP(A183,'Données projet'!$A$35:$I$55,5,0)*VLOOKUP('Données projet'!$B$9,Paramètres!$A$1:$I$89,7,0))</f>
        <v>0.19350000000000001</v>
      </c>
      <c r="X183" s="16">
        <f>IF(ISNA(VLOOKUP(A183,'Données projet'!$A$35:$I$55,6,0)),0%,VLOOKUP(A183,'Données projet'!$A$35:$I$55,6,0)*VLOOKUP('Données projet'!$B$9,Paramètres!$A$1:$I$89,7,0))</f>
        <v>2.1500000000000002E-2</v>
      </c>
      <c r="Y183" s="16">
        <f>IF(ISNA(VLOOKUP(A183,'Données projet'!$A$35:$I$55,7,0)),0%,VLOOKUP(A183,'Données projet'!$A$35:$I$55,7,0))</f>
        <v>0.05</v>
      </c>
      <c r="Z183" s="21">
        <f>EXP(-LN(2)/35)*Z182+(1-EXP(-LN(2)/35))/(LN(2)/35)*V183*W183*VLOOKUP('Données projet'!$B$9,Paramètres!$A$1:$I$89,3,0)*0.475*44/12</f>
        <v>124.23943061149308</v>
      </c>
      <c r="AA183" s="21">
        <f>EXP(-LN(2)/25)*AA182+(1-EXP(-LN(2)/25))/(LN(2)/25)*Calculateur!V183*Calculateur!X183*VLOOKUP('Données projet'!$B$9,Paramètres!$A$1:$I$89,3,0)*0.475*44/12</f>
        <v>23.516474371613818</v>
      </c>
      <c r="AB183" s="21">
        <f>EXP(-LN(2)/2)*AB182+(1-EXP(-LN(2)/2))/(LN(2)/2)*V183*Y183*VLOOKUP('Données projet'!$B$9,Paramètres!$A$1:$I$89,3,0)*0.475*44/12</f>
        <v>6.9345530057429094</v>
      </c>
      <c r="AC183" s="22">
        <f t="shared" si="163"/>
        <v>154.6904579888498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6.7984728957526396E-14</v>
      </c>
      <c r="AK183" s="13">
        <f t="shared" si="164"/>
        <v>1.0682447123141398E-12</v>
      </c>
      <c r="AL183" s="20">
        <f t="shared" si="165"/>
        <v>1.978932943548152E-12</v>
      </c>
      <c r="AM183" s="59">
        <f t="shared" si="113"/>
        <v>293.3333333333353</v>
      </c>
      <c r="AN183" s="59">
        <f ca="1">AVERAGE(OFFSET($AM$3,0,0,'Données projet'!$E$10+1,1))-AVERAGE(OFFSET($H$3,0,0,'Données projet'!$E$10+1,1))</f>
        <v>213.90220310357444</v>
      </c>
      <c r="AO183" s="59">
        <f t="shared" si="144"/>
        <v>209.61422409790703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12.897418924491294</v>
      </c>
      <c r="AV183" s="21">
        <f>EXP(-LN(2)/25)*AV182+(1-EXP(-LN(2)/25))/(LN(2)/25)*Calculateur!AQ183*Calculateur!AS183*VLOOKUP('Données projet'!$B$10,Paramètres!$A$1:$I$89,3,0)*0.475*44/12</f>
        <v>1.7388607209544302</v>
      </c>
      <c r="AW183" s="21">
        <f>EXP(-LN(2)/2)*AW182+(1-EXP(-LN(2)/2))/(LN(2)/2)*AQ183*AT183*VLOOKUP('Données projet'!$B$10,Paramètres!$A$1:$I$89,3,0)*0.475*44/12</f>
        <v>5.2008261259556173E-17</v>
      </c>
      <c r="AX183" s="21">
        <f t="shared" si="166"/>
        <v>14.636279645445725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6">
        <f t="shared" si="110"/>
        <v>645.15145388516635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2.2933333333333317</v>
      </c>
      <c r="N184" s="13">
        <f>IF('Données projet'!$A$36&gt;35,N183+M184-V183,IF(A184&lt;'Données projet'!$A$36,$K$205^A184,IF(A184='Données projet'!$A$36,'Données projet'!$B$36,N183+M184-V183)))</f>
        <v>186.88333333333415</v>
      </c>
      <c r="O184" s="13">
        <f>N184*VLOOKUP('Données projet'!$B$9,Paramètres!$A$1:$I$89,3,0)*VLOOKUP('Données projet'!$B$9,Paramètres!$A$1:$I$89,5,0)</f>
        <v>169.09204000000074</v>
      </c>
      <c r="P184" s="13">
        <f t="shared" si="141"/>
        <v>42.886607412438856</v>
      </c>
      <c r="Q184" s="20">
        <f t="shared" si="162"/>
        <v>369.1961442433323</v>
      </c>
      <c r="R184" s="59">
        <f t="shared" si="109"/>
        <v>662.52947757666561</v>
      </c>
      <c r="S184" s="59">
        <f ca="1">AVERAGE(OFFSET($R$3,0,0,'Données projet'!$E$9+1,1))-AVERAGE(OFFSET($H$3,0,0,'Données projet'!$E$9+1,1))</f>
        <v>422.10969295064359</v>
      </c>
      <c r="T184" s="59">
        <f t="shared" si="142"/>
        <v>184.04075143033037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121.80317115577186</v>
      </c>
      <c r="AA184" s="21">
        <f>EXP(-LN(2)/25)*AA183+(1-EXP(-LN(2)/25))/(LN(2)/25)*Calculateur!V184*Calculateur!X184*VLOOKUP('Données projet'!$B$9,Paramètres!$A$1:$I$89,3,0)*0.475*44/12</f>
        <v>22.873415143244397</v>
      </c>
      <c r="AB184" s="21">
        <f>EXP(-LN(2)/2)*AB183+(1-EXP(-LN(2)/2))/(LN(2)/2)*V184*Y184*VLOOKUP('Données projet'!$B$9,Paramètres!$A$1:$I$89,3,0)*0.475*44/12</f>
        <v>4.9034694548583673</v>
      </c>
      <c r="AC184" s="22">
        <f t="shared" si="163"/>
        <v>149.58005575387463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6.7984728957526396E-14</v>
      </c>
      <c r="AK184" s="13">
        <f t="shared" si="164"/>
        <v>1.0682447123141398E-12</v>
      </c>
      <c r="AL184" s="20">
        <f t="shared" si="165"/>
        <v>1.978932943548152E-12</v>
      </c>
      <c r="AM184" s="59">
        <f t="shared" si="113"/>
        <v>293.3333333333353</v>
      </c>
      <c r="AN184" s="59">
        <f ca="1">AVERAGE(OFFSET($AM$3,0,0,'Données projet'!$E$10+1,1))-AVERAGE(OFFSET($H$3,0,0,'Données projet'!$E$10+1,1))</f>
        <v>213.90220310357444</v>
      </c>
      <c r="AO184" s="59">
        <f t="shared" si="144"/>
        <v>209.61422409790703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12.644508406030797</v>
      </c>
      <c r="AV184" s="21">
        <f>EXP(-LN(2)/25)*AV183+(1-EXP(-LN(2)/25))/(LN(2)/25)*Calculateur!AQ184*Calculateur!AS184*VLOOKUP('Données projet'!$B$10,Paramètres!$A$1:$I$89,3,0)*0.475*44/12</f>
        <v>1.6913114830972202</v>
      </c>
      <c r="AW184" s="21">
        <f>EXP(-LN(2)/2)*AW183+(1-EXP(-LN(2)/2))/(LN(2)/2)*AQ184*AT184*VLOOKUP('Données projet'!$B$10,Paramètres!$A$1:$I$89,3,0)*0.475*44/12</f>
        <v>3.6775394214353783E-17</v>
      </c>
      <c r="AX184" s="21">
        <f t="shared" si="166"/>
        <v>14.335819889128016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6">
        <f t="shared" si="110"/>
        <v>647.0491038154214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2.2933333333333317</v>
      </c>
      <c r="N185" s="13">
        <f>IF('Données projet'!$A$36&gt;35,N184+M185-V184,IF(A185&lt;'Données projet'!$A$36,$K$205^A185,IF(A185='Données projet'!$A$36,'Données projet'!$B$36,N184+M185-V184)))</f>
        <v>189.17666666666747</v>
      </c>
      <c r="O185" s="13">
        <f>N185*VLOOKUP('Données projet'!$B$9,Paramètres!$A$1:$I$89,3,0)*VLOOKUP('Données projet'!$B$9,Paramètres!$A$1:$I$89,5,0)</f>
        <v>171.16704800000073</v>
      </c>
      <c r="P185" s="13">
        <f t="shared" si="141"/>
        <v>43.351299348190551</v>
      </c>
      <c r="Q185" s="20">
        <f t="shared" si="162"/>
        <v>373.61945496476648</v>
      </c>
      <c r="R185" s="59">
        <f t="shared" si="109"/>
        <v>666.95278829809979</v>
      </c>
      <c r="S185" s="59">
        <f ca="1">AVERAGE(OFFSET($R$3,0,0,'Données projet'!$E$9+1,1))-AVERAGE(OFFSET($H$3,0,0,'Données projet'!$E$9+1,1))</f>
        <v>422.10969295064359</v>
      </c>
      <c r="T185" s="59">
        <f t="shared" si="142"/>
        <v>184.04075143033037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119.4146852620058</v>
      </c>
      <c r="AA185" s="21">
        <f>EXP(-LN(2)/25)*AA184+(1-EXP(-LN(2)/25))/(LN(2)/25)*Calculateur!V185*Calculateur!X185*VLOOKUP('Données projet'!$B$9,Paramètres!$A$1:$I$89,3,0)*0.475*44/12</f>
        <v>22.247940403291754</v>
      </c>
      <c r="AB185" s="21">
        <f>EXP(-LN(2)/2)*AB184+(1-EXP(-LN(2)/2))/(LN(2)/2)*V185*Y185*VLOOKUP('Données projet'!$B$9,Paramètres!$A$1:$I$89,3,0)*0.475*44/12</f>
        <v>3.4672765028714552</v>
      </c>
      <c r="AC185" s="22">
        <f t="shared" si="163"/>
        <v>145.129902168169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6.7984728957526396E-14</v>
      </c>
      <c r="AK185" s="13">
        <f t="shared" si="164"/>
        <v>1.0682447123141398E-12</v>
      </c>
      <c r="AL185" s="20">
        <f t="shared" si="165"/>
        <v>1.978932943548152E-12</v>
      </c>
      <c r="AM185" s="59">
        <f t="shared" si="113"/>
        <v>293.3333333333353</v>
      </c>
      <c r="AN185" s="59">
        <f ca="1">AVERAGE(OFFSET($AM$3,0,0,'Données projet'!$E$10+1,1))-AVERAGE(OFFSET($H$3,0,0,'Données projet'!$E$10+1,1))</f>
        <v>213.90220310357444</v>
      </c>
      <c r="AO185" s="59">
        <f t="shared" si="144"/>
        <v>209.61422409790703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12.396557308577126</v>
      </c>
      <c r="AV185" s="21">
        <f>EXP(-LN(2)/25)*AV184+(1-EXP(-LN(2)/25))/(LN(2)/25)*Calculateur!AQ185*Calculateur!AS185*VLOOKUP('Données projet'!$B$10,Paramètres!$A$1:$I$89,3,0)*0.475*44/12</f>
        <v>1.6450624816497215</v>
      </c>
      <c r="AW185" s="21">
        <f>EXP(-LN(2)/2)*AW184+(1-EXP(-LN(2)/2))/(LN(2)/2)*AQ185*AT185*VLOOKUP('Données projet'!$B$10,Paramètres!$A$1:$I$89,3,0)*0.475*44/12</f>
        <v>2.6004130629778087E-17</v>
      </c>
      <c r="AX185" s="21">
        <f t="shared" si="166"/>
        <v>14.041619790226848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6">
        <f t="shared" si="110"/>
        <v>648.94653063487635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2.2933333333333317</v>
      </c>
      <c r="M186" s="12">
        <f t="array" ref="M186">INDEX(L:L,MIN(IF(ISNUMBER(L186:L382),ROW(L186:L382),"")))</f>
        <v>2.2933333333333317</v>
      </c>
      <c r="N186" s="13">
        <f>IF('Données projet'!$A$36&gt;35,N185+M186-V185,IF(A186&lt;'Données projet'!$A$36,$K$205^A186,IF(A186='Données projet'!$A$36,'Données projet'!$B$36,N185+M186-V185)))</f>
        <v>191.47000000000079</v>
      </c>
      <c r="O186" s="13">
        <f>N186*VLOOKUP('Données projet'!$B$9,Paramètres!$A$1:$I$89,3,0)*VLOOKUP('Données projet'!$B$9,Paramètres!$A$1:$I$89,5,0)</f>
        <v>173.2420560000007</v>
      </c>
      <c r="P186" s="13">
        <f t="shared" si="141"/>
        <v>43.815336010445158</v>
      </c>
      <c r="Q186" s="20">
        <f t="shared" si="162"/>
        <v>378.04162441819318</v>
      </c>
      <c r="R186" s="59">
        <f t="shared" si="109"/>
        <v>671.37495775152649</v>
      </c>
      <c r="S186" s="59">
        <f ca="1">AVERAGE(OFFSET($R$3,0,0,'Données projet'!$E$9+1,1))-AVERAGE(OFFSET($H$3,0,0,'Données projet'!$E$9+1,1))</f>
        <v>422.10969295064359</v>
      </c>
      <c r="T186" s="59">
        <f t="shared" si="142"/>
        <v>184.04075143033037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191.47</v>
      </c>
      <c r="W186" s="16">
        <f>IF(ISNA(VLOOKUP(A186,'Données projet'!$A$35:$I$55,5,0)),0%,VLOOKUP(A186,'Données projet'!$A$35:$I$55,5,0)*VLOOKUP('Données projet'!$B$9,Paramètres!$A$1:$I$89,7,0))</f>
        <v>0.19350000000000001</v>
      </c>
      <c r="X186" s="16">
        <f>IF(ISNA(VLOOKUP(A186,'Données projet'!$A$35:$I$55,6,0)),0%,VLOOKUP(A186,'Données projet'!$A$35:$I$55,6,0)*VLOOKUP('Données projet'!$B$9,Paramètres!$A$1:$I$89,7,0))</f>
        <v>2.1500000000000002E-2</v>
      </c>
      <c r="Y186" s="16">
        <f>IF(ISNA(VLOOKUP(A186,'Données projet'!$A$35:$I$55,7,0)),0%,VLOOKUP(A186,'Données projet'!$A$35:$I$55,7,0))</f>
        <v>0.05</v>
      </c>
      <c r="Z186" s="21">
        <f>EXP(-LN(2)/35)*Z185+(1-EXP(-LN(2)/35))/(LN(2)/35)*V186*W186*VLOOKUP('Données projet'!$B$9,Paramètres!$A$1:$I$89,3,0)*0.475*44/12</f>
        <v>154.13098765017864</v>
      </c>
      <c r="AA186" s="21">
        <f>EXP(-LN(2)/25)*AA185+(1-EXP(-LN(2)/25))/(LN(2)/25)*Calculateur!V186*Calculateur!X186*VLOOKUP('Données projet'!$B$9,Paramètres!$A$1:$I$89,3,0)*0.475*44/12</f>
        <v>25.740907109110182</v>
      </c>
      <c r="AB186" s="21">
        <f>EXP(-LN(2)/2)*AB185+(1-EXP(-LN(2)/2))/(LN(2)/2)*V186*Y186*VLOOKUP('Données projet'!$B$9,Paramètres!$A$1:$I$89,3,0)*0.475*44/12</f>
        <v>10.624661856307879</v>
      </c>
      <c r="AC186" s="22">
        <f t="shared" si="163"/>
        <v>190.49655661559669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6.7984728957526396E-14</v>
      </c>
      <c r="AK186" s="13">
        <f t="shared" si="164"/>
        <v>1.0682447123141398E-12</v>
      </c>
      <c r="AL186" s="20">
        <f t="shared" si="165"/>
        <v>1.978932943548152E-12</v>
      </c>
      <c r="AM186" s="59">
        <f t="shared" si="113"/>
        <v>293.3333333333353</v>
      </c>
      <c r="AN186" s="59">
        <f ca="1">AVERAGE(OFFSET($AM$3,0,0,'Données projet'!$E$10+1,1))-AVERAGE(OFFSET($H$3,0,0,'Données projet'!$E$10+1,1))</f>
        <v>213.90220310357444</v>
      </c>
      <c r="AO186" s="59">
        <f t="shared" si="144"/>
        <v>209.61422409790703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12.153468380909285</v>
      </c>
      <c r="AV186" s="21">
        <f>EXP(-LN(2)/25)*AV185+(1-EXP(-LN(2)/25))/(LN(2)/25)*Calculateur!AQ186*Calculateur!AS186*VLOOKUP('Données projet'!$B$10,Paramètres!$A$1:$I$89,3,0)*0.475*44/12</f>
        <v>1.6000781615789337</v>
      </c>
      <c r="AW186" s="21">
        <f>EXP(-LN(2)/2)*AW185+(1-EXP(-LN(2)/2))/(LN(2)/2)*AQ186*AT186*VLOOKUP('Données projet'!$B$10,Paramètres!$A$1:$I$89,3,0)*0.475*44/12</f>
        <v>1.8387697107176892E-17</v>
      </c>
      <c r="AX186" s="21">
        <f t="shared" si="166"/>
        <v>13.753546542488218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6">
        <f t="shared" si="110"/>
        <v>650.84373570420951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7.9580786405131221E-13</v>
      </c>
      <c r="O187" s="13">
        <f>N187*VLOOKUP('Données projet'!$B$9,Paramètres!$A$1:$I$89,3,0)*VLOOKUP('Données projet'!$B$9,Paramètres!$A$1:$I$89,5,0)</f>
        <v>7.2004695539362725E-13</v>
      </c>
      <c r="P187" s="13">
        <f t="shared" si="141"/>
        <v>8.5963894794935589E-12</v>
      </c>
      <c r="Q187" s="20">
        <f t="shared" si="162"/>
        <v>1.6226126790761848E-11</v>
      </c>
      <c r="R187" s="59">
        <f t="shared" si="109"/>
        <v>293.33333333334951</v>
      </c>
      <c r="S187" s="59">
        <f ca="1">AVERAGE(OFFSET($R$3,0,0,'Données projet'!$E$9+1,1))-AVERAGE(OFFSET($H$3,0,0,'Données projet'!$E$9+1,1))</f>
        <v>422.10969295064359</v>
      </c>
      <c r="T187" s="59">
        <f t="shared" si="142"/>
        <v>184.04075143033037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151.10857299297834</v>
      </c>
      <c r="AA187" s="21">
        <f>EXP(-LN(2)/25)*AA186+(1-EXP(-LN(2)/25))/(LN(2)/25)*Calculateur!V187*Calculateur!X187*VLOOKUP('Données projet'!$B$9,Paramètres!$A$1:$I$89,3,0)*0.475*44/12</f>
        <v>25.037020650556091</v>
      </c>
      <c r="AB187" s="21">
        <f>EXP(-LN(2)/2)*AB186+(1-EXP(-LN(2)/2))/(LN(2)/2)*V187*Y187*VLOOKUP('Données projet'!$B$9,Paramètres!$A$1:$I$89,3,0)*0.475*44/12</f>
        <v>7.5127704464093537</v>
      </c>
      <c r="AC187" s="22">
        <f t="shared" si="163"/>
        <v>183.65836408994377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6.7984728957526396E-14</v>
      </c>
      <c r="AK187" s="13">
        <f t="shared" si="164"/>
        <v>1.0682447123141398E-12</v>
      </c>
      <c r="AL187" s="20">
        <f t="shared" si="165"/>
        <v>1.978932943548152E-12</v>
      </c>
      <c r="AM187" s="59">
        <f t="shared" si="113"/>
        <v>293.3333333333353</v>
      </c>
      <c r="AN187" s="59">
        <f ca="1">AVERAGE(OFFSET($AM$3,0,0,'Données projet'!$E$10+1,1))-AVERAGE(OFFSET($H$3,0,0,'Données projet'!$E$10+1,1))</f>
        <v>213.90220310357444</v>
      </c>
      <c r="AO187" s="59">
        <f t="shared" si="144"/>
        <v>209.61422409790703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11.915146278843405</v>
      </c>
      <c r="AV187" s="21">
        <f>EXP(-LN(2)/25)*AV186+(1-EXP(-LN(2)/25))/(LN(2)/25)*Calculateur!AQ187*Calculateur!AS187*VLOOKUP('Données projet'!$B$10,Paramètres!$A$1:$I$89,3,0)*0.475*44/12</f>
        <v>1.5563239401061042</v>
      </c>
      <c r="AW187" s="21">
        <f>EXP(-LN(2)/2)*AW186+(1-EXP(-LN(2)/2))/(LN(2)/2)*AQ187*AT187*VLOOKUP('Données projet'!$B$10,Paramètres!$A$1:$I$89,3,0)*0.475*44/12</f>
        <v>1.3002065314889043E-17</v>
      </c>
      <c r="AX187" s="21">
        <f t="shared" si="166"/>
        <v>13.471470218949509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6">
        <f t="shared" si="110"/>
        <v>652.74072036845359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7.9580786405131221E-13</v>
      </c>
      <c r="O188" s="13">
        <f>N188*VLOOKUP('Données projet'!$B$9,Paramètres!$A$1:$I$89,3,0)*VLOOKUP('Données projet'!$B$9,Paramètres!$A$1:$I$89,5,0)</f>
        <v>7.2004695539362725E-13</v>
      </c>
      <c r="P188" s="13">
        <f t="shared" si="141"/>
        <v>8.5963894794935589E-12</v>
      </c>
      <c r="Q188" s="20">
        <f t="shared" si="162"/>
        <v>1.6226126790761848E-11</v>
      </c>
      <c r="R188" s="59">
        <f t="shared" si="109"/>
        <v>293.33333333334951</v>
      </c>
      <c r="S188" s="59">
        <f ca="1">AVERAGE(OFFSET($R$3,0,0,'Données projet'!$E$9+1,1))-AVERAGE(OFFSET($H$3,0,0,'Données projet'!$E$9+1,1))</f>
        <v>422.10969295064359</v>
      </c>
      <c r="T188" s="59">
        <f t="shared" si="142"/>
        <v>184.04075143033037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148.14542604371482</v>
      </c>
      <c r="AA188" s="21">
        <f>EXP(-LN(2)/25)*AA187+(1-EXP(-LN(2)/25))/(LN(2)/25)*Calculateur!V188*Calculateur!X188*VLOOKUP('Données projet'!$B$9,Paramètres!$A$1:$I$89,3,0)*0.475*44/12</f>
        <v>24.352382004226943</v>
      </c>
      <c r="AB188" s="21">
        <f>EXP(-LN(2)/2)*AB187+(1-EXP(-LN(2)/2))/(LN(2)/2)*V188*Y188*VLOOKUP('Données projet'!$B$9,Paramètres!$A$1:$I$89,3,0)*0.475*44/12</f>
        <v>5.3123309281539406</v>
      </c>
      <c r="AC188" s="22">
        <f t="shared" si="163"/>
        <v>177.81013897609569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6.7984728957526396E-14</v>
      </c>
      <c r="AK188" s="13">
        <f t="shared" si="164"/>
        <v>1.0682447123141398E-12</v>
      </c>
      <c r="AL188" s="20">
        <f t="shared" si="165"/>
        <v>1.978932943548152E-12</v>
      </c>
      <c r="AM188" s="59">
        <f t="shared" si="113"/>
        <v>293.3333333333353</v>
      </c>
      <c r="AN188" s="59">
        <f ca="1">AVERAGE(OFFSET($AM$3,0,0,'Données projet'!$E$10+1,1))-AVERAGE(OFFSET($H$3,0,0,'Données projet'!$E$10+1,1))</f>
        <v>213.90220310357444</v>
      </c>
      <c r="AO188" s="59">
        <f t="shared" si="144"/>
        <v>209.61422409790703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11.681497527836909</v>
      </c>
      <c r="AV188" s="21">
        <f>EXP(-LN(2)/25)*AV187+(1-EXP(-LN(2)/25))/(LN(2)/25)*Calculateur!AQ188*Calculateur!AS188*VLOOKUP('Données projet'!$B$10,Paramètres!$A$1:$I$89,3,0)*0.475*44/12</f>
        <v>1.5137661801203839</v>
      </c>
      <c r="AW188" s="21">
        <f>EXP(-LN(2)/2)*AW187+(1-EXP(-LN(2)/2))/(LN(2)/2)*AQ188*AT188*VLOOKUP('Données projet'!$B$10,Paramètres!$A$1:$I$89,3,0)*0.475*44/12</f>
        <v>9.1938485535884458E-18</v>
      </c>
      <c r="AX188" s="21">
        <f t="shared" si="166"/>
        <v>13.195263707957292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6">
        <f t="shared" si="110"/>
        <v>654.63748595725838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7.9580786405131221E-13</v>
      </c>
      <c r="O189" s="13">
        <f>N189*VLOOKUP('Données projet'!$B$9,Paramètres!$A$1:$I$89,3,0)*VLOOKUP('Données projet'!$B$9,Paramètres!$A$1:$I$89,5,0)</f>
        <v>7.2004695539362725E-13</v>
      </c>
      <c r="P189" s="13">
        <f t="shared" si="141"/>
        <v>8.5963894794935589E-12</v>
      </c>
      <c r="Q189" s="20">
        <f t="shared" si="162"/>
        <v>1.6226126790761848E-11</v>
      </c>
      <c r="R189" s="59">
        <f t="shared" si="109"/>
        <v>293.33333333334951</v>
      </c>
      <c r="S189" s="59">
        <f ca="1">AVERAGE(OFFSET($R$3,0,0,'Données projet'!$E$9+1,1))-AVERAGE(OFFSET($H$3,0,0,'Données projet'!$E$9+1,1))</f>
        <v>422.10969295064359</v>
      </c>
      <c r="T189" s="59">
        <f t="shared" si="142"/>
        <v>184.04075143033037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145.24038459878517</v>
      </c>
      <c r="AA189" s="21">
        <f>EXP(-LN(2)/25)*AA188+(1-EXP(-LN(2)/25))/(LN(2)/25)*Calculateur!V189*Calculateur!X189*VLOOKUP('Données projet'!$B$9,Paramètres!$A$1:$I$89,3,0)*0.475*44/12</f>
        <v>23.686464837685246</v>
      </c>
      <c r="AB189" s="21">
        <f>EXP(-LN(2)/2)*AB188+(1-EXP(-LN(2)/2))/(LN(2)/2)*V189*Y189*VLOOKUP('Données projet'!$B$9,Paramètres!$A$1:$I$89,3,0)*0.475*44/12</f>
        <v>3.7563852232046777</v>
      </c>
      <c r="AC189" s="22">
        <f t="shared" si="163"/>
        <v>172.68323465967509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6.7984728957526396E-14</v>
      </c>
      <c r="AK189" s="13">
        <f t="shared" si="164"/>
        <v>1.0682447123141398E-12</v>
      </c>
      <c r="AL189" s="20">
        <f t="shared" si="165"/>
        <v>1.978932943548152E-12</v>
      </c>
      <c r="AM189" s="59">
        <f t="shared" si="113"/>
        <v>293.3333333333353</v>
      </c>
      <c r="AN189" s="59">
        <f ca="1">AVERAGE(OFFSET($AM$3,0,0,'Données projet'!$E$10+1,1))-AVERAGE(OFFSET($H$3,0,0,'Données projet'!$E$10+1,1))</f>
        <v>213.90220310357444</v>
      </c>
      <c r="AO189" s="59">
        <f t="shared" si="144"/>
        <v>209.61422409790703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11.452430486325982</v>
      </c>
      <c r="AV189" s="21">
        <f>EXP(-LN(2)/25)*AV188+(1-EXP(-LN(2)/25))/(LN(2)/25)*Calculateur!AQ189*Calculateur!AS189*VLOOKUP('Données projet'!$B$10,Paramètres!$A$1:$I$89,3,0)*0.475*44/12</f>
        <v>1.4723721643194883</v>
      </c>
      <c r="AW189" s="21">
        <f>EXP(-LN(2)/2)*AW188+(1-EXP(-LN(2)/2))/(LN(2)/2)*AQ189*AT189*VLOOKUP('Données projet'!$B$10,Paramètres!$A$1:$I$89,3,0)*0.475*44/12</f>
        <v>6.5010326574445217E-18</v>
      </c>
      <c r="AX189" s="21">
        <f t="shared" si="166"/>
        <v>12.92480265064547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6">
        <f t="shared" si="110"/>
        <v>656.53403378514918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7.9580786405131221E-13</v>
      </c>
      <c r="O190" s="13">
        <f>N190*VLOOKUP('Données projet'!$B$9,Paramètres!$A$1:$I$89,3,0)*VLOOKUP('Données projet'!$B$9,Paramètres!$A$1:$I$89,5,0)</f>
        <v>7.2004695539362725E-13</v>
      </c>
      <c r="P190" s="13">
        <f t="shared" si="141"/>
        <v>8.5963894794935589E-12</v>
      </c>
      <c r="Q190" s="20">
        <f t="shared" si="162"/>
        <v>1.6226126790761848E-11</v>
      </c>
      <c r="R190" s="59">
        <f t="shared" si="109"/>
        <v>293.33333333334951</v>
      </c>
      <c r="S190" s="59">
        <f ca="1">AVERAGE(OFFSET($R$3,0,0,'Données projet'!$E$9+1,1))-AVERAGE(OFFSET($H$3,0,0,'Données projet'!$E$9+1,1))</f>
        <v>422.10969295064359</v>
      </c>
      <c r="T190" s="59">
        <f t="shared" si="142"/>
        <v>184.04075143033037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142.39230924469027</v>
      </c>
      <c r="AA190" s="21">
        <f>EXP(-LN(2)/25)*AA189+(1-EXP(-LN(2)/25))/(LN(2)/25)*Calculateur!V190*Calculateur!X190*VLOOKUP('Données projet'!$B$9,Paramètres!$A$1:$I$89,3,0)*0.475*44/12</f>
        <v>23.038757211081695</v>
      </c>
      <c r="AB190" s="21">
        <f>EXP(-LN(2)/2)*AB189+(1-EXP(-LN(2)/2))/(LN(2)/2)*V190*Y190*VLOOKUP('Données projet'!$B$9,Paramètres!$A$1:$I$89,3,0)*0.475*44/12</f>
        <v>2.6561654640769707</v>
      </c>
      <c r="AC190" s="22">
        <f t="shared" si="163"/>
        <v>168.08723191984893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6.7984728957526396E-14</v>
      </c>
      <c r="AK190" s="13">
        <f t="shared" si="164"/>
        <v>1.0682447123141398E-12</v>
      </c>
      <c r="AL190" s="20">
        <f t="shared" si="165"/>
        <v>1.978932943548152E-12</v>
      </c>
      <c r="AM190" s="59">
        <f t="shared" si="113"/>
        <v>293.3333333333353</v>
      </c>
      <c r="AN190" s="59">
        <f ca="1">AVERAGE(OFFSET($AM$3,0,0,'Données projet'!$E$10+1,1))-AVERAGE(OFFSET($H$3,0,0,'Données projet'!$E$10+1,1))</f>
        <v>213.90220310357444</v>
      </c>
      <c r="AO190" s="59">
        <f t="shared" si="144"/>
        <v>209.61422409790703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11.227855309781985</v>
      </c>
      <c r="AV190" s="21">
        <f>EXP(-LN(2)/25)*AV189+(1-EXP(-LN(2)/25))/(LN(2)/25)*Calculateur!AQ190*Calculateur!AS190*VLOOKUP('Données projet'!$B$10,Paramètres!$A$1:$I$89,3,0)*0.475*44/12</f>
        <v>1.4321100700574849</v>
      </c>
      <c r="AW190" s="21">
        <f>EXP(-LN(2)/2)*AW189+(1-EXP(-LN(2)/2))/(LN(2)/2)*AQ190*AT190*VLOOKUP('Données projet'!$B$10,Paramètres!$A$1:$I$89,3,0)*0.475*44/12</f>
        <v>4.5969242767942229E-18</v>
      </c>
      <c r="AX190" s="21">
        <f t="shared" si="166"/>
        <v>12.65996537983947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6">
        <f t="shared" si="110"/>
        <v>658.43036515177823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7.9580786405131221E-13</v>
      </c>
      <c r="O191" s="13">
        <f>N191*VLOOKUP('Données projet'!$B$9,Paramètres!$A$1:$I$89,3,0)*VLOOKUP('Données projet'!$B$9,Paramètres!$A$1:$I$89,5,0)</f>
        <v>7.2004695539362725E-13</v>
      </c>
      <c r="P191" s="13">
        <f t="shared" si="141"/>
        <v>8.5963894794935589E-12</v>
      </c>
      <c r="Q191" s="20">
        <f t="shared" si="162"/>
        <v>1.6226126790761848E-11</v>
      </c>
      <c r="R191" s="59">
        <f t="shared" si="109"/>
        <v>293.33333333334951</v>
      </c>
      <c r="S191" s="59">
        <f ca="1">AVERAGE(OFFSET($R$3,0,0,'Données projet'!$E$9+1,1))-AVERAGE(OFFSET($H$3,0,0,'Données projet'!$E$9+1,1))</f>
        <v>422.10969295064359</v>
      </c>
      <c r="T191" s="59">
        <f t="shared" si="142"/>
        <v>184.04075143033037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139.60008291113473</v>
      </c>
      <c r="AA191" s="21">
        <f>EXP(-LN(2)/25)*AA190+(1-EXP(-LN(2)/25))/(LN(2)/25)*Calculateur!V191*Calculateur!X191*VLOOKUP('Données projet'!$B$9,Paramètres!$A$1:$I$89,3,0)*0.475*44/12</f>
        <v>22.408761183589078</v>
      </c>
      <c r="AB191" s="21">
        <f>EXP(-LN(2)/2)*AB190+(1-EXP(-LN(2)/2))/(LN(2)/2)*V191*Y191*VLOOKUP('Données projet'!$B$9,Paramètres!$A$1:$I$89,3,0)*0.475*44/12</f>
        <v>1.8781926116023391</v>
      </c>
      <c r="AC191" s="22">
        <f t="shared" si="163"/>
        <v>163.88703670632617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6.7984728957526396E-14</v>
      </c>
      <c r="AK191" s="13">
        <f t="shared" si="164"/>
        <v>1.0682447123141398E-12</v>
      </c>
      <c r="AL191" s="20">
        <f t="shared" si="165"/>
        <v>1.978932943548152E-12</v>
      </c>
      <c r="AM191" s="59">
        <f t="shared" si="113"/>
        <v>293.3333333333353</v>
      </c>
      <c r="AN191" s="59">
        <f ca="1">AVERAGE(OFFSET($AM$3,0,0,'Données projet'!$E$10+1,1))-AVERAGE(OFFSET($H$3,0,0,'Données projet'!$E$10+1,1))</f>
        <v>213.90220310357444</v>
      </c>
      <c r="AO191" s="59">
        <f t="shared" si="144"/>
        <v>209.61422409790703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11.007683915472684</v>
      </c>
      <c r="AV191" s="21">
        <f>EXP(-LN(2)/25)*AV190+(1-EXP(-LN(2)/25))/(LN(2)/25)*Calculateur!AQ191*Calculateur!AS191*VLOOKUP('Données projet'!$B$10,Paramètres!$A$1:$I$89,3,0)*0.475*44/12</f>
        <v>1.3929489448803676</v>
      </c>
      <c r="AW191" s="21">
        <f>EXP(-LN(2)/2)*AW190+(1-EXP(-LN(2)/2))/(LN(2)/2)*AQ191*AT191*VLOOKUP('Données projet'!$B$10,Paramètres!$A$1:$I$89,3,0)*0.475*44/12</f>
        <v>3.2505163287222608E-18</v>
      </c>
      <c r="AX191" s="21">
        <f t="shared" si="166"/>
        <v>12.400632860353053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6">
        <f t="shared" si="110"/>
        <v>660.32648134217106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7.9580786405131221E-13</v>
      </c>
      <c r="O192" s="13">
        <f>N192*VLOOKUP('Données projet'!$B$9,Paramètres!$A$1:$I$89,3,0)*VLOOKUP('Données projet'!$B$9,Paramètres!$A$1:$I$89,5,0)</f>
        <v>7.2004695539362725E-13</v>
      </c>
      <c r="P192" s="13">
        <f t="shared" si="141"/>
        <v>8.5963894794935589E-12</v>
      </c>
      <c r="Q192" s="20">
        <f t="shared" si="162"/>
        <v>1.6226126790761848E-11</v>
      </c>
      <c r="R192" s="59">
        <f t="shared" si="109"/>
        <v>293.33333333334951</v>
      </c>
      <c r="S192" s="59">
        <f ca="1">AVERAGE(OFFSET($R$3,0,0,'Données projet'!$E$9+1,1))-AVERAGE(OFFSET($H$3,0,0,'Données projet'!$E$9+1,1))</f>
        <v>422.10969295064359</v>
      </c>
      <c r="T192" s="59">
        <f t="shared" si="142"/>
        <v>184.04075143033037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136.86261043289034</v>
      </c>
      <c r="AA192" s="21">
        <f>EXP(-LN(2)/25)*AA191+(1-EXP(-LN(2)/25))/(LN(2)/25)*Calculateur!V192*Calculateur!X192*VLOOKUP('Données projet'!$B$9,Paramètres!$A$1:$I$89,3,0)*0.475*44/12</f>
        <v>21.7959924305983</v>
      </c>
      <c r="AB192" s="21">
        <f>EXP(-LN(2)/2)*AB191+(1-EXP(-LN(2)/2))/(LN(2)/2)*V192*Y192*VLOOKUP('Données projet'!$B$9,Paramètres!$A$1:$I$89,3,0)*0.475*44/12</f>
        <v>1.3280827320384856</v>
      </c>
      <c r="AC192" s="22">
        <f t="shared" si="163"/>
        <v>159.98668559552712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6.7984728957526396E-14</v>
      </c>
      <c r="AK192" s="13">
        <f t="shared" si="164"/>
        <v>1.0682447123141398E-12</v>
      </c>
      <c r="AL192" s="20">
        <f t="shared" si="165"/>
        <v>1.978932943548152E-12</v>
      </c>
      <c r="AM192" s="59">
        <f t="shared" si="113"/>
        <v>293.3333333333353</v>
      </c>
      <c r="AN192" s="59">
        <f ca="1">AVERAGE(OFFSET($AM$3,0,0,'Données projet'!$E$10+1,1))-AVERAGE(OFFSET($H$3,0,0,'Données projet'!$E$10+1,1))</f>
        <v>213.90220310357444</v>
      </c>
      <c r="AO192" s="59">
        <f t="shared" si="144"/>
        <v>209.61422409790703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10.791829947914499</v>
      </c>
      <c r="AV192" s="21">
        <f>EXP(-LN(2)/25)*AV191+(1-EXP(-LN(2)/25))/(LN(2)/25)*Calculateur!AQ192*Calculateur!AS192*VLOOKUP('Données projet'!$B$10,Paramètres!$A$1:$I$89,3,0)*0.475*44/12</f>
        <v>1.3548586827306126</v>
      </c>
      <c r="AW192" s="21">
        <f>EXP(-LN(2)/2)*AW191+(1-EXP(-LN(2)/2))/(LN(2)/2)*AQ192*AT192*VLOOKUP('Données projet'!$B$10,Paramètres!$A$1:$I$89,3,0)*0.475*44/12</f>
        <v>2.2984621383971115E-18</v>
      </c>
      <c r="AX192" s="21">
        <f t="shared" si="166"/>
        <v>12.146688630645112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6">
        <f t="shared" si="110"/>
        <v>662.22238362696817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7.9580786405131221E-13</v>
      </c>
      <c r="O193" s="13">
        <f>N193*VLOOKUP('Données projet'!$B$9,Paramètres!$A$1:$I$89,3,0)*VLOOKUP('Données projet'!$B$9,Paramètres!$A$1:$I$89,5,0)</f>
        <v>7.2004695539362725E-13</v>
      </c>
      <c r="P193" s="13">
        <f t="shared" si="141"/>
        <v>8.5963894794935589E-12</v>
      </c>
      <c r="Q193" s="20">
        <f t="shared" si="162"/>
        <v>1.6226126790761848E-11</v>
      </c>
      <c r="R193" s="59">
        <f t="shared" si="109"/>
        <v>293.33333333334951</v>
      </c>
      <c r="S193" s="59">
        <f ca="1">AVERAGE(OFFSET($R$3,0,0,'Données projet'!$E$9+1,1))-AVERAGE(OFFSET($H$3,0,0,'Données projet'!$E$9+1,1))</f>
        <v>422.10969295064359</v>
      </c>
      <c r="T193" s="59">
        <f t="shared" si="142"/>
        <v>184.04075143033037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134.17881812025095</v>
      </c>
      <c r="AA193" s="21">
        <f>EXP(-LN(2)/25)*AA192+(1-EXP(-LN(2)/25))/(LN(2)/25)*Calculateur!V193*Calculateur!X193*VLOOKUP('Données projet'!$B$9,Paramètres!$A$1:$I$89,3,0)*0.475*44/12</f>
        <v>21.199979871382162</v>
      </c>
      <c r="AB193" s="21">
        <f>EXP(-LN(2)/2)*AB192+(1-EXP(-LN(2)/2))/(LN(2)/2)*V193*Y193*VLOOKUP('Données projet'!$B$9,Paramètres!$A$1:$I$89,3,0)*0.475*44/12</f>
        <v>0.93909630580116976</v>
      </c>
      <c r="AC193" s="22">
        <f t="shared" si="163"/>
        <v>156.31789429743429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6.7984728957526396E-14</v>
      </c>
      <c r="AK193" s="13">
        <f t="shared" si="164"/>
        <v>1.0682447123141398E-12</v>
      </c>
      <c r="AL193" s="20">
        <f t="shared" si="165"/>
        <v>1.978932943548152E-12</v>
      </c>
      <c r="AM193" s="59">
        <f t="shared" si="113"/>
        <v>293.3333333333353</v>
      </c>
      <c r="AN193" s="59">
        <f ca="1">AVERAGE(OFFSET($AM$3,0,0,'Données projet'!$E$10+1,1))-AVERAGE(OFFSET($H$3,0,0,'Données projet'!$E$10+1,1))</f>
        <v>213.90220310357444</v>
      </c>
      <c r="AO193" s="59">
        <f t="shared" si="144"/>
        <v>209.61422409790703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10.580208745002208</v>
      </c>
      <c r="AV193" s="21">
        <f>EXP(-LN(2)/25)*AV192+(1-EXP(-LN(2)/25))/(LN(2)/25)*Calculateur!AQ193*Calculateur!AS193*VLOOKUP('Données projet'!$B$10,Paramètres!$A$1:$I$89,3,0)*0.475*44/12</f>
        <v>1.3178100008024225</v>
      </c>
      <c r="AW193" s="21">
        <f>EXP(-LN(2)/2)*AW192+(1-EXP(-LN(2)/2))/(LN(2)/2)*AQ193*AT193*VLOOKUP('Données projet'!$B$10,Paramètres!$A$1:$I$89,3,0)*0.475*44/12</f>
        <v>1.6252581643611304E-18</v>
      </c>
      <c r="AX193" s="21">
        <f t="shared" si="166"/>
        <v>11.898018745804631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6">
        <f t="shared" si="110"/>
        <v>664.11807326266057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7.9580786405131221E-13</v>
      </c>
      <c r="O194" s="13">
        <f>N194*VLOOKUP('Données projet'!$B$9,Paramètres!$A$1:$I$89,3,0)*VLOOKUP('Données projet'!$B$9,Paramètres!$A$1:$I$89,5,0)</f>
        <v>7.2004695539362725E-13</v>
      </c>
      <c r="P194" s="13">
        <f t="shared" si="141"/>
        <v>8.5963894794935589E-12</v>
      </c>
      <c r="Q194" s="20">
        <f t="shared" si="162"/>
        <v>1.6226126790761848E-11</v>
      </c>
      <c r="R194" s="59">
        <f t="shared" si="109"/>
        <v>293.33333333334951</v>
      </c>
      <c r="S194" s="59">
        <f ca="1">AVERAGE(OFFSET($R$3,0,0,'Données projet'!$E$9+1,1))-AVERAGE(OFFSET($H$3,0,0,'Données projet'!$E$9+1,1))</f>
        <v>422.10969295064359</v>
      </c>
      <c r="T194" s="59">
        <f t="shared" si="142"/>
        <v>184.04075143033037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131.54765333791076</v>
      </c>
      <c r="AA194" s="21">
        <f>EXP(-LN(2)/25)*AA193+(1-EXP(-LN(2)/25))/(LN(2)/25)*Calculateur!V194*Calculateur!X194*VLOOKUP('Données projet'!$B$9,Paramètres!$A$1:$I$89,3,0)*0.475*44/12</f>
        <v>20.620265306940727</v>
      </c>
      <c r="AB194" s="21">
        <f>EXP(-LN(2)/2)*AB193+(1-EXP(-LN(2)/2))/(LN(2)/2)*V194*Y194*VLOOKUP('Données projet'!$B$9,Paramètres!$A$1:$I$89,3,0)*0.475*44/12</f>
        <v>0.66404136601924291</v>
      </c>
      <c r="AC194" s="22">
        <f t="shared" si="163"/>
        <v>152.83196001087072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6.7984728957526396E-14</v>
      </c>
      <c r="AK194" s="13">
        <f t="shared" si="164"/>
        <v>1.0682447123141398E-12</v>
      </c>
      <c r="AL194" s="20">
        <f t="shared" si="165"/>
        <v>1.978932943548152E-12</v>
      </c>
      <c r="AM194" s="59">
        <f t="shared" si="113"/>
        <v>293.3333333333353</v>
      </c>
      <c r="AN194" s="59">
        <f ca="1">AVERAGE(OFFSET($AM$3,0,0,'Données projet'!$E$10+1,1))-AVERAGE(OFFSET($H$3,0,0,'Données projet'!$E$10+1,1))</f>
        <v>213.90220310357444</v>
      </c>
      <c r="AO194" s="59">
        <f t="shared" si="144"/>
        <v>209.61422409790703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10.37273730480284</v>
      </c>
      <c r="AV194" s="21">
        <f>EXP(-LN(2)/25)*AV193+(1-EXP(-LN(2)/25))/(LN(2)/25)*Calculateur!AQ194*Calculateur!AS194*VLOOKUP('Données projet'!$B$10,Paramètres!$A$1:$I$89,3,0)*0.475*44/12</f>
        <v>1.2817744170298642</v>
      </c>
      <c r="AW194" s="21">
        <f>EXP(-LN(2)/2)*AW193+(1-EXP(-LN(2)/2))/(LN(2)/2)*AQ194*AT194*VLOOKUP('Données projet'!$B$10,Paramètres!$A$1:$I$89,3,0)*0.475*44/12</f>
        <v>1.1492310691985557E-18</v>
      </c>
      <c r="AX194" s="21">
        <f t="shared" si="166"/>
        <v>11.654511721832703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6">
        <f t="shared" si="110"/>
        <v>666.01355149182064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7.9580786405131221E-13</v>
      </c>
      <c r="O195" s="13">
        <f>N195*VLOOKUP('Données projet'!$B$9,Paramètres!$A$1:$I$89,3,0)*VLOOKUP('Données projet'!$B$9,Paramètres!$A$1:$I$89,5,0)</f>
        <v>7.2004695539362725E-13</v>
      </c>
      <c r="P195" s="13">
        <f t="shared" si="141"/>
        <v>8.5963894794935589E-12</v>
      </c>
      <c r="Q195" s="20">
        <f t="shared" si="162"/>
        <v>1.6226126790761848E-11</v>
      </c>
      <c r="R195" s="59">
        <f t="shared" ref="R195:R203" si="191">Q195+(I195+J195)*44/12</f>
        <v>293.33333333334951</v>
      </c>
      <c r="S195" s="59">
        <f ca="1">AVERAGE(OFFSET($R$3,0,0,'Données projet'!$E$9+1,1))-AVERAGE(OFFSET($H$3,0,0,'Données projet'!$E$9+1,1))</f>
        <v>422.10969295064359</v>
      </c>
      <c r="T195" s="59">
        <f t="shared" si="142"/>
        <v>184.04075143033037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128.96808409210021</v>
      </c>
      <c r="AA195" s="21">
        <f>EXP(-LN(2)/25)*AA194+(1-EXP(-LN(2)/25))/(LN(2)/25)*Calculateur!V195*Calculateur!X195*VLOOKUP('Données projet'!$B$9,Paramètres!$A$1:$I$89,3,0)*0.475*44/12</f>
        <v>20.056403067749809</v>
      </c>
      <c r="AB195" s="21">
        <f>EXP(-LN(2)/2)*AB194+(1-EXP(-LN(2)/2))/(LN(2)/2)*V195*Y195*VLOOKUP('Données projet'!$B$9,Paramètres!$A$1:$I$89,3,0)*0.475*44/12</f>
        <v>0.46954815290058494</v>
      </c>
      <c r="AC195" s="22">
        <f t="shared" si="163"/>
        <v>149.49403531275061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6.7984728957526396E-14</v>
      </c>
      <c r="AK195" s="13">
        <f t="shared" si="164"/>
        <v>1.0682447123141398E-12</v>
      </c>
      <c r="AL195" s="20">
        <f t="shared" si="165"/>
        <v>1.978932943548152E-12</v>
      </c>
      <c r="AM195" s="59">
        <f t="shared" si="113"/>
        <v>293.3333333333353</v>
      </c>
      <c r="AN195" s="59">
        <f ca="1">AVERAGE(OFFSET($AM$3,0,0,'Données projet'!$E$10+1,1))-AVERAGE(OFFSET($H$3,0,0,'Données projet'!$E$10+1,1))</f>
        <v>213.90220310357444</v>
      </c>
      <c r="AO195" s="59">
        <f t="shared" si="144"/>
        <v>209.61422409790703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10.169334253000697</v>
      </c>
      <c r="AV195" s="21">
        <f>EXP(-LN(2)/25)*AV194+(1-EXP(-LN(2)/25))/(LN(2)/25)*Calculateur!AQ195*Calculateur!AS195*VLOOKUP('Données projet'!$B$10,Paramètres!$A$1:$I$89,3,0)*0.475*44/12</f>
        <v>1.2467242281905955</v>
      </c>
      <c r="AW195" s="21">
        <f>EXP(-LN(2)/2)*AW194+(1-EXP(-LN(2)/2))/(LN(2)/2)*AQ195*AT195*VLOOKUP('Données projet'!$B$10,Paramètres!$A$1:$I$89,3,0)*0.475*44/12</f>
        <v>8.1262908218056521E-19</v>
      </c>
      <c r="AX195" s="21">
        <f t="shared" si="166"/>
        <v>11.416058481191293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6">
        <f t="shared" ref="H196:H203" si="192">(B196+E196+F196)*44/12+(C196+D196)*0.475*44/12</f>
        <v>667.90881954332758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7.9580786405131221E-13</v>
      </c>
      <c r="O196" s="13">
        <f>N196*VLOOKUP('Données projet'!$B$9,Paramètres!$A$1:$I$89,3,0)*VLOOKUP('Données projet'!$B$9,Paramètres!$A$1:$I$89,5,0)</f>
        <v>7.2004695539362725E-13</v>
      </c>
      <c r="P196" s="13">
        <f t="shared" si="141"/>
        <v>8.5963894794935589E-12</v>
      </c>
      <c r="Q196" s="20">
        <f t="shared" si="162"/>
        <v>1.6226126790761848E-11</v>
      </c>
      <c r="R196" s="59">
        <f t="shared" si="191"/>
        <v>293.33333333334951</v>
      </c>
      <c r="S196" s="59">
        <f ca="1">AVERAGE(OFFSET($R$3,0,0,'Données projet'!$E$9+1,1))-AVERAGE(OFFSET($H$3,0,0,'Données projet'!$E$9+1,1))</f>
        <v>422.10969295064359</v>
      </c>
      <c r="T196" s="59">
        <f t="shared" si="142"/>
        <v>184.04075143033037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126.43909862581812</v>
      </c>
      <c r="AA196" s="21">
        <f>EXP(-LN(2)/25)*AA195+(1-EXP(-LN(2)/25))/(LN(2)/25)*Calculateur!V196*Calculateur!X196*VLOOKUP('Données projet'!$B$9,Paramètres!$A$1:$I$89,3,0)*0.475*44/12</f>
        <v>19.507959671141794</v>
      </c>
      <c r="AB196" s="21">
        <f>EXP(-LN(2)/2)*AB195+(1-EXP(-LN(2)/2))/(LN(2)/2)*V196*Y196*VLOOKUP('Données projet'!$B$9,Paramètres!$A$1:$I$89,3,0)*0.475*44/12</f>
        <v>0.33202068300962151</v>
      </c>
      <c r="AC196" s="22">
        <f t="shared" si="163"/>
        <v>146.27907897996954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6.7984728957526396E-14</v>
      </c>
      <c r="AK196" s="13">
        <f t="shared" si="164"/>
        <v>1.0682447123141398E-12</v>
      </c>
      <c r="AL196" s="20">
        <f t="shared" si="165"/>
        <v>1.978932943548152E-12</v>
      </c>
      <c r="AM196" s="59">
        <f t="shared" ref="AM196:AM203" si="193">AL196+(AD196+AE196)*44/12</f>
        <v>293.3333333333353</v>
      </c>
      <c r="AN196" s="59">
        <f ca="1">AVERAGE(OFFSET($AM$3,0,0,'Données projet'!$E$10+1,1))-AVERAGE(OFFSET($H$3,0,0,'Données projet'!$E$10+1,1))</f>
        <v>213.90220310357444</v>
      </c>
      <c r="AO196" s="59">
        <f t="shared" si="144"/>
        <v>209.61422409790703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9.9699198109807838</v>
      </c>
      <c r="AV196" s="21">
        <f>EXP(-LN(2)/25)*AV195+(1-EXP(-LN(2)/25))/(LN(2)/25)*Calculateur!AQ196*Calculateur!AS196*VLOOKUP('Données projet'!$B$10,Paramètres!$A$1:$I$89,3,0)*0.475*44/12</f>
        <v>1.2126324886083459</v>
      </c>
      <c r="AW196" s="21">
        <f>EXP(-LN(2)/2)*AW195+(1-EXP(-LN(2)/2))/(LN(2)/2)*AQ196*AT196*VLOOKUP('Données projet'!$B$10,Paramètres!$A$1:$I$89,3,0)*0.475*44/12</f>
        <v>5.7461553459927786E-19</v>
      </c>
      <c r="AX196" s="21">
        <f t="shared" si="166"/>
        <v>11.18255229958913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6">
        <f t="shared" si="192"/>
        <v>669.80387863258932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7.9580786405131221E-13</v>
      </c>
      <c r="O197" s="13">
        <f>N197*VLOOKUP('Données projet'!$B$9,Paramètres!$A$1:$I$89,3,0)*VLOOKUP('Données projet'!$B$9,Paramètres!$A$1:$I$89,5,0)</f>
        <v>7.2004695539362725E-13</v>
      </c>
      <c r="P197" s="13">
        <f t="shared" ref="P197:P203" si="203">EXP(-1.0587+0.8836*LN(O197)+0.284)</f>
        <v>8.5963894794935589E-12</v>
      </c>
      <c r="Q197" s="20">
        <f t="shared" si="162"/>
        <v>1.6226126790761848E-11</v>
      </c>
      <c r="R197" s="59">
        <f t="shared" si="191"/>
        <v>293.33333333334951</v>
      </c>
      <c r="S197" s="59">
        <f ca="1">AVERAGE(OFFSET($R$3,0,0,'Données projet'!$E$9+1,1))-AVERAGE(OFFSET($H$3,0,0,'Données projet'!$E$9+1,1))</f>
        <v>422.10969295064359</v>
      </c>
      <c r="T197" s="59">
        <f t="shared" ref="T197:T203" si="204">$T$3</f>
        <v>184.04075143033037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123.959705022001</v>
      </c>
      <c r="AA197" s="21">
        <f>EXP(-LN(2)/25)*AA196+(1-EXP(-LN(2)/25))/(LN(2)/25)*Calculateur!V197*Calculateur!X197*VLOOKUP('Données projet'!$B$9,Paramètres!$A$1:$I$89,3,0)*0.475*44/12</f>
        <v>18.974513488055408</v>
      </c>
      <c r="AB197" s="21">
        <f>EXP(-LN(2)/2)*AB196+(1-EXP(-LN(2)/2))/(LN(2)/2)*V197*Y197*VLOOKUP('Données projet'!$B$9,Paramètres!$A$1:$I$89,3,0)*0.475*44/12</f>
        <v>0.2347740764502925</v>
      </c>
      <c r="AC197" s="22">
        <f t="shared" si="163"/>
        <v>143.1689925865067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6.7984728957526396E-14</v>
      </c>
      <c r="AK197" s="13">
        <f t="shared" si="164"/>
        <v>1.0682447123141398E-12</v>
      </c>
      <c r="AL197" s="20">
        <f t="shared" si="165"/>
        <v>1.978932943548152E-12</v>
      </c>
      <c r="AM197" s="59">
        <f t="shared" si="193"/>
        <v>293.3333333333353</v>
      </c>
      <c r="AN197" s="59">
        <f ca="1">AVERAGE(OFFSET($AM$3,0,0,'Données projet'!$E$10+1,1))-AVERAGE(OFFSET($H$3,0,0,'Données projet'!$E$10+1,1))</f>
        <v>213.90220310357444</v>
      </c>
      <c r="AO197" s="59">
        <f t="shared" ref="AO197:AO203" si="205">$AO$3</f>
        <v>209.61422409790703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9.774415764538082</v>
      </c>
      <c r="AV197" s="21">
        <f>EXP(-LN(2)/25)*AV196+(1-EXP(-LN(2)/25))/(LN(2)/25)*Calculateur!AQ197*Calculateur!AS197*VLOOKUP('Données projet'!$B$10,Paramètres!$A$1:$I$89,3,0)*0.475*44/12</f>
        <v>1.1794729894377796</v>
      </c>
      <c r="AW197" s="21">
        <f>EXP(-LN(2)/2)*AW196+(1-EXP(-LN(2)/2))/(LN(2)/2)*AQ197*AT197*VLOOKUP('Données projet'!$B$10,Paramètres!$A$1:$I$89,3,0)*0.475*44/12</f>
        <v>4.063145410902826E-19</v>
      </c>
      <c r="AX197" s="21">
        <f t="shared" si="166"/>
        <v>10.953888753975862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6">
        <f t="shared" si="192"/>
        <v>671.69872996175832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7.9580786405131221E-13</v>
      </c>
      <c r="O198" s="13">
        <f>N198*VLOOKUP('Données projet'!$B$9,Paramètres!$A$1:$I$89,3,0)*VLOOKUP('Données projet'!$B$9,Paramètres!$A$1:$I$89,5,0)</f>
        <v>7.2004695539362725E-13</v>
      </c>
      <c r="P198" s="13">
        <f t="shared" si="203"/>
        <v>8.5963894794935589E-12</v>
      </c>
      <c r="Q198" s="20">
        <f t="shared" si="162"/>
        <v>1.6226126790761848E-11</v>
      </c>
      <c r="R198" s="59">
        <f t="shared" si="191"/>
        <v>293.33333333334951</v>
      </c>
      <c r="S198" s="59">
        <f ca="1">AVERAGE(OFFSET($R$3,0,0,'Données projet'!$E$9+1,1))-AVERAGE(OFFSET($H$3,0,0,'Données projet'!$E$9+1,1))</f>
        <v>422.10969295064359</v>
      </c>
      <c r="T198" s="59">
        <f t="shared" si="204"/>
        <v>184.04075143033037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121.52893081447397</v>
      </c>
      <c r="AA198" s="21">
        <f>EXP(-LN(2)/25)*AA197+(1-EXP(-LN(2)/25))/(LN(2)/25)*Calculateur!V198*Calculateur!X198*VLOOKUP('Données projet'!$B$9,Paramètres!$A$1:$I$89,3,0)*0.475*44/12</f>
        <v>18.455654418898234</v>
      </c>
      <c r="AB198" s="21">
        <f>EXP(-LN(2)/2)*AB197+(1-EXP(-LN(2)/2))/(LN(2)/2)*V198*Y198*VLOOKUP('Données projet'!$B$9,Paramètres!$A$1:$I$89,3,0)*0.475*44/12</f>
        <v>0.16601034150481075</v>
      </c>
      <c r="AC198" s="22">
        <f t="shared" si="163"/>
        <v>140.150595574877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6.7984728957526396E-14</v>
      </c>
      <c r="AK198" s="13">
        <f t="shared" si="164"/>
        <v>1.0682447123141398E-12</v>
      </c>
      <c r="AL198" s="20">
        <f t="shared" si="165"/>
        <v>1.978932943548152E-12</v>
      </c>
      <c r="AM198" s="59">
        <f t="shared" si="193"/>
        <v>293.3333333333353</v>
      </c>
      <c r="AN198" s="59">
        <f ca="1">AVERAGE(OFFSET($AM$3,0,0,'Données projet'!$E$10+1,1))-AVERAGE(OFFSET($H$3,0,0,'Données projet'!$E$10+1,1))</f>
        <v>213.90220310357444</v>
      </c>
      <c r="AO198" s="59">
        <f t="shared" si="205"/>
        <v>209.61422409790703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9.5827454332004276</v>
      </c>
      <c r="AV198" s="21">
        <f>EXP(-LN(2)/25)*AV197+(1-EXP(-LN(2)/25))/(LN(2)/25)*Calculateur!AQ198*Calculateur!AS198*VLOOKUP('Données projet'!$B$10,Paramètres!$A$1:$I$89,3,0)*0.475*44/12</f>
        <v>1.1472202385158148</v>
      </c>
      <c r="AW198" s="21">
        <f>EXP(-LN(2)/2)*AW197+(1-EXP(-LN(2)/2))/(LN(2)/2)*AQ198*AT198*VLOOKUP('Données projet'!$B$10,Paramètres!$A$1:$I$89,3,0)*0.475*44/12</f>
        <v>2.8730776729963893E-19</v>
      </c>
      <c r="AX198" s="21">
        <f t="shared" si="166"/>
        <v>10.729965671716242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6">
        <f t="shared" si="192"/>
        <v>673.59337471994309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7.9580786405131221E-13</v>
      </c>
      <c r="O199" s="13">
        <f>N199*VLOOKUP('Données projet'!$B$9,Paramètres!$A$1:$I$89,3,0)*VLOOKUP('Données projet'!$B$9,Paramètres!$A$1:$I$89,5,0)</f>
        <v>7.2004695539362725E-13</v>
      </c>
      <c r="P199" s="13">
        <f t="shared" si="203"/>
        <v>8.5963894794935589E-12</v>
      </c>
      <c r="Q199" s="20">
        <f t="shared" si="162"/>
        <v>1.6226126790761848E-11</v>
      </c>
      <c r="R199" s="59">
        <f t="shared" si="191"/>
        <v>293.33333333334951</v>
      </c>
      <c r="S199" s="59">
        <f ca="1">AVERAGE(OFFSET($R$3,0,0,'Données projet'!$E$9+1,1))-AVERAGE(OFFSET($H$3,0,0,'Données projet'!$E$9+1,1))</f>
        <v>422.10969295064359</v>
      </c>
      <c r="T199" s="59">
        <f t="shared" si="204"/>
        <v>184.04075143033037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119.14582260653066</v>
      </c>
      <c r="AA199" s="21">
        <f>EXP(-LN(2)/25)*AA198+(1-EXP(-LN(2)/25))/(LN(2)/25)*Calculateur!V199*Calculateur!X199*VLOOKUP('Données projet'!$B$9,Paramètres!$A$1:$I$89,3,0)*0.475*44/12</f>
        <v>17.950983578272776</v>
      </c>
      <c r="AB199" s="21">
        <f>EXP(-LN(2)/2)*AB198+(1-EXP(-LN(2)/2))/(LN(2)/2)*V199*Y199*VLOOKUP('Données projet'!$B$9,Paramètres!$A$1:$I$89,3,0)*0.475*44/12</f>
        <v>0.11738703822514625</v>
      </c>
      <c r="AC199" s="22">
        <f t="shared" si="163"/>
        <v>137.21419322302856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6.7984728957526396E-14</v>
      </c>
      <c r="AK199" s="13">
        <f t="shared" si="164"/>
        <v>1.0682447123141398E-12</v>
      </c>
      <c r="AL199" s="20">
        <f t="shared" si="165"/>
        <v>1.978932943548152E-12</v>
      </c>
      <c r="AM199" s="59">
        <f t="shared" si="193"/>
        <v>293.3333333333353</v>
      </c>
      <c r="AN199" s="59">
        <f ca="1">AVERAGE(OFFSET($AM$3,0,0,'Données projet'!$E$10+1,1))-AVERAGE(OFFSET($H$3,0,0,'Données projet'!$E$10+1,1))</f>
        <v>213.90220310357444</v>
      </c>
      <c r="AO199" s="59">
        <f t="shared" si="205"/>
        <v>209.61422409790703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9.394833640152946</v>
      </c>
      <c r="AV199" s="21">
        <f>EXP(-LN(2)/25)*AV198+(1-EXP(-LN(2)/25))/(LN(2)/25)*Calculateur!AQ199*Calculateur!AS199*VLOOKUP('Données projet'!$B$10,Paramètres!$A$1:$I$89,3,0)*0.475*44/12</f>
        <v>1.1158494407639095</v>
      </c>
      <c r="AW199" s="21">
        <f>EXP(-LN(2)/2)*AW198+(1-EXP(-LN(2)/2))/(LN(2)/2)*AQ199*AT199*VLOOKUP('Données projet'!$B$10,Paramètres!$A$1:$I$89,3,0)*0.475*44/12</f>
        <v>2.031572705451413E-19</v>
      </c>
      <c r="AX199" s="21">
        <f t="shared" si="166"/>
        <v>10.510683080916856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6">
        <f t="shared" si="192"/>
        <v>675.48781408341597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7.9580786405131221E-13</v>
      </c>
      <c r="O200" s="13">
        <f>N200*VLOOKUP('Données projet'!$B$9,Paramètres!$A$1:$I$89,3,0)*VLOOKUP('Données projet'!$B$9,Paramètres!$A$1:$I$89,5,0)</f>
        <v>7.2004695539362725E-13</v>
      </c>
      <c r="P200" s="13">
        <f t="shared" si="203"/>
        <v>8.5963894794935589E-12</v>
      </c>
      <c r="Q200" s="20">
        <f t="shared" si="162"/>
        <v>1.6226126790761848E-11</v>
      </c>
      <c r="R200" s="59">
        <f t="shared" si="191"/>
        <v>293.33333333334951</v>
      </c>
      <c r="S200" s="59">
        <f ca="1">AVERAGE(OFFSET($R$3,0,0,'Données projet'!$E$9+1,1))-AVERAGE(OFFSET($H$3,0,0,'Données projet'!$E$9+1,1))</f>
        <v>422.10969295064359</v>
      </c>
      <c r="T200" s="59">
        <f t="shared" si="204"/>
        <v>184.04075143033037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116.80944569699264</v>
      </c>
      <c r="AA200" s="21">
        <f>EXP(-LN(2)/25)*AA199+(1-EXP(-LN(2)/25))/(LN(2)/25)*Calculateur!V200*Calculateur!X200*VLOOKUP('Données projet'!$B$9,Paramètres!$A$1:$I$89,3,0)*0.475*44/12</f>
        <v>17.460112988323708</v>
      </c>
      <c r="AB200" s="21">
        <f>EXP(-LN(2)/2)*AB199+(1-EXP(-LN(2)/2))/(LN(2)/2)*V200*Y200*VLOOKUP('Données projet'!$B$9,Paramètres!$A$1:$I$89,3,0)*0.475*44/12</f>
        <v>8.3005170752405377E-2</v>
      </c>
      <c r="AC200" s="22">
        <f t="shared" si="163"/>
        <v>134.35256385606877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6.7984728957526396E-14</v>
      </c>
      <c r="AK200" s="13">
        <f t="shared" si="164"/>
        <v>1.0682447123141398E-12</v>
      </c>
      <c r="AL200" s="20">
        <f t="shared" si="165"/>
        <v>1.978932943548152E-12</v>
      </c>
      <c r="AM200" s="59">
        <f t="shared" si="193"/>
        <v>293.3333333333353</v>
      </c>
      <c r="AN200" s="59">
        <f ca="1">AVERAGE(OFFSET($AM$3,0,0,'Données projet'!$E$10+1,1))-AVERAGE(OFFSET($H$3,0,0,'Données projet'!$E$10+1,1))</f>
        <v>213.90220310357444</v>
      </c>
      <c r="AO200" s="59">
        <f t="shared" si="205"/>
        <v>209.61422409790703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9.2106066827522479</v>
      </c>
      <c r="AV200" s="21">
        <f>EXP(-LN(2)/25)*AV199+(1-EXP(-LN(2)/25))/(LN(2)/25)*Calculateur!AQ200*Calculateur!AS200*VLOOKUP('Données projet'!$B$10,Paramètres!$A$1:$I$89,3,0)*0.475*44/12</f>
        <v>1.0853364791262485</v>
      </c>
      <c r="AW200" s="21">
        <f>EXP(-LN(2)/2)*AW199+(1-EXP(-LN(2)/2))/(LN(2)/2)*AQ200*AT200*VLOOKUP('Données projet'!$B$10,Paramètres!$A$1:$I$89,3,0)*0.475*44/12</f>
        <v>1.4365388364981947E-19</v>
      </c>
      <c r="AX200" s="21">
        <f t="shared" si="166"/>
        <v>10.295943161878496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6">
        <f t="shared" si="192"/>
        <v>677.3820492158161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7.9580786405131221E-13</v>
      </c>
      <c r="O201" s="13">
        <f>N201*VLOOKUP('Données projet'!$B$9,Paramètres!$A$1:$I$89,3,0)*VLOOKUP('Données projet'!$B$9,Paramètres!$A$1:$I$89,5,0)</f>
        <v>7.2004695539362725E-13</v>
      </c>
      <c r="P201" s="13">
        <f t="shared" si="203"/>
        <v>8.5963894794935589E-12</v>
      </c>
      <c r="Q201" s="20">
        <f t="shared" si="162"/>
        <v>1.6226126790761848E-11</v>
      </c>
      <c r="R201" s="59">
        <f t="shared" si="191"/>
        <v>293.33333333334951</v>
      </c>
      <c r="S201" s="59">
        <f ca="1">AVERAGE(OFFSET($R$3,0,0,'Données projet'!$E$9+1,1))-AVERAGE(OFFSET($H$3,0,0,'Données projet'!$E$9+1,1))</f>
        <v>422.10969295064359</v>
      </c>
      <c r="T201" s="59">
        <f t="shared" si="204"/>
        <v>184.04075143033037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114.51888371360145</v>
      </c>
      <c r="AA201" s="21">
        <f>EXP(-LN(2)/25)*AA200+(1-EXP(-LN(2)/25))/(LN(2)/25)*Calculateur!V201*Calculateur!X201*VLOOKUP('Données projet'!$B$9,Paramètres!$A$1:$I$89,3,0)*0.475*44/12</f>
        <v>16.98266528047056</v>
      </c>
      <c r="AB201" s="21">
        <f>EXP(-LN(2)/2)*AB200+(1-EXP(-LN(2)/2))/(LN(2)/2)*V201*Y201*VLOOKUP('Données projet'!$B$9,Paramètres!$A$1:$I$89,3,0)*0.475*44/12</f>
        <v>5.8693519112573124E-2</v>
      </c>
      <c r="AC201" s="22">
        <f t="shared" si="163"/>
        <v>131.56024251318459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6.7984728957526396E-14</v>
      </c>
      <c r="AK201" s="13">
        <f t="shared" si="164"/>
        <v>1.0682447123141398E-12</v>
      </c>
      <c r="AL201" s="20">
        <f t="shared" si="165"/>
        <v>1.978932943548152E-12</v>
      </c>
      <c r="AM201" s="59">
        <f t="shared" si="193"/>
        <v>293.3333333333353</v>
      </c>
      <c r="AN201" s="59">
        <f ca="1">AVERAGE(OFFSET($AM$3,0,0,'Données projet'!$E$10+1,1))-AVERAGE(OFFSET($H$3,0,0,'Données projet'!$E$10+1,1))</f>
        <v>213.90220310357444</v>
      </c>
      <c r="AO201" s="59">
        <f t="shared" si="205"/>
        <v>209.61422409790703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9.0299923036188297</v>
      </c>
      <c r="AV201" s="21">
        <f>EXP(-LN(2)/25)*AV200+(1-EXP(-LN(2)/25))/(LN(2)/25)*Calculateur!AQ201*Calculateur!AS201*VLOOKUP('Données projet'!$B$10,Paramètres!$A$1:$I$89,3,0)*0.475*44/12</f>
        <v>1.0556578960291765</v>
      </c>
      <c r="AW201" s="21">
        <f>EXP(-LN(2)/2)*AW200+(1-EXP(-LN(2)/2))/(LN(2)/2)*AQ201*AT201*VLOOKUP('Données projet'!$B$10,Paramètres!$A$1:$I$89,3,0)*0.475*44/12</f>
        <v>1.0157863527257065E-19</v>
      </c>
      <c r="AX201" s="21">
        <f t="shared" si="166"/>
        <v>10.085650199648006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6">
        <f t="shared" si="192"/>
        <v>679.27608126834809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7.9580786405131221E-13</v>
      </c>
      <c r="O202" s="13">
        <f>N202*VLOOKUP('Données projet'!$B$9,Paramètres!$A$1:$I$89,3,0)*VLOOKUP('Données projet'!$B$9,Paramètres!$A$1:$I$89,5,0)</f>
        <v>7.2004695539362725E-13</v>
      </c>
      <c r="P202" s="13">
        <f t="shared" si="203"/>
        <v>8.5963894794935589E-12</v>
      </c>
      <c r="Q202" s="20">
        <f t="shared" si="162"/>
        <v>1.6226126790761848E-11</v>
      </c>
      <c r="R202" s="59">
        <f t="shared" si="191"/>
        <v>293.33333333334951</v>
      </c>
      <c r="S202" s="59">
        <f ca="1">AVERAGE(OFFSET($R$3,0,0,'Données projet'!$E$9+1,1))-AVERAGE(OFFSET($H$3,0,0,'Données projet'!$E$9+1,1))</f>
        <v>422.10969295064359</v>
      </c>
      <c r="T202" s="59">
        <f t="shared" si="204"/>
        <v>184.04075143033037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112.27323825359971</v>
      </c>
      <c r="AA202" s="21">
        <f>EXP(-LN(2)/25)*AA201+(1-EXP(-LN(2)/25))/(LN(2)/25)*Calculateur!V202*Calculateur!X202*VLOOKUP('Données projet'!$B$9,Paramètres!$A$1:$I$89,3,0)*0.475*44/12</f>
        <v>16.51827340529654</v>
      </c>
      <c r="AB202" s="21">
        <f>EXP(-LN(2)/2)*AB201+(1-EXP(-LN(2)/2))/(LN(2)/2)*V202*Y202*VLOOKUP('Données projet'!$B$9,Paramètres!$A$1:$I$89,3,0)*0.475*44/12</f>
        <v>4.1502585376202689E-2</v>
      </c>
      <c r="AC202" s="22">
        <f t="shared" si="163"/>
        <v>128.83301424427245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6.7984728957526396E-14</v>
      </c>
      <c r="AK202" s="13">
        <f t="shared" si="164"/>
        <v>1.0682447123141398E-12</v>
      </c>
      <c r="AL202" s="20">
        <f t="shared" si="165"/>
        <v>1.978932943548152E-12</v>
      </c>
      <c r="AM202" s="59">
        <f t="shared" si="193"/>
        <v>293.3333333333353</v>
      </c>
      <c r="AN202" s="59">
        <f ca="1">AVERAGE(OFFSET($AM$3,0,0,'Données projet'!$E$10+1,1))-AVERAGE(OFFSET($H$3,0,0,'Données projet'!$E$10+1,1))</f>
        <v>213.90220310357444</v>
      </c>
      <c r="AO202" s="59">
        <f t="shared" si="205"/>
        <v>209.61422409790703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8.8529196622963244</v>
      </c>
      <c r="AV202" s="21">
        <f>EXP(-LN(2)/25)*AV201+(1-EXP(-LN(2)/25))/(LN(2)/25)*Calculateur!AQ202*Calculateur!AS202*VLOOKUP('Données projet'!$B$10,Paramètres!$A$1:$I$89,3,0)*0.475*44/12</f>
        <v>1.0267908753476227</v>
      </c>
      <c r="AW202" s="21">
        <f>EXP(-LN(2)/2)*AW201+(1-EXP(-LN(2)/2))/(LN(2)/2)*AQ202*AT202*VLOOKUP('Données projet'!$B$10,Paramètres!$A$1:$I$89,3,0)*0.475*44/12</f>
        <v>7.1826941824909733E-20</v>
      </c>
      <c r="AX202" s="21">
        <f t="shared" si="166"/>
        <v>9.8797105376439465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6">
        <f t="shared" si="192"/>
        <v>681.16991137997661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7.9580786405131221E-13</v>
      </c>
      <c r="O203" s="13">
        <f>N203*VLOOKUP('Données projet'!$B$9,Paramètres!$A$1:$I$89,3,0)*VLOOKUP('Données projet'!$B$9,Paramètres!$A$1:$I$89,5,0)</f>
        <v>7.2004695539362725E-13</v>
      </c>
      <c r="P203" s="13">
        <f t="shared" si="203"/>
        <v>8.5963894794935589E-12</v>
      </c>
      <c r="Q203" s="20">
        <f t="shared" si="162"/>
        <v>1.6226126790761848E-11</v>
      </c>
      <c r="R203" s="59">
        <f t="shared" si="191"/>
        <v>293.33333333334951</v>
      </c>
      <c r="S203" s="59">
        <f ca="1">AVERAGE(OFFSET($R$3,0,0,'Données projet'!$E$9+1,1))-AVERAGE(OFFSET($H$3,0,0,'Données projet'!$E$9+1,1))</f>
        <v>422.10969295064359</v>
      </c>
      <c r="T203" s="59">
        <f t="shared" si="204"/>
        <v>184.04075143033037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110.07162853136013</v>
      </c>
      <c r="AA203" s="21">
        <f>EXP(-LN(2)/25)*AA202+(1-EXP(-LN(2)/25))/(LN(2)/25)*Calculateur!V203*Calculateur!X203*VLOOKUP('Données projet'!$B$9,Paramètres!$A$1:$I$89,3,0)*0.475*44/12</f>
        <v>16.066580350370462</v>
      </c>
      <c r="AB203" s="21">
        <f>EXP(-LN(2)/2)*AB202+(1-EXP(-LN(2)/2))/(LN(2)/2)*V203*Y203*VLOOKUP('Données projet'!$B$9,Paramètres!$A$1:$I$89,3,0)*0.475*44/12</f>
        <v>2.9346759556286562E-2</v>
      </c>
      <c r="AC203" s="22">
        <f t="shared" si="163"/>
        <v>126.16755564128688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6.7984728957526396E-14</v>
      </c>
      <c r="AK203" s="13">
        <f t="shared" si="164"/>
        <v>1.0682447123141398E-12</v>
      </c>
      <c r="AL203" s="20">
        <f t="shared" si="165"/>
        <v>1.978932943548152E-12</v>
      </c>
      <c r="AM203" s="59">
        <f t="shared" si="193"/>
        <v>293.3333333333353</v>
      </c>
      <c r="AN203" s="59">
        <f ca="1">AVERAGE(OFFSET($AM$3,0,0,'Données projet'!$E$10+1,1))-AVERAGE(OFFSET($H$3,0,0,'Données projet'!$E$10+1,1))</f>
        <v>213.90220310357444</v>
      </c>
      <c r="AO203" s="59">
        <f t="shared" si="205"/>
        <v>209.61422409790703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8.6793193074665069</v>
      </c>
      <c r="AV203" s="21">
        <f>EXP(-LN(2)/25)*AV202+(1-EXP(-LN(2)/25))/(LN(2)/25)*Calculateur!AQ203*Calculateur!AS203*VLOOKUP('Données projet'!$B$10,Paramètres!$A$1:$I$89,3,0)*0.475*44/12</f>
        <v>0.99871322486465663</v>
      </c>
      <c r="AW203" s="21">
        <f>EXP(-LN(2)/2)*AW202+(1-EXP(-LN(2)/2))/(LN(2)/2)*AQ203*AT203*VLOOKUP('Données projet'!$B$10,Paramètres!$A$1:$I$89,3,0)*0.475*44/12</f>
        <v>5.0789317636285325E-20</v>
      </c>
      <c r="AX203" s="21">
        <f t="shared" si="166"/>
        <v>9.678032532331164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104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104</v>
      </c>
      <c r="BA204" s="80" t="s">
        <v>104</v>
      </c>
      <c r="BV204" s="80" t="s">
        <v>104</v>
      </c>
      <c r="CQ204" s="80" t="s">
        <v>104</v>
      </c>
      <c r="DL204" s="80" t="s">
        <v>104</v>
      </c>
      <c r="EG204" s="80" t="s">
        <v>104</v>
      </c>
      <c r="FB204" s="80" t="s">
        <v>104</v>
      </c>
      <c r="FW204" s="80" t="s">
        <v>104</v>
      </c>
      <c r="GR204" s="80" t="s">
        <v>104</v>
      </c>
    </row>
    <row r="205" spans="1:218" ht="14.65" thickBot="1" x14ac:dyDescent="0.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1.1303799945549604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1.3275965341357465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796875" style="4" bestFit="1" customWidth="1"/>
    <col min="3" max="3" width="11.796875" style="4" bestFit="1" customWidth="1"/>
    <col min="4" max="4" width="40" style="4" bestFit="1" customWidth="1"/>
    <col min="5" max="5" width="11.796875" style="4" bestFit="1" customWidth="1"/>
    <col min="6" max="6" width="13.796875" style="4" bestFit="1" customWidth="1"/>
    <col min="7" max="7" width="11.46484375" style="4" bestFit="1" customWidth="1"/>
    <col min="8" max="8" width="39" style="4" bestFit="1" customWidth="1"/>
    <col min="9" max="9" width="16.79687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0" t="s">
        <v>105</v>
      </c>
      <c r="B1" s="111" t="s">
        <v>106</v>
      </c>
      <c r="C1" s="112" t="s">
        <v>107</v>
      </c>
      <c r="D1" s="111" t="s">
        <v>108</v>
      </c>
      <c r="E1" s="112" t="s">
        <v>109</v>
      </c>
      <c r="F1" s="112" t="s">
        <v>108</v>
      </c>
      <c r="G1" s="112" t="s">
        <v>110</v>
      </c>
      <c r="H1" s="112" t="s">
        <v>108</v>
      </c>
      <c r="I1" s="113" t="s">
        <v>111</v>
      </c>
      <c r="J1" s="77"/>
      <c r="K1" s="77"/>
      <c r="L1" s="77"/>
      <c r="M1" s="77"/>
      <c r="N1" s="77"/>
    </row>
    <row r="2" spans="1:16" x14ac:dyDescent="0.45">
      <c r="A2" s="114" t="s">
        <v>112</v>
      </c>
      <c r="B2" s="115" t="s">
        <v>113</v>
      </c>
      <c r="C2" s="116">
        <v>0.62</v>
      </c>
      <c r="D2" s="116" t="s">
        <v>114</v>
      </c>
      <c r="E2" s="116">
        <v>1.56</v>
      </c>
      <c r="F2" s="116" t="s">
        <v>115</v>
      </c>
      <c r="G2" s="117">
        <v>0.43</v>
      </c>
      <c r="H2" s="118" t="s">
        <v>116</v>
      </c>
      <c r="I2" s="119">
        <v>0.25</v>
      </c>
      <c r="J2" s="77"/>
      <c r="K2" s="77"/>
      <c r="L2" s="77"/>
      <c r="M2" s="77"/>
      <c r="N2" s="77"/>
      <c r="O2" s="285" t="s">
        <v>117</v>
      </c>
      <c r="P2" s="120">
        <v>0</v>
      </c>
    </row>
    <row r="3" spans="1:16" ht="14.65" thickBot="1" x14ac:dyDescent="0.5">
      <c r="A3" s="121" t="s">
        <v>118</v>
      </c>
      <c r="B3" s="122" t="s">
        <v>119</v>
      </c>
      <c r="C3" s="123">
        <v>0.64</v>
      </c>
      <c r="D3" s="123" t="s">
        <v>114</v>
      </c>
      <c r="E3" s="123">
        <v>1.56</v>
      </c>
      <c r="F3" s="124" t="s">
        <v>115</v>
      </c>
      <c r="G3" s="125">
        <v>0.43</v>
      </c>
      <c r="H3" s="123" t="s">
        <v>116</v>
      </c>
      <c r="I3" s="126">
        <v>0.25</v>
      </c>
      <c r="J3" s="77"/>
      <c r="K3" s="77"/>
      <c r="L3" s="77"/>
      <c r="M3" s="77"/>
      <c r="N3" s="77"/>
      <c r="O3" s="286"/>
      <c r="P3" s="127">
        <v>0.2</v>
      </c>
    </row>
    <row r="4" spans="1:16" ht="14.65" thickBot="1" x14ac:dyDescent="0.5">
      <c r="A4" s="121" t="s">
        <v>120</v>
      </c>
      <c r="B4" s="122" t="s">
        <v>121</v>
      </c>
      <c r="C4" s="123">
        <v>0.42</v>
      </c>
      <c r="D4" s="123" t="s">
        <v>114</v>
      </c>
      <c r="E4" s="123">
        <v>1.56</v>
      </c>
      <c r="F4" s="124" t="s">
        <v>115</v>
      </c>
      <c r="G4" s="125">
        <v>0.43</v>
      </c>
      <c r="H4" s="123" t="s">
        <v>116</v>
      </c>
      <c r="I4" s="126">
        <v>0.25</v>
      </c>
      <c r="J4" s="77"/>
      <c r="K4" s="77"/>
      <c r="L4" s="77"/>
      <c r="M4" s="77"/>
      <c r="N4" s="77"/>
    </row>
    <row r="5" spans="1:16" x14ac:dyDescent="0.45">
      <c r="A5" s="121" t="s">
        <v>122</v>
      </c>
      <c r="B5" s="122" t="s">
        <v>123</v>
      </c>
      <c r="C5" s="123">
        <v>0.42</v>
      </c>
      <c r="D5" s="123" t="s">
        <v>114</v>
      </c>
      <c r="E5" s="123">
        <v>1.56</v>
      </c>
      <c r="F5" s="124" t="s">
        <v>115</v>
      </c>
      <c r="G5" s="125">
        <v>0.43</v>
      </c>
      <c r="H5" s="123" t="s">
        <v>116</v>
      </c>
      <c r="I5" s="126">
        <v>0.25</v>
      </c>
      <c r="J5" s="77"/>
      <c r="K5" s="77"/>
      <c r="L5" s="77"/>
      <c r="M5" s="77"/>
      <c r="N5" s="77"/>
      <c r="O5" s="285" t="s">
        <v>124</v>
      </c>
      <c r="P5" s="120">
        <v>0</v>
      </c>
    </row>
    <row r="6" spans="1:16" x14ac:dyDescent="0.45">
      <c r="A6" s="121" t="s">
        <v>125</v>
      </c>
      <c r="B6" s="122" t="s">
        <v>126</v>
      </c>
      <c r="C6" s="123">
        <v>0.42</v>
      </c>
      <c r="D6" s="123" t="s">
        <v>114</v>
      </c>
      <c r="E6" s="123">
        <v>1.56</v>
      </c>
      <c r="F6" s="124" t="s">
        <v>115</v>
      </c>
      <c r="G6" s="125">
        <v>0.43</v>
      </c>
      <c r="H6" s="123" t="s">
        <v>116</v>
      </c>
      <c r="I6" s="126">
        <v>0.25</v>
      </c>
      <c r="J6" s="77"/>
      <c r="K6" s="77"/>
      <c r="L6" s="77"/>
      <c r="M6" s="77"/>
      <c r="N6" s="77"/>
      <c r="O6" s="287"/>
      <c r="P6" s="128">
        <v>0.05</v>
      </c>
    </row>
    <row r="7" spans="1:16" x14ac:dyDescent="0.45">
      <c r="A7" s="121" t="s">
        <v>127</v>
      </c>
      <c r="B7" s="122" t="s">
        <v>128</v>
      </c>
      <c r="C7" s="123">
        <v>0.52</v>
      </c>
      <c r="D7" s="123" t="s">
        <v>114</v>
      </c>
      <c r="E7" s="123">
        <v>1.56</v>
      </c>
      <c r="F7" s="124" t="s">
        <v>115</v>
      </c>
      <c r="G7" s="125">
        <v>0.43</v>
      </c>
      <c r="H7" s="123" t="s">
        <v>116</v>
      </c>
      <c r="I7" s="126">
        <v>0.25</v>
      </c>
      <c r="J7" s="77"/>
      <c r="K7" s="77"/>
      <c r="L7" s="77"/>
      <c r="M7" s="77"/>
      <c r="N7" s="77"/>
      <c r="O7" s="287"/>
      <c r="P7" s="128">
        <v>0.1</v>
      </c>
    </row>
    <row r="8" spans="1:16" ht="14.65" thickBot="1" x14ac:dyDescent="0.5">
      <c r="A8" s="121" t="s">
        <v>129</v>
      </c>
      <c r="B8" s="122" t="s">
        <v>130</v>
      </c>
      <c r="C8" s="123">
        <v>0.36</v>
      </c>
      <c r="D8" s="123" t="s">
        <v>114</v>
      </c>
      <c r="E8" s="123">
        <v>1.3</v>
      </c>
      <c r="F8" s="124" t="s">
        <v>115</v>
      </c>
      <c r="G8" s="125">
        <v>0.55000000000000004</v>
      </c>
      <c r="H8" s="123" t="s">
        <v>131</v>
      </c>
      <c r="I8" s="126">
        <v>0.43</v>
      </c>
      <c r="J8" s="77"/>
      <c r="K8" s="77"/>
      <c r="L8" s="77"/>
      <c r="M8" s="77"/>
      <c r="N8" s="77"/>
      <c r="O8" s="286"/>
      <c r="P8" s="127">
        <v>0.15</v>
      </c>
    </row>
    <row r="9" spans="1:16" ht="14.65" thickBot="1" x14ac:dyDescent="0.5">
      <c r="A9" s="121" t="s">
        <v>21</v>
      </c>
      <c r="B9" s="122" t="s">
        <v>132</v>
      </c>
      <c r="C9" s="123">
        <v>0.61</v>
      </c>
      <c r="D9" s="123" t="s">
        <v>114</v>
      </c>
      <c r="E9" s="123">
        <v>1.56</v>
      </c>
      <c r="F9" s="124" t="s">
        <v>115</v>
      </c>
      <c r="G9" s="125">
        <v>0.43</v>
      </c>
      <c r="H9" s="123" t="s">
        <v>116</v>
      </c>
      <c r="I9" s="126">
        <v>0.25</v>
      </c>
      <c r="J9" s="77"/>
      <c r="K9" s="77"/>
      <c r="L9" s="77"/>
      <c r="M9" s="77"/>
      <c r="N9" s="77"/>
    </row>
    <row r="10" spans="1:16" x14ac:dyDescent="0.45">
      <c r="A10" s="121" t="s">
        <v>133</v>
      </c>
      <c r="B10" s="122" t="s">
        <v>134</v>
      </c>
      <c r="C10" s="123">
        <v>0.66</v>
      </c>
      <c r="D10" s="123" t="s">
        <v>114</v>
      </c>
      <c r="E10" s="123">
        <v>1.56</v>
      </c>
      <c r="F10" s="124" t="s">
        <v>115</v>
      </c>
      <c r="G10" s="125">
        <v>0.43</v>
      </c>
      <c r="H10" s="123" t="s">
        <v>116</v>
      </c>
      <c r="I10" s="126">
        <v>0.25</v>
      </c>
      <c r="J10" s="77"/>
      <c r="K10" s="77"/>
      <c r="L10" s="77"/>
      <c r="M10" s="77"/>
      <c r="N10" s="77"/>
      <c r="O10" s="285" t="s">
        <v>135</v>
      </c>
      <c r="P10" s="120">
        <v>0</v>
      </c>
    </row>
    <row r="11" spans="1:16" ht="14.65" thickBot="1" x14ac:dyDescent="0.5">
      <c r="A11" s="121" t="s">
        <v>136</v>
      </c>
      <c r="B11" s="122" t="s">
        <v>137</v>
      </c>
      <c r="C11" s="123">
        <v>0.47</v>
      </c>
      <c r="D11" s="123" t="s">
        <v>114</v>
      </c>
      <c r="E11" s="123">
        <v>1.56</v>
      </c>
      <c r="F11" s="124" t="s">
        <v>115</v>
      </c>
      <c r="G11" s="125">
        <v>0.43</v>
      </c>
      <c r="H11" s="123" t="s">
        <v>116</v>
      </c>
      <c r="I11" s="126">
        <v>0.25</v>
      </c>
      <c r="J11" s="77"/>
      <c r="K11" s="77"/>
      <c r="L11" s="77"/>
      <c r="M11" s="77"/>
      <c r="N11" s="77"/>
      <c r="O11" s="286"/>
      <c r="P11" s="127">
        <v>0.1</v>
      </c>
    </row>
    <row r="12" spans="1:16" x14ac:dyDescent="0.45">
      <c r="A12" s="121" t="s">
        <v>138</v>
      </c>
      <c r="B12" s="122" t="s">
        <v>139</v>
      </c>
      <c r="C12" s="123">
        <v>0.67</v>
      </c>
      <c r="D12" s="123" t="s">
        <v>114</v>
      </c>
      <c r="E12" s="123">
        <v>1.56</v>
      </c>
      <c r="F12" s="124" t="s">
        <v>115</v>
      </c>
      <c r="G12" s="125">
        <v>0.43</v>
      </c>
      <c r="H12" s="123" t="s">
        <v>140</v>
      </c>
      <c r="I12" s="126">
        <v>0.25</v>
      </c>
      <c r="J12" s="77"/>
      <c r="K12" s="77"/>
      <c r="L12" s="77"/>
      <c r="M12" s="77"/>
      <c r="N12" s="77"/>
    </row>
    <row r="13" spans="1:16" x14ac:dyDescent="0.45">
      <c r="A13" s="121" t="s">
        <v>141</v>
      </c>
      <c r="B13" s="122" t="s">
        <v>142</v>
      </c>
      <c r="C13" s="123">
        <v>0.7</v>
      </c>
      <c r="D13" s="123" t="s">
        <v>114</v>
      </c>
      <c r="E13" s="123">
        <v>1.56</v>
      </c>
      <c r="F13" s="124" t="s">
        <v>115</v>
      </c>
      <c r="G13" s="125">
        <v>0.43</v>
      </c>
      <c r="H13" s="123" t="s">
        <v>140</v>
      </c>
      <c r="I13" s="126">
        <v>0.25</v>
      </c>
      <c r="J13" s="77"/>
      <c r="K13" s="77"/>
      <c r="L13" s="77"/>
      <c r="M13" s="77"/>
      <c r="N13" s="77"/>
    </row>
    <row r="14" spans="1:16" x14ac:dyDescent="0.45">
      <c r="A14" s="121" t="s">
        <v>143</v>
      </c>
      <c r="B14" s="122" t="s">
        <v>144</v>
      </c>
      <c r="C14" s="123">
        <v>0.54</v>
      </c>
      <c r="D14" s="123" t="s">
        <v>114</v>
      </c>
      <c r="E14" s="123">
        <v>1.56</v>
      </c>
      <c r="F14" s="124" t="s">
        <v>115</v>
      </c>
      <c r="G14" s="125">
        <v>0.43</v>
      </c>
      <c r="H14" s="123" t="s">
        <v>140</v>
      </c>
      <c r="I14" s="126">
        <v>0.25</v>
      </c>
      <c r="J14" s="77"/>
      <c r="K14" s="77"/>
      <c r="L14" s="77"/>
      <c r="M14" s="77"/>
      <c r="N14" s="77"/>
    </row>
    <row r="15" spans="1:16" x14ac:dyDescent="0.45">
      <c r="A15" s="121" t="s">
        <v>145</v>
      </c>
      <c r="B15" s="122" t="s">
        <v>146</v>
      </c>
      <c r="C15" s="123">
        <v>0.65</v>
      </c>
      <c r="D15" s="123" t="s">
        <v>114</v>
      </c>
      <c r="E15" s="123">
        <v>1.56</v>
      </c>
      <c r="F15" s="124" t="s">
        <v>115</v>
      </c>
      <c r="G15" s="125">
        <v>0.43</v>
      </c>
      <c r="H15" s="123" t="s">
        <v>140</v>
      </c>
      <c r="I15" s="126">
        <v>0.25</v>
      </c>
      <c r="J15" s="77"/>
      <c r="K15" s="77"/>
      <c r="L15" s="77"/>
      <c r="M15" s="77"/>
      <c r="N15" s="77"/>
    </row>
    <row r="16" spans="1:16" x14ac:dyDescent="0.45">
      <c r="A16" s="121" t="s">
        <v>29</v>
      </c>
      <c r="B16" s="122" t="s">
        <v>147</v>
      </c>
      <c r="C16" s="123">
        <v>0.56000000000000005</v>
      </c>
      <c r="D16" s="123" t="s">
        <v>114</v>
      </c>
      <c r="E16" s="123">
        <v>1.56</v>
      </c>
      <c r="F16" s="124" t="s">
        <v>115</v>
      </c>
      <c r="G16" s="125">
        <v>0.43</v>
      </c>
      <c r="H16" s="123" t="s">
        <v>140</v>
      </c>
      <c r="I16" s="126">
        <v>0.25</v>
      </c>
      <c r="J16" s="77"/>
      <c r="K16" s="77"/>
      <c r="L16" s="77"/>
      <c r="M16" s="77"/>
      <c r="N16" s="77"/>
    </row>
    <row r="17" spans="1:14" x14ac:dyDescent="0.45">
      <c r="A17" s="121" t="s">
        <v>16</v>
      </c>
      <c r="B17" s="122" t="s">
        <v>148</v>
      </c>
      <c r="C17" s="123">
        <v>0.57999999999999996</v>
      </c>
      <c r="D17" s="123" t="s">
        <v>114</v>
      </c>
      <c r="E17" s="123">
        <v>1.56</v>
      </c>
      <c r="F17" s="124" t="s">
        <v>115</v>
      </c>
      <c r="G17" s="125">
        <v>0.43</v>
      </c>
      <c r="H17" s="123" t="s">
        <v>140</v>
      </c>
      <c r="I17" s="126">
        <v>0.25</v>
      </c>
      <c r="J17" s="77"/>
      <c r="K17" s="77"/>
      <c r="L17" s="77"/>
      <c r="M17" s="77"/>
      <c r="N17" s="77"/>
    </row>
    <row r="18" spans="1:14" x14ac:dyDescent="0.45">
      <c r="A18" s="121" t="s">
        <v>149</v>
      </c>
      <c r="B18" s="122" t="s">
        <v>150</v>
      </c>
      <c r="C18" s="123">
        <v>0.64</v>
      </c>
      <c r="D18" s="123" t="s">
        <v>114</v>
      </c>
      <c r="E18" s="123">
        <v>1.56</v>
      </c>
      <c r="F18" s="124" t="s">
        <v>115</v>
      </c>
      <c r="G18" s="125">
        <v>0.43</v>
      </c>
      <c r="H18" s="123" t="s">
        <v>140</v>
      </c>
      <c r="I18" s="126">
        <v>0.25</v>
      </c>
      <c r="J18" s="77"/>
      <c r="K18" s="77"/>
      <c r="L18" s="77"/>
      <c r="M18" s="77"/>
      <c r="N18" s="77"/>
    </row>
    <row r="19" spans="1:14" x14ac:dyDescent="0.45">
      <c r="A19" s="121" t="s">
        <v>151</v>
      </c>
      <c r="B19" s="122" t="s">
        <v>152</v>
      </c>
      <c r="C19" s="123">
        <v>0.73</v>
      </c>
      <c r="D19" s="123" t="s">
        <v>114</v>
      </c>
      <c r="E19" s="123">
        <v>1.56</v>
      </c>
      <c r="F19" s="124" t="s">
        <v>115</v>
      </c>
      <c r="G19" s="125">
        <v>0.43</v>
      </c>
      <c r="H19" s="123" t="s">
        <v>140</v>
      </c>
      <c r="I19" s="126">
        <v>0.25</v>
      </c>
      <c r="J19" s="77"/>
      <c r="K19" s="77"/>
      <c r="L19" s="77"/>
      <c r="M19" s="77"/>
      <c r="N19" s="77"/>
    </row>
    <row r="20" spans="1:14" x14ac:dyDescent="0.45">
      <c r="A20" s="121" t="s">
        <v>153</v>
      </c>
      <c r="B20" s="122" t="s">
        <v>154</v>
      </c>
      <c r="C20" s="123">
        <v>0.69</v>
      </c>
      <c r="D20" s="123" t="s">
        <v>155</v>
      </c>
      <c r="E20" s="123">
        <v>1.56</v>
      </c>
      <c r="F20" s="124" t="s">
        <v>115</v>
      </c>
      <c r="G20" s="125">
        <v>0.43</v>
      </c>
      <c r="H20" s="123" t="s">
        <v>156</v>
      </c>
      <c r="I20" s="126">
        <v>0.25</v>
      </c>
      <c r="J20" s="77"/>
      <c r="K20" s="77"/>
      <c r="L20" s="77"/>
      <c r="M20" s="77"/>
      <c r="N20" s="77"/>
    </row>
    <row r="21" spans="1:14" x14ac:dyDescent="0.45">
      <c r="A21" s="121" t="s">
        <v>157</v>
      </c>
      <c r="B21" s="122" t="s">
        <v>158</v>
      </c>
      <c r="C21" s="123">
        <v>0.36</v>
      </c>
      <c r="D21" s="123" t="s">
        <v>114</v>
      </c>
      <c r="E21" s="123">
        <v>1.3</v>
      </c>
      <c r="F21" s="124" t="s">
        <v>115</v>
      </c>
      <c r="G21" s="125">
        <v>0.55000000000000004</v>
      </c>
      <c r="H21" s="123" t="s">
        <v>131</v>
      </c>
      <c r="I21" s="126">
        <v>0.43</v>
      </c>
      <c r="J21" s="77"/>
      <c r="K21" s="77"/>
      <c r="L21" s="77"/>
      <c r="M21" s="77"/>
      <c r="N21" s="77"/>
    </row>
    <row r="22" spans="1:14" x14ac:dyDescent="0.45">
      <c r="A22" s="121" t="s">
        <v>159</v>
      </c>
      <c r="B22" s="122" t="s">
        <v>160</v>
      </c>
      <c r="C22" s="123">
        <v>0.4</v>
      </c>
      <c r="D22" s="123" t="s">
        <v>114</v>
      </c>
      <c r="E22" s="123">
        <v>1.3</v>
      </c>
      <c r="F22" s="124" t="s">
        <v>115</v>
      </c>
      <c r="G22" s="125">
        <v>0.55000000000000004</v>
      </c>
      <c r="H22" s="123" t="s">
        <v>131</v>
      </c>
      <c r="I22" s="126">
        <v>0.43</v>
      </c>
      <c r="J22" s="77"/>
      <c r="K22" s="77"/>
      <c r="L22" s="77"/>
      <c r="M22" s="77"/>
      <c r="N22" s="77"/>
    </row>
    <row r="23" spans="1:14" x14ac:dyDescent="0.45">
      <c r="A23" s="121" t="s">
        <v>25</v>
      </c>
      <c r="B23" s="122" t="s">
        <v>161</v>
      </c>
      <c r="C23" s="123">
        <v>0.43</v>
      </c>
      <c r="D23" s="123" t="s">
        <v>114</v>
      </c>
      <c r="E23" s="123">
        <v>1.3</v>
      </c>
      <c r="F23" s="124" t="s">
        <v>115</v>
      </c>
      <c r="G23" s="125">
        <v>0.55000000000000004</v>
      </c>
      <c r="H23" s="123" t="s">
        <v>131</v>
      </c>
      <c r="I23" s="126">
        <v>0.43</v>
      </c>
      <c r="J23" s="77"/>
      <c r="K23" s="77"/>
      <c r="L23" s="77"/>
      <c r="M23" s="77"/>
      <c r="N23" s="77"/>
    </row>
    <row r="24" spans="1:14" x14ac:dyDescent="0.45">
      <c r="A24" s="121" t="s">
        <v>162</v>
      </c>
      <c r="B24" s="122" t="s">
        <v>163</v>
      </c>
      <c r="C24" s="123">
        <v>0.37</v>
      </c>
      <c r="D24" s="123" t="s">
        <v>114</v>
      </c>
      <c r="E24" s="123">
        <v>1.3</v>
      </c>
      <c r="F24" s="124" t="s">
        <v>115</v>
      </c>
      <c r="G24" s="125">
        <v>0.55000000000000004</v>
      </c>
      <c r="H24" s="123" t="s">
        <v>140</v>
      </c>
      <c r="I24" s="126">
        <v>0.43</v>
      </c>
      <c r="J24" s="77"/>
      <c r="K24" s="77"/>
      <c r="L24" s="77"/>
      <c r="M24" s="77"/>
      <c r="N24" s="77"/>
    </row>
    <row r="25" spans="1:14" x14ac:dyDescent="0.45">
      <c r="A25" s="121" t="s">
        <v>164</v>
      </c>
      <c r="B25" s="122" t="s">
        <v>165</v>
      </c>
      <c r="C25" s="123">
        <v>0.36</v>
      </c>
      <c r="D25" s="123" t="s">
        <v>114</v>
      </c>
      <c r="E25" s="123">
        <v>1.3</v>
      </c>
      <c r="F25" s="124" t="s">
        <v>115</v>
      </c>
      <c r="G25" s="125">
        <v>0.55000000000000004</v>
      </c>
      <c r="H25" s="123" t="s">
        <v>140</v>
      </c>
      <c r="I25" s="126">
        <v>0.43</v>
      </c>
      <c r="J25" s="77"/>
      <c r="K25" s="77"/>
      <c r="L25" s="77"/>
      <c r="M25" s="77"/>
      <c r="N25" s="77"/>
    </row>
    <row r="26" spans="1:14" x14ac:dyDescent="0.45">
      <c r="A26" s="121" t="s">
        <v>23</v>
      </c>
      <c r="B26" s="122" t="s">
        <v>166</v>
      </c>
      <c r="C26" s="123">
        <v>0.56000000000000005</v>
      </c>
      <c r="D26" s="123" t="s">
        <v>114</v>
      </c>
      <c r="E26" s="123">
        <v>1.56</v>
      </c>
      <c r="F26" s="124" t="s">
        <v>115</v>
      </c>
      <c r="G26" s="125">
        <v>0.53</v>
      </c>
      <c r="H26" s="123" t="s">
        <v>167</v>
      </c>
      <c r="I26" s="126">
        <v>0.25</v>
      </c>
      <c r="J26" s="77"/>
      <c r="K26" s="77"/>
      <c r="L26" s="77"/>
      <c r="M26" s="77"/>
      <c r="N26" s="77"/>
    </row>
    <row r="27" spans="1:14" x14ac:dyDescent="0.45">
      <c r="A27" s="121" t="s">
        <v>168</v>
      </c>
      <c r="B27" s="122" t="s">
        <v>169</v>
      </c>
      <c r="C27" s="123">
        <v>0.51</v>
      </c>
      <c r="D27" s="123" t="s">
        <v>114</v>
      </c>
      <c r="E27" s="123">
        <v>1.56</v>
      </c>
      <c r="F27" s="124" t="s">
        <v>115</v>
      </c>
      <c r="G27" s="125">
        <v>0.53</v>
      </c>
      <c r="H27" s="123" t="s">
        <v>167</v>
      </c>
      <c r="I27" s="126">
        <v>0.25</v>
      </c>
      <c r="J27" s="77"/>
      <c r="K27" s="77"/>
      <c r="L27" s="77"/>
      <c r="M27" s="77"/>
      <c r="N27" s="77"/>
    </row>
    <row r="28" spans="1:14" x14ac:dyDescent="0.45">
      <c r="A28" s="121" t="s">
        <v>170</v>
      </c>
      <c r="B28" s="122" t="s">
        <v>171</v>
      </c>
      <c r="C28" s="123">
        <v>0.51</v>
      </c>
      <c r="D28" s="123" t="s">
        <v>114</v>
      </c>
      <c r="E28" s="123">
        <v>1.56</v>
      </c>
      <c r="F28" s="124" t="s">
        <v>115</v>
      </c>
      <c r="G28" s="125">
        <v>0.53</v>
      </c>
      <c r="H28" s="123" t="s">
        <v>167</v>
      </c>
      <c r="I28" s="126">
        <v>0.25</v>
      </c>
      <c r="J28" s="77"/>
      <c r="K28" s="77"/>
      <c r="L28" s="77"/>
      <c r="M28" s="77"/>
      <c r="N28" s="77"/>
    </row>
    <row r="29" spans="1:14" x14ac:dyDescent="0.45">
      <c r="A29" s="121" t="s">
        <v>172</v>
      </c>
      <c r="B29" s="122" t="s">
        <v>172</v>
      </c>
      <c r="C29" s="123">
        <v>0.56000000000000005</v>
      </c>
      <c r="D29" s="123" t="s">
        <v>114</v>
      </c>
      <c r="E29" s="123">
        <v>1.56</v>
      </c>
      <c r="F29" s="124" t="s">
        <v>115</v>
      </c>
      <c r="G29" s="125">
        <v>0.53</v>
      </c>
      <c r="H29" s="123" t="s">
        <v>167</v>
      </c>
      <c r="I29" s="126">
        <v>0.25</v>
      </c>
      <c r="J29" s="77"/>
      <c r="K29" s="77"/>
      <c r="L29" s="77"/>
      <c r="M29" s="77"/>
      <c r="N29" s="77"/>
    </row>
    <row r="30" spans="1:14" x14ac:dyDescent="0.45">
      <c r="A30" s="121" t="s">
        <v>173</v>
      </c>
      <c r="B30" s="122" t="s">
        <v>174</v>
      </c>
      <c r="C30" s="123">
        <v>0.55000000000000004</v>
      </c>
      <c r="D30" s="123" t="s">
        <v>114</v>
      </c>
      <c r="E30" s="123">
        <v>1.56</v>
      </c>
      <c r="F30" s="124" t="s">
        <v>115</v>
      </c>
      <c r="G30" s="125">
        <v>0.53</v>
      </c>
      <c r="H30" s="123" t="s">
        <v>140</v>
      </c>
      <c r="I30" s="126">
        <v>0.25</v>
      </c>
      <c r="J30" s="77"/>
      <c r="K30" s="77"/>
      <c r="L30" s="77"/>
      <c r="M30" s="77"/>
      <c r="N30" s="77"/>
    </row>
    <row r="31" spans="1:14" x14ac:dyDescent="0.45">
      <c r="A31" s="121" t="s">
        <v>175</v>
      </c>
      <c r="B31" s="122" t="s">
        <v>176</v>
      </c>
      <c r="C31" s="123">
        <v>0.56000000000000005</v>
      </c>
      <c r="D31" s="123" t="s">
        <v>114</v>
      </c>
      <c r="E31" s="123">
        <v>1.56</v>
      </c>
      <c r="F31" s="124" t="s">
        <v>115</v>
      </c>
      <c r="G31" s="125">
        <v>0.43</v>
      </c>
      <c r="H31" s="123" t="s">
        <v>116</v>
      </c>
      <c r="I31" s="126">
        <v>0.25</v>
      </c>
      <c r="J31" s="77"/>
      <c r="K31" s="77"/>
      <c r="L31" s="77"/>
      <c r="M31" s="77"/>
      <c r="N31" s="77"/>
    </row>
    <row r="32" spans="1:14" x14ac:dyDescent="0.45">
      <c r="A32" s="121" t="s">
        <v>177</v>
      </c>
      <c r="B32" s="122" t="s">
        <v>178</v>
      </c>
      <c r="C32" s="123">
        <v>0.48</v>
      </c>
      <c r="D32" s="123" t="s">
        <v>114</v>
      </c>
      <c r="E32" s="123">
        <v>1.3</v>
      </c>
      <c r="F32" s="124" t="s">
        <v>115</v>
      </c>
      <c r="G32" s="125">
        <v>0.6</v>
      </c>
      <c r="H32" s="123" t="s">
        <v>179</v>
      </c>
      <c r="I32" s="126">
        <v>0.43</v>
      </c>
      <c r="J32" s="77"/>
      <c r="K32" s="77"/>
      <c r="L32" s="77"/>
      <c r="M32" s="77"/>
      <c r="N32" s="77"/>
    </row>
    <row r="33" spans="1:14" x14ac:dyDescent="0.45">
      <c r="A33" s="121" t="s">
        <v>180</v>
      </c>
      <c r="B33" s="122" t="s">
        <v>181</v>
      </c>
      <c r="C33" s="123">
        <v>0.42</v>
      </c>
      <c r="D33" s="123" t="s">
        <v>114</v>
      </c>
      <c r="E33" s="123">
        <v>1.3</v>
      </c>
      <c r="F33" s="124" t="s">
        <v>115</v>
      </c>
      <c r="G33" s="125">
        <v>0.6</v>
      </c>
      <c r="H33" s="123" t="s">
        <v>179</v>
      </c>
      <c r="I33" s="126">
        <v>0.43</v>
      </c>
      <c r="J33" s="77"/>
      <c r="K33" s="77"/>
      <c r="L33" s="77"/>
      <c r="M33" s="77"/>
      <c r="N33" s="77"/>
    </row>
    <row r="34" spans="1:14" x14ac:dyDescent="0.45">
      <c r="A34" s="121" t="s">
        <v>182</v>
      </c>
      <c r="B34" s="122" t="s">
        <v>183</v>
      </c>
      <c r="C34" s="123">
        <v>0.42</v>
      </c>
      <c r="D34" s="123" t="s">
        <v>184</v>
      </c>
      <c r="E34" s="123">
        <v>1.3</v>
      </c>
      <c r="F34" s="124" t="s">
        <v>115</v>
      </c>
      <c r="G34" s="125">
        <v>0.6</v>
      </c>
      <c r="H34" s="122" t="s">
        <v>185</v>
      </c>
      <c r="I34" s="126">
        <v>0.43</v>
      </c>
      <c r="J34" s="77"/>
      <c r="K34" s="77"/>
      <c r="L34" s="77"/>
      <c r="M34" s="77"/>
      <c r="N34" s="77"/>
    </row>
    <row r="35" spans="1:14" x14ac:dyDescent="0.45">
      <c r="A35" s="121" t="s">
        <v>27</v>
      </c>
      <c r="B35" s="122" t="s">
        <v>186</v>
      </c>
      <c r="C35" s="123">
        <v>0.5</v>
      </c>
      <c r="D35" s="123" t="s">
        <v>114</v>
      </c>
      <c r="E35" s="123">
        <v>1.56</v>
      </c>
      <c r="F35" s="124" t="s">
        <v>115</v>
      </c>
      <c r="G35" s="125">
        <v>0.43</v>
      </c>
      <c r="H35" s="123" t="s">
        <v>116</v>
      </c>
      <c r="I35" s="126">
        <v>0.25</v>
      </c>
      <c r="J35" s="77"/>
      <c r="K35" s="77"/>
      <c r="L35" s="77"/>
      <c r="M35" s="77"/>
      <c r="N35" s="77"/>
    </row>
    <row r="36" spans="1:14" x14ac:dyDescent="0.45">
      <c r="A36" s="121" t="s">
        <v>187</v>
      </c>
      <c r="B36" s="122" t="s">
        <v>188</v>
      </c>
      <c r="C36" s="123">
        <v>0.55000000000000004</v>
      </c>
      <c r="D36" s="123" t="s">
        <v>114</v>
      </c>
      <c r="E36" s="123">
        <v>1.56</v>
      </c>
      <c r="F36" s="124" t="s">
        <v>115</v>
      </c>
      <c r="G36" s="125">
        <v>0.53</v>
      </c>
      <c r="H36" s="123" t="s">
        <v>167</v>
      </c>
      <c r="I36" s="126">
        <v>0.25</v>
      </c>
      <c r="J36" s="77"/>
      <c r="K36" s="77"/>
      <c r="L36" s="77"/>
      <c r="M36" s="77"/>
      <c r="N36" s="77"/>
    </row>
    <row r="37" spans="1:14" x14ac:dyDescent="0.45">
      <c r="A37" s="121" t="s">
        <v>189</v>
      </c>
      <c r="B37" s="122" t="s">
        <v>190</v>
      </c>
      <c r="C37" s="123">
        <v>0.52</v>
      </c>
      <c r="D37" s="123" t="s">
        <v>114</v>
      </c>
      <c r="E37" s="123">
        <v>1.56</v>
      </c>
      <c r="F37" s="124" t="s">
        <v>115</v>
      </c>
      <c r="G37" s="125">
        <v>0.53</v>
      </c>
      <c r="H37" s="123" t="s">
        <v>167</v>
      </c>
      <c r="I37" s="126">
        <v>0.25</v>
      </c>
      <c r="J37" s="77"/>
      <c r="K37" s="77"/>
      <c r="L37" s="77"/>
      <c r="M37" s="77"/>
      <c r="N37" s="77"/>
    </row>
    <row r="38" spans="1:14" x14ac:dyDescent="0.45">
      <c r="A38" s="121" t="s">
        <v>191</v>
      </c>
      <c r="B38" s="122" t="s">
        <v>192</v>
      </c>
      <c r="C38" s="123">
        <v>0.52</v>
      </c>
      <c r="D38" s="123" t="s">
        <v>114</v>
      </c>
      <c r="E38" s="123">
        <v>1.56</v>
      </c>
      <c r="F38" s="124" t="s">
        <v>115</v>
      </c>
      <c r="G38" s="125">
        <v>0.43</v>
      </c>
      <c r="H38" s="123" t="s">
        <v>116</v>
      </c>
      <c r="I38" s="126">
        <v>0.25</v>
      </c>
      <c r="J38" s="77"/>
      <c r="K38" s="77"/>
      <c r="L38" s="77"/>
      <c r="M38" s="77"/>
      <c r="N38" s="77"/>
    </row>
    <row r="39" spans="1:14" x14ac:dyDescent="0.45">
      <c r="A39" s="121" t="s">
        <v>193</v>
      </c>
      <c r="B39" s="122" t="s">
        <v>194</v>
      </c>
      <c r="C39" s="123">
        <v>0.313</v>
      </c>
      <c r="D39" s="123" t="s">
        <v>195</v>
      </c>
      <c r="E39" s="123">
        <v>1.56</v>
      </c>
      <c r="F39" s="124" t="s">
        <v>115</v>
      </c>
      <c r="G39" s="125">
        <v>0.6</v>
      </c>
      <c r="H39" s="123" t="s">
        <v>196</v>
      </c>
      <c r="I39" s="126">
        <v>1.03</v>
      </c>
      <c r="J39" s="77"/>
      <c r="K39" s="77"/>
      <c r="L39" s="77"/>
      <c r="M39" s="77"/>
      <c r="N39" s="77"/>
    </row>
    <row r="40" spans="1:14" x14ac:dyDescent="0.45">
      <c r="A40" s="121" t="s">
        <v>197</v>
      </c>
      <c r="B40" s="122" t="s">
        <v>194</v>
      </c>
      <c r="C40" s="123">
        <v>0.35199999999999998</v>
      </c>
      <c r="D40" s="123" t="s">
        <v>195</v>
      </c>
      <c r="E40" s="123">
        <v>1.56</v>
      </c>
      <c r="F40" s="124" t="s">
        <v>115</v>
      </c>
      <c r="G40" s="125">
        <v>0.6</v>
      </c>
      <c r="H40" s="123" t="s">
        <v>196</v>
      </c>
      <c r="I40" s="126">
        <v>1.03</v>
      </c>
      <c r="J40" s="77"/>
      <c r="K40" s="77"/>
      <c r="L40" s="77"/>
      <c r="M40" s="77"/>
      <c r="N40" s="77"/>
    </row>
    <row r="41" spans="1:14" x14ac:dyDescent="0.45">
      <c r="A41" s="121" t="s">
        <v>198</v>
      </c>
      <c r="B41" s="122" t="s">
        <v>194</v>
      </c>
      <c r="C41" s="123">
        <v>0.32200000000000001</v>
      </c>
      <c r="D41" s="123" t="s">
        <v>195</v>
      </c>
      <c r="E41" s="123">
        <v>1.56</v>
      </c>
      <c r="F41" s="124" t="s">
        <v>115</v>
      </c>
      <c r="G41" s="125">
        <v>0.6</v>
      </c>
      <c r="H41" s="123" t="s">
        <v>196</v>
      </c>
      <c r="I41" s="126">
        <v>1.03</v>
      </c>
      <c r="J41" s="77"/>
      <c r="K41" s="77"/>
      <c r="L41" s="77"/>
      <c r="M41" s="77"/>
      <c r="N41" s="77"/>
    </row>
    <row r="42" spans="1:14" x14ac:dyDescent="0.45">
      <c r="A42" s="121" t="s">
        <v>199</v>
      </c>
      <c r="B42" s="122" t="s">
        <v>194</v>
      </c>
      <c r="C42" s="123">
        <v>0.311</v>
      </c>
      <c r="D42" s="123" t="s">
        <v>195</v>
      </c>
      <c r="E42" s="123">
        <v>1.56</v>
      </c>
      <c r="F42" s="124" t="s">
        <v>115</v>
      </c>
      <c r="G42" s="125">
        <v>0.6</v>
      </c>
      <c r="H42" s="123" t="s">
        <v>196</v>
      </c>
      <c r="I42" s="126">
        <v>1.03</v>
      </c>
      <c r="J42" s="77"/>
      <c r="K42" s="77"/>
      <c r="L42" s="77"/>
      <c r="M42" s="77"/>
      <c r="N42" s="77"/>
    </row>
    <row r="43" spans="1:14" x14ac:dyDescent="0.45">
      <c r="A43" s="121" t="s">
        <v>200</v>
      </c>
      <c r="B43" s="122" t="s">
        <v>194</v>
      </c>
      <c r="C43" s="123">
        <v>0.33900000000000002</v>
      </c>
      <c r="D43" s="123" t="s">
        <v>195</v>
      </c>
      <c r="E43" s="123">
        <v>1.56</v>
      </c>
      <c r="F43" s="124" t="s">
        <v>115</v>
      </c>
      <c r="G43" s="125">
        <v>0.6</v>
      </c>
      <c r="H43" s="123" t="s">
        <v>196</v>
      </c>
      <c r="I43" s="126">
        <v>1.03</v>
      </c>
      <c r="J43" s="77"/>
      <c r="K43" s="77"/>
      <c r="L43" s="77"/>
      <c r="M43" s="77"/>
      <c r="N43" s="77"/>
    </row>
    <row r="44" spans="1:14" x14ac:dyDescent="0.45">
      <c r="A44" s="121" t="s">
        <v>201</v>
      </c>
      <c r="B44" s="122" t="s">
        <v>194</v>
      </c>
      <c r="C44" s="123">
        <v>0.33600000000000002</v>
      </c>
      <c r="D44" s="123" t="s">
        <v>195</v>
      </c>
      <c r="E44" s="123">
        <v>1.56</v>
      </c>
      <c r="F44" s="124" t="s">
        <v>115</v>
      </c>
      <c r="G44" s="125">
        <v>0.6</v>
      </c>
      <c r="H44" s="123" t="s">
        <v>196</v>
      </c>
      <c r="I44" s="126">
        <v>1.03</v>
      </c>
      <c r="J44" s="77"/>
      <c r="K44" s="77"/>
      <c r="L44" s="77"/>
      <c r="M44" s="77"/>
      <c r="N44" s="77"/>
    </row>
    <row r="45" spans="1:14" x14ac:dyDescent="0.45">
      <c r="A45" s="121" t="s">
        <v>202</v>
      </c>
      <c r="B45" s="122" t="s">
        <v>194</v>
      </c>
      <c r="C45" s="123">
        <v>0.32900000000000001</v>
      </c>
      <c r="D45" s="123" t="s">
        <v>195</v>
      </c>
      <c r="E45" s="123">
        <v>1.56</v>
      </c>
      <c r="F45" s="124" t="s">
        <v>115</v>
      </c>
      <c r="G45" s="125">
        <v>0.6</v>
      </c>
      <c r="H45" s="123" t="s">
        <v>196</v>
      </c>
      <c r="I45" s="126">
        <v>1.03</v>
      </c>
      <c r="J45" s="77"/>
      <c r="K45" s="77"/>
      <c r="L45" s="77"/>
      <c r="M45" s="77"/>
      <c r="N45" s="77"/>
    </row>
    <row r="46" spans="1:14" x14ac:dyDescent="0.45">
      <c r="A46" s="121" t="s">
        <v>203</v>
      </c>
      <c r="B46" s="122" t="s">
        <v>194</v>
      </c>
      <c r="C46" s="123">
        <v>0.34300000000000003</v>
      </c>
      <c r="D46" s="123" t="s">
        <v>195</v>
      </c>
      <c r="E46" s="123">
        <v>1.56</v>
      </c>
      <c r="F46" s="124" t="s">
        <v>115</v>
      </c>
      <c r="G46" s="125">
        <v>0.6</v>
      </c>
      <c r="H46" s="123" t="s">
        <v>196</v>
      </c>
      <c r="I46" s="126">
        <v>1.03</v>
      </c>
      <c r="J46" s="77"/>
      <c r="K46" s="77"/>
      <c r="L46" s="77"/>
      <c r="M46" s="77"/>
      <c r="N46" s="77"/>
    </row>
    <row r="47" spans="1:14" x14ac:dyDescent="0.45">
      <c r="A47" s="121" t="s">
        <v>204</v>
      </c>
      <c r="B47" s="122" t="s">
        <v>194</v>
      </c>
      <c r="C47" s="123">
        <v>0.32500000000000001</v>
      </c>
      <c r="D47" s="123" t="s">
        <v>195</v>
      </c>
      <c r="E47" s="123">
        <v>1.56</v>
      </c>
      <c r="F47" s="124" t="s">
        <v>115</v>
      </c>
      <c r="G47" s="125">
        <v>0.6</v>
      </c>
      <c r="H47" s="123" t="s">
        <v>196</v>
      </c>
      <c r="I47" s="126">
        <v>1.03</v>
      </c>
      <c r="J47" s="77"/>
      <c r="K47" s="77"/>
      <c r="L47" s="77"/>
      <c r="M47" s="77"/>
      <c r="N47" s="77"/>
    </row>
    <row r="48" spans="1:14" x14ac:dyDescent="0.45">
      <c r="A48" s="121" t="s">
        <v>205</v>
      </c>
      <c r="B48" s="122" t="s">
        <v>194</v>
      </c>
      <c r="C48" s="123">
        <v>0.32</v>
      </c>
      <c r="D48" s="123" t="s">
        <v>195</v>
      </c>
      <c r="E48" s="123">
        <v>1.56</v>
      </c>
      <c r="F48" s="124" t="s">
        <v>115</v>
      </c>
      <c r="G48" s="125">
        <v>0.6</v>
      </c>
      <c r="H48" s="123" t="s">
        <v>196</v>
      </c>
      <c r="I48" s="126">
        <v>1.03</v>
      </c>
      <c r="J48" s="77"/>
      <c r="K48" s="77"/>
      <c r="L48" s="77"/>
      <c r="M48" s="77"/>
      <c r="N48" s="77"/>
    </row>
    <row r="49" spans="1:14" x14ac:dyDescent="0.45">
      <c r="A49" s="121" t="s">
        <v>206</v>
      </c>
      <c r="B49" s="122" t="s">
        <v>194</v>
      </c>
      <c r="C49" s="123">
        <v>0.28199999999999997</v>
      </c>
      <c r="D49" s="123" t="s">
        <v>195</v>
      </c>
      <c r="E49" s="123">
        <v>1.56</v>
      </c>
      <c r="F49" s="124" t="s">
        <v>115</v>
      </c>
      <c r="G49" s="125">
        <v>0.6</v>
      </c>
      <c r="H49" s="123" t="s">
        <v>196</v>
      </c>
      <c r="I49" s="126">
        <v>1.03</v>
      </c>
      <c r="J49" s="77"/>
      <c r="K49" s="77"/>
      <c r="L49" s="77"/>
      <c r="M49" s="77"/>
      <c r="N49" s="77"/>
    </row>
    <row r="50" spans="1:14" x14ac:dyDescent="0.45">
      <c r="A50" s="121" t="s">
        <v>207</v>
      </c>
      <c r="B50" s="122" t="s">
        <v>194</v>
      </c>
      <c r="C50" s="123">
        <v>0.32800000000000001</v>
      </c>
      <c r="D50" s="123" t="s">
        <v>195</v>
      </c>
      <c r="E50" s="123">
        <v>1.56</v>
      </c>
      <c r="F50" s="124" t="s">
        <v>115</v>
      </c>
      <c r="G50" s="125">
        <v>0.6</v>
      </c>
      <c r="H50" s="123" t="s">
        <v>196</v>
      </c>
      <c r="I50" s="126">
        <v>1.03</v>
      </c>
      <c r="J50" s="77"/>
      <c r="K50" s="77"/>
      <c r="L50" s="77"/>
      <c r="M50" s="77"/>
      <c r="N50" s="77"/>
    </row>
    <row r="51" spans="1:14" x14ac:dyDescent="0.45">
      <c r="A51" s="121" t="s">
        <v>208</v>
      </c>
      <c r="B51" s="122" t="s">
        <v>194</v>
      </c>
      <c r="C51" s="123">
        <v>0.32600000000000001</v>
      </c>
      <c r="D51" s="123" t="s">
        <v>195</v>
      </c>
      <c r="E51" s="123">
        <v>1.56</v>
      </c>
      <c r="F51" s="124" t="s">
        <v>115</v>
      </c>
      <c r="G51" s="125">
        <v>0.6</v>
      </c>
      <c r="H51" s="123" t="s">
        <v>196</v>
      </c>
      <c r="I51" s="126">
        <v>1.03</v>
      </c>
      <c r="J51" s="77"/>
      <c r="K51" s="77"/>
      <c r="L51" s="77"/>
      <c r="M51" s="77"/>
      <c r="N51" s="77"/>
    </row>
    <row r="52" spans="1:14" x14ac:dyDescent="0.45">
      <c r="A52" s="121" t="s">
        <v>209</v>
      </c>
      <c r="B52" s="122" t="s">
        <v>194</v>
      </c>
      <c r="C52" s="123">
        <v>0.35899999999999999</v>
      </c>
      <c r="D52" s="123" t="s">
        <v>195</v>
      </c>
      <c r="E52" s="123">
        <v>1.56</v>
      </c>
      <c r="F52" s="124" t="s">
        <v>115</v>
      </c>
      <c r="G52" s="125">
        <v>0.6</v>
      </c>
      <c r="H52" s="123" t="s">
        <v>196</v>
      </c>
      <c r="I52" s="126">
        <v>1.03</v>
      </c>
      <c r="J52" s="77"/>
      <c r="K52" s="77"/>
      <c r="L52" s="77"/>
      <c r="M52" s="77"/>
      <c r="N52" s="77"/>
    </row>
    <row r="53" spans="1:14" x14ac:dyDescent="0.45">
      <c r="A53" s="121" t="s">
        <v>210</v>
      </c>
      <c r="B53" s="122" t="s">
        <v>194</v>
      </c>
      <c r="C53" s="123">
        <v>0.34599999999999997</v>
      </c>
      <c r="D53" s="123" t="s">
        <v>195</v>
      </c>
      <c r="E53" s="123">
        <v>1.56</v>
      </c>
      <c r="F53" s="124" t="s">
        <v>115</v>
      </c>
      <c r="G53" s="125">
        <v>0.6</v>
      </c>
      <c r="H53" s="123" t="s">
        <v>196</v>
      </c>
      <c r="I53" s="126">
        <v>1.03</v>
      </c>
      <c r="J53" s="77"/>
      <c r="K53" s="77"/>
      <c r="L53" s="77"/>
      <c r="M53" s="77"/>
      <c r="N53" s="77"/>
    </row>
    <row r="54" spans="1:14" x14ac:dyDescent="0.45">
      <c r="A54" s="121" t="s">
        <v>211</v>
      </c>
      <c r="B54" s="122" t="s">
        <v>194</v>
      </c>
      <c r="C54" s="123">
        <v>0.32600000000000001</v>
      </c>
      <c r="D54" s="123" t="s">
        <v>195</v>
      </c>
      <c r="E54" s="123">
        <v>1.56</v>
      </c>
      <c r="F54" s="124" t="s">
        <v>115</v>
      </c>
      <c r="G54" s="125">
        <v>0.6</v>
      </c>
      <c r="H54" s="123" t="s">
        <v>196</v>
      </c>
      <c r="I54" s="126">
        <v>1.03</v>
      </c>
      <c r="J54" s="77"/>
      <c r="K54" s="77"/>
      <c r="L54" s="77"/>
      <c r="M54" s="77"/>
      <c r="N54" s="77"/>
    </row>
    <row r="55" spans="1:14" x14ac:dyDescent="0.45">
      <c r="A55" s="121" t="s">
        <v>212</v>
      </c>
      <c r="B55" s="122" t="s">
        <v>194</v>
      </c>
      <c r="C55" s="123">
        <v>0.30499999999999999</v>
      </c>
      <c r="D55" s="123" t="s">
        <v>195</v>
      </c>
      <c r="E55" s="123">
        <v>1.56</v>
      </c>
      <c r="F55" s="124" t="s">
        <v>115</v>
      </c>
      <c r="G55" s="125">
        <v>0.6</v>
      </c>
      <c r="H55" s="123" t="s">
        <v>196</v>
      </c>
      <c r="I55" s="126">
        <v>1.03</v>
      </c>
      <c r="J55" s="77"/>
      <c r="K55" s="77"/>
      <c r="L55" s="77"/>
      <c r="M55" s="77"/>
      <c r="N55" s="77"/>
    </row>
    <row r="56" spans="1:14" x14ac:dyDescent="0.45">
      <c r="A56" s="121" t="s">
        <v>213</v>
      </c>
      <c r="B56" s="122" t="s">
        <v>194</v>
      </c>
      <c r="C56" s="123">
        <v>0.32300000000000001</v>
      </c>
      <c r="D56" s="123" t="s">
        <v>195</v>
      </c>
      <c r="E56" s="123">
        <v>1.56</v>
      </c>
      <c r="F56" s="124" t="s">
        <v>115</v>
      </c>
      <c r="G56" s="125">
        <v>0.6</v>
      </c>
      <c r="H56" s="123" t="s">
        <v>196</v>
      </c>
      <c r="I56" s="126">
        <v>1.03</v>
      </c>
      <c r="J56" s="77"/>
      <c r="K56" s="77"/>
      <c r="L56" s="77"/>
      <c r="M56" s="77"/>
      <c r="N56" s="77"/>
    </row>
    <row r="57" spans="1:14" x14ac:dyDescent="0.45">
      <c r="A57" s="121" t="s">
        <v>214</v>
      </c>
      <c r="B57" s="122" t="s">
        <v>194</v>
      </c>
      <c r="C57" s="123">
        <v>0.36699999999999999</v>
      </c>
      <c r="D57" s="123" t="s">
        <v>195</v>
      </c>
      <c r="E57" s="123">
        <v>1.56</v>
      </c>
      <c r="F57" s="124" t="s">
        <v>115</v>
      </c>
      <c r="G57" s="125">
        <v>0.6</v>
      </c>
      <c r="H57" s="123" t="s">
        <v>196</v>
      </c>
      <c r="I57" s="126">
        <v>1.03</v>
      </c>
      <c r="J57" s="77"/>
      <c r="K57" s="77"/>
      <c r="L57" s="77"/>
      <c r="M57" s="77"/>
      <c r="N57" s="77"/>
    </row>
    <row r="58" spans="1:14" x14ac:dyDescent="0.45">
      <c r="A58" s="121" t="s">
        <v>215</v>
      </c>
      <c r="B58" s="122" t="s">
        <v>194</v>
      </c>
      <c r="C58" s="123">
        <v>0.36</v>
      </c>
      <c r="D58" s="123" t="s">
        <v>195</v>
      </c>
      <c r="E58" s="123">
        <v>1.56</v>
      </c>
      <c r="F58" s="124" t="s">
        <v>115</v>
      </c>
      <c r="G58" s="125">
        <v>0.6</v>
      </c>
      <c r="H58" s="123" t="s">
        <v>196</v>
      </c>
      <c r="I58" s="126">
        <v>1.03</v>
      </c>
      <c r="J58" s="77"/>
      <c r="K58" s="77"/>
      <c r="L58" s="77"/>
      <c r="M58" s="77"/>
      <c r="N58" s="77"/>
    </row>
    <row r="59" spans="1:14" x14ac:dyDescent="0.45">
      <c r="A59" s="121" t="s">
        <v>216</v>
      </c>
      <c r="B59" s="122" t="s">
        <v>194</v>
      </c>
      <c r="C59" s="123">
        <v>0.36799999999999999</v>
      </c>
      <c r="D59" s="123" t="s">
        <v>195</v>
      </c>
      <c r="E59" s="123">
        <v>1.56</v>
      </c>
      <c r="F59" s="124" t="s">
        <v>115</v>
      </c>
      <c r="G59" s="125">
        <v>0.6</v>
      </c>
      <c r="H59" s="123" t="s">
        <v>196</v>
      </c>
      <c r="I59" s="126">
        <v>1.03</v>
      </c>
      <c r="J59" s="77"/>
      <c r="K59" s="77"/>
      <c r="L59" s="77"/>
      <c r="M59" s="77"/>
      <c r="N59" s="77"/>
    </row>
    <row r="60" spans="1:14" x14ac:dyDescent="0.45">
      <c r="A60" s="121" t="s">
        <v>217</v>
      </c>
      <c r="B60" s="122" t="s">
        <v>194</v>
      </c>
      <c r="C60" s="123">
        <v>0.30599999999999999</v>
      </c>
      <c r="D60" s="123" t="s">
        <v>195</v>
      </c>
      <c r="E60" s="123">
        <v>1.56</v>
      </c>
      <c r="F60" s="124" t="s">
        <v>115</v>
      </c>
      <c r="G60" s="125">
        <v>0.6</v>
      </c>
      <c r="H60" s="123" t="s">
        <v>196</v>
      </c>
      <c r="I60" s="126">
        <v>1.03</v>
      </c>
      <c r="J60" s="77"/>
      <c r="K60" s="77"/>
      <c r="L60" s="77"/>
      <c r="M60" s="77"/>
      <c r="N60" s="77"/>
    </row>
    <row r="61" spans="1:14" x14ac:dyDescent="0.45">
      <c r="A61" s="121" t="s">
        <v>218</v>
      </c>
      <c r="B61" s="122" t="s">
        <v>194</v>
      </c>
      <c r="C61" s="123">
        <v>0.313</v>
      </c>
      <c r="D61" s="123" t="s">
        <v>195</v>
      </c>
      <c r="E61" s="123">
        <v>1.56</v>
      </c>
      <c r="F61" s="124" t="s">
        <v>115</v>
      </c>
      <c r="G61" s="125">
        <v>0.6</v>
      </c>
      <c r="H61" s="123" t="s">
        <v>196</v>
      </c>
      <c r="I61" s="126">
        <v>1.03</v>
      </c>
      <c r="J61" s="77"/>
      <c r="K61" s="77"/>
      <c r="L61" s="77"/>
      <c r="M61" s="77"/>
      <c r="N61" s="77"/>
    </row>
    <row r="62" spans="1:14" x14ac:dyDescent="0.45">
      <c r="A62" s="121" t="s">
        <v>219</v>
      </c>
      <c r="B62" s="122" t="s">
        <v>220</v>
      </c>
      <c r="C62" s="123">
        <v>0.37</v>
      </c>
      <c r="D62" s="123" t="s">
        <v>114</v>
      </c>
      <c r="E62" s="123">
        <v>1.56</v>
      </c>
      <c r="F62" s="124" t="s">
        <v>115</v>
      </c>
      <c r="G62" s="125">
        <v>0.6</v>
      </c>
      <c r="H62" s="123" t="s">
        <v>196</v>
      </c>
      <c r="I62" s="126">
        <v>1.03</v>
      </c>
      <c r="J62" s="77"/>
      <c r="K62" s="77"/>
      <c r="L62" s="77"/>
      <c r="M62" s="77"/>
      <c r="N62" s="77"/>
    </row>
    <row r="63" spans="1:14" x14ac:dyDescent="0.45">
      <c r="A63" s="121" t="s">
        <v>221</v>
      </c>
      <c r="B63" s="122" t="s">
        <v>222</v>
      </c>
      <c r="C63" s="123">
        <v>0.45</v>
      </c>
      <c r="D63" s="123" t="s">
        <v>114</v>
      </c>
      <c r="E63" s="123">
        <v>1.3</v>
      </c>
      <c r="F63" s="124" t="s">
        <v>115</v>
      </c>
      <c r="G63" s="125">
        <v>0.45</v>
      </c>
      <c r="H63" s="123" t="s">
        <v>223</v>
      </c>
      <c r="I63" s="126">
        <v>0.43</v>
      </c>
      <c r="J63" s="77"/>
      <c r="K63" s="77"/>
      <c r="L63" s="77"/>
      <c r="M63" s="77"/>
      <c r="N63" s="77"/>
    </row>
    <row r="64" spans="1:14" x14ac:dyDescent="0.45">
      <c r="A64" s="121" t="s">
        <v>224</v>
      </c>
      <c r="B64" s="122" t="s">
        <v>225</v>
      </c>
      <c r="C64" s="123">
        <v>0.39</v>
      </c>
      <c r="D64" s="123" t="s">
        <v>114</v>
      </c>
      <c r="E64" s="123">
        <v>1.3</v>
      </c>
      <c r="F64" s="124" t="s">
        <v>115</v>
      </c>
      <c r="G64" s="125">
        <v>0.45</v>
      </c>
      <c r="H64" s="123" t="s">
        <v>223</v>
      </c>
      <c r="I64" s="126">
        <v>0.43</v>
      </c>
      <c r="J64" s="77"/>
      <c r="K64" s="77"/>
      <c r="L64" s="77"/>
      <c r="M64" s="77"/>
      <c r="N64" s="77"/>
    </row>
    <row r="65" spans="1:14" x14ac:dyDescent="0.45">
      <c r="A65" s="121" t="s">
        <v>226</v>
      </c>
      <c r="B65" s="122" t="s">
        <v>227</v>
      </c>
      <c r="C65" s="123">
        <v>0.44</v>
      </c>
      <c r="D65" s="123" t="s">
        <v>114</v>
      </c>
      <c r="E65" s="123">
        <v>1.3</v>
      </c>
      <c r="F65" s="124" t="s">
        <v>115</v>
      </c>
      <c r="G65" s="125">
        <v>0.45</v>
      </c>
      <c r="H65" s="123" t="s">
        <v>223</v>
      </c>
      <c r="I65" s="126">
        <v>0.43</v>
      </c>
      <c r="J65" s="77"/>
      <c r="K65" s="77"/>
      <c r="L65" s="77"/>
      <c r="M65" s="77"/>
      <c r="N65" s="77"/>
    </row>
    <row r="66" spans="1:14" x14ac:dyDescent="0.45">
      <c r="A66" s="121" t="s">
        <v>228</v>
      </c>
      <c r="B66" s="122" t="s">
        <v>229</v>
      </c>
      <c r="C66" s="123">
        <v>0.46</v>
      </c>
      <c r="D66" s="123" t="s">
        <v>114</v>
      </c>
      <c r="E66" s="123">
        <v>1.3</v>
      </c>
      <c r="F66" s="124" t="s">
        <v>115</v>
      </c>
      <c r="G66" s="125">
        <v>0.45</v>
      </c>
      <c r="H66" s="123" t="s">
        <v>223</v>
      </c>
      <c r="I66" s="126">
        <v>0.43</v>
      </c>
      <c r="J66" s="77"/>
      <c r="K66" s="77"/>
      <c r="L66" s="77"/>
      <c r="M66" s="77"/>
      <c r="N66" s="77"/>
    </row>
    <row r="67" spans="1:14" x14ac:dyDescent="0.45">
      <c r="A67" s="121" t="s">
        <v>19</v>
      </c>
      <c r="B67" s="122" t="s">
        <v>230</v>
      </c>
      <c r="C67" s="123">
        <v>0.46</v>
      </c>
      <c r="D67" s="123" t="s">
        <v>114</v>
      </c>
      <c r="E67" s="123">
        <v>1.3</v>
      </c>
      <c r="F67" s="124" t="s">
        <v>115</v>
      </c>
      <c r="G67" s="125">
        <v>0.45</v>
      </c>
      <c r="H67" s="123" t="s">
        <v>140</v>
      </c>
      <c r="I67" s="126">
        <v>0.59</v>
      </c>
      <c r="J67" s="77"/>
      <c r="K67" s="77"/>
      <c r="L67" s="77"/>
      <c r="M67" s="77"/>
      <c r="N67" s="77"/>
    </row>
    <row r="68" spans="1:14" x14ac:dyDescent="0.45">
      <c r="A68" s="121" t="s">
        <v>231</v>
      </c>
      <c r="B68" s="122" t="s">
        <v>232</v>
      </c>
      <c r="C68" s="123">
        <v>0.44</v>
      </c>
      <c r="D68" s="123" t="s">
        <v>114</v>
      </c>
      <c r="E68" s="123">
        <v>1.3</v>
      </c>
      <c r="F68" s="124" t="s">
        <v>115</v>
      </c>
      <c r="G68" s="125">
        <v>0.45</v>
      </c>
      <c r="H68" s="123" t="s">
        <v>223</v>
      </c>
      <c r="I68" s="126">
        <v>0.43</v>
      </c>
      <c r="J68" s="77"/>
      <c r="K68" s="77"/>
      <c r="L68" s="77"/>
      <c r="M68" s="77"/>
      <c r="N68" s="77"/>
    </row>
    <row r="69" spans="1:14" x14ac:dyDescent="0.45">
      <c r="A69" s="121" t="s">
        <v>233</v>
      </c>
      <c r="B69" s="122" t="s">
        <v>234</v>
      </c>
      <c r="C69" s="123">
        <v>0.46</v>
      </c>
      <c r="D69" s="123" t="s">
        <v>114</v>
      </c>
      <c r="E69" s="123">
        <v>1.3</v>
      </c>
      <c r="F69" s="124" t="s">
        <v>115</v>
      </c>
      <c r="G69" s="125">
        <v>0.45</v>
      </c>
      <c r="H69" s="123" t="s">
        <v>223</v>
      </c>
      <c r="I69" s="126">
        <v>0.43</v>
      </c>
      <c r="J69" s="77"/>
      <c r="K69" s="77"/>
      <c r="L69" s="77"/>
      <c r="M69" s="77"/>
      <c r="N69" s="77"/>
    </row>
    <row r="70" spans="1:14" x14ac:dyDescent="0.45">
      <c r="A70" s="121" t="s">
        <v>235</v>
      </c>
      <c r="B70" s="122" t="s">
        <v>236</v>
      </c>
      <c r="C70" s="123">
        <v>0.48</v>
      </c>
      <c r="D70" s="123" t="s">
        <v>114</v>
      </c>
      <c r="E70" s="123">
        <v>2.4</v>
      </c>
      <c r="F70" s="123" t="s">
        <v>237</v>
      </c>
      <c r="G70" s="125">
        <v>0.45</v>
      </c>
      <c r="H70" s="123" t="s">
        <v>223</v>
      </c>
      <c r="I70" s="126">
        <v>0.43</v>
      </c>
      <c r="J70" s="77"/>
      <c r="K70" s="77"/>
      <c r="L70" s="77"/>
      <c r="M70" s="77"/>
      <c r="N70" s="77"/>
    </row>
    <row r="71" spans="1:14" x14ac:dyDescent="0.45">
      <c r="A71" s="121" t="s">
        <v>238</v>
      </c>
      <c r="B71" s="122" t="s">
        <v>239</v>
      </c>
      <c r="C71" s="123">
        <v>0.46</v>
      </c>
      <c r="D71" s="123" t="s">
        <v>240</v>
      </c>
      <c r="E71" s="123">
        <v>1.3</v>
      </c>
      <c r="F71" s="124" t="s">
        <v>115</v>
      </c>
      <c r="G71" s="125">
        <v>0.45</v>
      </c>
      <c r="H71" s="123" t="s">
        <v>223</v>
      </c>
      <c r="I71" s="126">
        <v>0.43</v>
      </c>
      <c r="J71" s="77"/>
      <c r="K71" s="77"/>
      <c r="L71" s="77"/>
      <c r="M71" s="77"/>
      <c r="N71" s="77"/>
    </row>
    <row r="72" spans="1:14" x14ac:dyDescent="0.45">
      <c r="A72" s="121" t="s">
        <v>241</v>
      </c>
      <c r="B72" s="122" t="s">
        <v>242</v>
      </c>
      <c r="C72" s="123">
        <v>0.44</v>
      </c>
      <c r="D72" s="123" t="s">
        <v>114</v>
      </c>
      <c r="E72" s="123">
        <v>1.3</v>
      </c>
      <c r="F72" s="124" t="s">
        <v>115</v>
      </c>
      <c r="G72" s="125">
        <v>0.45</v>
      </c>
      <c r="H72" s="123" t="s">
        <v>223</v>
      </c>
      <c r="I72" s="126">
        <v>0.43</v>
      </c>
      <c r="J72" s="77"/>
      <c r="K72" s="77"/>
      <c r="L72" s="77"/>
      <c r="M72" s="77"/>
      <c r="N72" s="77"/>
    </row>
    <row r="73" spans="1:14" x14ac:dyDescent="0.45">
      <c r="A73" s="121" t="s">
        <v>243</v>
      </c>
      <c r="B73" s="122" t="s">
        <v>244</v>
      </c>
      <c r="C73" s="123">
        <v>0.46</v>
      </c>
      <c r="D73" s="123" t="s">
        <v>245</v>
      </c>
      <c r="E73" s="123">
        <v>1.3</v>
      </c>
      <c r="F73" s="124" t="s">
        <v>115</v>
      </c>
      <c r="G73" s="125">
        <v>0.45</v>
      </c>
      <c r="H73" s="123" t="s">
        <v>223</v>
      </c>
      <c r="I73" s="126">
        <v>0.43</v>
      </c>
      <c r="J73" s="77"/>
      <c r="K73" s="77"/>
      <c r="L73" s="77"/>
      <c r="M73" s="77"/>
      <c r="N73" s="77"/>
    </row>
    <row r="74" spans="1:14" x14ac:dyDescent="0.45">
      <c r="A74" s="121" t="s">
        <v>246</v>
      </c>
      <c r="B74" s="122" t="s">
        <v>247</v>
      </c>
      <c r="C74" s="123">
        <v>0.34</v>
      </c>
      <c r="D74" s="123" t="s">
        <v>114</v>
      </c>
      <c r="E74" s="123">
        <v>1.3</v>
      </c>
      <c r="F74" s="124" t="s">
        <v>115</v>
      </c>
      <c r="G74" s="125">
        <v>0.45</v>
      </c>
      <c r="H74" s="123" t="s">
        <v>223</v>
      </c>
      <c r="I74" s="126">
        <v>0.43</v>
      </c>
      <c r="J74" s="77"/>
      <c r="K74" s="77"/>
      <c r="L74" s="77"/>
      <c r="M74" s="77"/>
      <c r="N74" s="77"/>
    </row>
    <row r="75" spans="1:14" x14ac:dyDescent="0.45">
      <c r="A75" s="121" t="s">
        <v>248</v>
      </c>
      <c r="B75" s="122" t="s">
        <v>249</v>
      </c>
      <c r="C75" s="123">
        <v>0.5</v>
      </c>
      <c r="D75" s="123" t="s">
        <v>114</v>
      </c>
      <c r="E75" s="123">
        <v>1.56</v>
      </c>
      <c r="F75" s="124" t="s">
        <v>115</v>
      </c>
      <c r="G75" s="125">
        <v>0.53</v>
      </c>
      <c r="H75" s="123" t="s">
        <v>167</v>
      </c>
      <c r="I75" s="126">
        <v>0.25</v>
      </c>
      <c r="J75" s="77"/>
      <c r="K75" s="77"/>
      <c r="L75" s="77"/>
      <c r="M75" s="77"/>
      <c r="N75" s="77"/>
    </row>
    <row r="76" spans="1:14" x14ac:dyDescent="0.45">
      <c r="A76" s="121" t="s">
        <v>250</v>
      </c>
      <c r="B76" s="122" t="s">
        <v>251</v>
      </c>
      <c r="C76" s="123">
        <v>0.57999999999999996</v>
      </c>
      <c r="D76" s="123" t="s">
        <v>114</v>
      </c>
      <c r="E76" s="123">
        <v>1.56</v>
      </c>
      <c r="F76" s="124" t="s">
        <v>115</v>
      </c>
      <c r="G76" s="125">
        <v>0.3</v>
      </c>
      <c r="H76" s="123" t="s">
        <v>252</v>
      </c>
      <c r="I76" s="126">
        <v>0.25</v>
      </c>
      <c r="J76" s="77"/>
      <c r="K76" s="77"/>
      <c r="L76" s="77"/>
      <c r="M76" s="77"/>
      <c r="N76" s="77"/>
    </row>
    <row r="77" spans="1:14" x14ac:dyDescent="0.45">
      <c r="A77" s="121" t="s">
        <v>253</v>
      </c>
      <c r="B77" s="122" t="s">
        <v>254</v>
      </c>
      <c r="C77" s="123">
        <v>0.37</v>
      </c>
      <c r="D77" s="123" t="s">
        <v>114</v>
      </c>
      <c r="E77" s="123">
        <v>1.3</v>
      </c>
      <c r="F77" s="124" t="s">
        <v>115</v>
      </c>
      <c r="G77" s="125">
        <v>0.55000000000000004</v>
      </c>
      <c r="H77" s="123" t="s">
        <v>140</v>
      </c>
      <c r="I77" s="126">
        <v>0.43</v>
      </c>
      <c r="J77" s="77"/>
      <c r="K77" s="77"/>
      <c r="L77" s="77"/>
      <c r="M77" s="77"/>
      <c r="N77" s="77"/>
    </row>
    <row r="78" spans="1:14" x14ac:dyDescent="0.45">
      <c r="A78" s="121" t="s">
        <v>255</v>
      </c>
      <c r="B78" s="122" t="s">
        <v>256</v>
      </c>
      <c r="C78" s="123">
        <v>0.37</v>
      </c>
      <c r="D78" s="123" t="s">
        <v>114</v>
      </c>
      <c r="E78" s="123">
        <v>1.3</v>
      </c>
      <c r="F78" s="124" t="s">
        <v>115</v>
      </c>
      <c r="G78" s="125">
        <v>0.55000000000000004</v>
      </c>
      <c r="H78" s="123" t="s">
        <v>140</v>
      </c>
      <c r="I78" s="126">
        <v>0.43</v>
      </c>
      <c r="J78" s="77"/>
      <c r="K78" s="77"/>
      <c r="L78" s="77"/>
      <c r="M78" s="77"/>
      <c r="N78" s="77"/>
    </row>
    <row r="79" spans="1:14" x14ac:dyDescent="0.45">
      <c r="A79" s="121" t="s">
        <v>257</v>
      </c>
      <c r="B79" s="122" t="s">
        <v>258</v>
      </c>
      <c r="C79" s="123">
        <v>0.38</v>
      </c>
      <c r="D79" s="123" t="s">
        <v>114</v>
      </c>
      <c r="E79" s="123">
        <v>1.3</v>
      </c>
      <c r="F79" s="124" t="s">
        <v>115</v>
      </c>
      <c r="G79" s="125">
        <v>0.55000000000000004</v>
      </c>
      <c r="H79" s="123" t="s">
        <v>131</v>
      </c>
      <c r="I79" s="126">
        <v>0.43</v>
      </c>
      <c r="J79" s="77"/>
      <c r="K79" s="77"/>
      <c r="L79" s="77"/>
      <c r="M79" s="77"/>
      <c r="N79" s="77"/>
    </row>
    <row r="80" spans="1:14" x14ac:dyDescent="0.45">
      <c r="A80" s="121" t="s">
        <v>259</v>
      </c>
      <c r="B80" s="122" t="s">
        <v>260</v>
      </c>
      <c r="C80" s="123">
        <v>0.36</v>
      </c>
      <c r="D80" s="123" t="s">
        <v>114</v>
      </c>
      <c r="E80" s="123">
        <v>1.3</v>
      </c>
      <c r="F80" s="124" t="s">
        <v>115</v>
      </c>
      <c r="G80" s="125">
        <v>0.55000000000000004</v>
      </c>
      <c r="H80" s="123" t="s">
        <v>131</v>
      </c>
      <c r="I80" s="126">
        <v>0.43</v>
      </c>
      <c r="J80" s="77"/>
      <c r="K80" s="77"/>
      <c r="L80" s="77"/>
      <c r="M80" s="77"/>
      <c r="N80" s="77"/>
    </row>
    <row r="81" spans="1:14" x14ac:dyDescent="0.45">
      <c r="A81" s="121" t="s">
        <v>261</v>
      </c>
      <c r="B81" s="122" t="s">
        <v>262</v>
      </c>
      <c r="C81" s="123">
        <v>0.37</v>
      </c>
      <c r="D81" s="123" t="s">
        <v>114</v>
      </c>
      <c r="E81" s="123">
        <v>1.56</v>
      </c>
      <c r="F81" s="124" t="s">
        <v>115</v>
      </c>
      <c r="G81" s="125">
        <v>0.43</v>
      </c>
      <c r="H81" s="123" t="s">
        <v>116</v>
      </c>
      <c r="I81" s="126">
        <v>0.25</v>
      </c>
      <c r="J81" s="77"/>
      <c r="K81" s="77"/>
      <c r="L81" s="77"/>
      <c r="M81" s="77"/>
      <c r="N81" s="77"/>
    </row>
    <row r="82" spans="1:14" x14ac:dyDescent="0.45">
      <c r="A82" s="121" t="s">
        <v>263</v>
      </c>
      <c r="B82" s="122" t="s">
        <v>264</v>
      </c>
      <c r="C82" s="123">
        <v>0.35</v>
      </c>
      <c r="D82" s="123" t="s">
        <v>265</v>
      </c>
      <c r="E82" s="123">
        <v>1.3</v>
      </c>
      <c r="F82" s="124" t="s">
        <v>115</v>
      </c>
      <c r="G82" s="125">
        <v>0.55000000000000004</v>
      </c>
      <c r="H82" s="123" t="s">
        <v>131</v>
      </c>
      <c r="I82" s="126">
        <v>0.43</v>
      </c>
      <c r="J82" s="77"/>
      <c r="K82" s="77"/>
      <c r="L82" s="77"/>
      <c r="M82" s="77"/>
      <c r="N82" s="77"/>
    </row>
    <row r="83" spans="1:14" x14ac:dyDescent="0.45">
      <c r="A83" s="121" t="s">
        <v>266</v>
      </c>
      <c r="B83" s="122" t="s">
        <v>267</v>
      </c>
      <c r="C83" s="123">
        <v>0.34</v>
      </c>
      <c r="D83" s="123" t="s">
        <v>114</v>
      </c>
      <c r="E83" s="123">
        <v>1.3</v>
      </c>
      <c r="F83" s="124" t="s">
        <v>115</v>
      </c>
      <c r="G83" s="125">
        <v>0.55000000000000004</v>
      </c>
      <c r="H83" s="123" t="s">
        <v>131</v>
      </c>
      <c r="I83" s="126">
        <v>0.43</v>
      </c>
      <c r="J83" s="77"/>
      <c r="K83" s="77"/>
      <c r="L83" s="77"/>
      <c r="M83" s="77"/>
      <c r="N83" s="77"/>
    </row>
    <row r="84" spans="1:14" x14ac:dyDescent="0.45">
      <c r="A84" s="121" t="s">
        <v>268</v>
      </c>
      <c r="B84" s="122" t="s">
        <v>269</v>
      </c>
      <c r="C84" s="123">
        <v>0.31</v>
      </c>
      <c r="D84" s="123" t="s">
        <v>114</v>
      </c>
      <c r="E84" s="123">
        <v>1.3</v>
      </c>
      <c r="F84" s="124" t="s">
        <v>115</v>
      </c>
      <c r="G84" s="125">
        <v>0.55000000000000004</v>
      </c>
      <c r="H84" s="123" t="s">
        <v>131</v>
      </c>
      <c r="I84" s="126">
        <v>0.43</v>
      </c>
      <c r="J84" s="77"/>
      <c r="K84" s="77"/>
      <c r="L84" s="77"/>
      <c r="M84" s="77"/>
      <c r="N84" s="77"/>
    </row>
    <row r="85" spans="1:14" x14ac:dyDescent="0.45">
      <c r="A85" s="121" t="s">
        <v>270</v>
      </c>
      <c r="B85" s="122" t="s">
        <v>271</v>
      </c>
      <c r="C85" s="123">
        <v>0.43</v>
      </c>
      <c r="D85" s="123" t="s">
        <v>114</v>
      </c>
      <c r="E85" s="123">
        <v>1.56</v>
      </c>
      <c r="F85" s="124" t="s">
        <v>115</v>
      </c>
      <c r="G85" s="125">
        <v>0.53</v>
      </c>
      <c r="H85" s="123" t="s">
        <v>167</v>
      </c>
      <c r="I85" s="126">
        <v>0.25</v>
      </c>
      <c r="J85" s="77"/>
      <c r="K85" s="77"/>
      <c r="L85" s="77"/>
      <c r="M85" s="77"/>
      <c r="N85" s="77"/>
    </row>
    <row r="86" spans="1:14" x14ac:dyDescent="0.45">
      <c r="A86" s="121" t="s">
        <v>272</v>
      </c>
      <c r="B86" s="122" t="s">
        <v>273</v>
      </c>
      <c r="C86" s="123">
        <v>0.38</v>
      </c>
      <c r="D86" s="123" t="s">
        <v>114</v>
      </c>
      <c r="E86" s="123">
        <v>1.56</v>
      </c>
      <c r="F86" s="124" t="s">
        <v>115</v>
      </c>
      <c r="G86" s="125">
        <v>0.6</v>
      </c>
      <c r="H86" s="123" t="s">
        <v>274</v>
      </c>
      <c r="I86" s="126">
        <v>0.25</v>
      </c>
      <c r="J86" s="77"/>
      <c r="K86" s="77"/>
      <c r="L86" s="77"/>
      <c r="M86" s="77"/>
      <c r="N86" s="77"/>
    </row>
    <row r="87" spans="1:14" x14ac:dyDescent="0.45">
      <c r="A87" s="250" t="s">
        <v>275</v>
      </c>
      <c r="B87" s="251" t="s">
        <v>276</v>
      </c>
      <c r="C87" s="252">
        <v>0.41</v>
      </c>
      <c r="D87" s="252" t="s">
        <v>277</v>
      </c>
      <c r="E87" s="252">
        <v>1.56</v>
      </c>
      <c r="F87" s="253" t="s">
        <v>115</v>
      </c>
      <c r="G87" s="254">
        <v>0.43</v>
      </c>
      <c r="H87" s="252" t="s">
        <v>116</v>
      </c>
      <c r="I87" s="255">
        <v>0.25</v>
      </c>
      <c r="J87" s="77"/>
      <c r="K87" s="77"/>
      <c r="L87" s="77"/>
      <c r="M87" s="77"/>
      <c r="N87" s="77"/>
    </row>
    <row r="88" spans="1:14" x14ac:dyDescent="0.45">
      <c r="A88" s="121" t="s">
        <v>74</v>
      </c>
      <c r="B88" s="129"/>
      <c r="C88" s="123">
        <v>0.42</v>
      </c>
      <c r="D88" s="123" t="s">
        <v>114</v>
      </c>
      <c r="E88" s="123">
        <v>1.3</v>
      </c>
      <c r="F88" s="124" t="s">
        <v>115</v>
      </c>
      <c r="G88" s="130"/>
      <c r="H88" s="129"/>
      <c r="I88" s="131"/>
    </row>
    <row r="89" spans="1:14" ht="14.65" thickBot="1" x14ac:dyDescent="0.5">
      <c r="A89" s="132" t="s">
        <v>278</v>
      </c>
      <c r="B89" s="133"/>
      <c r="C89" s="134">
        <v>0.56999999999999995</v>
      </c>
      <c r="D89" s="135" t="s">
        <v>114</v>
      </c>
      <c r="E89" s="134">
        <v>1.56</v>
      </c>
      <c r="F89" s="134" t="s">
        <v>115</v>
      </c>
      <c r="G89" s="133"/>
      <c r="H89" s="133"/>
      <c r="I89" s="136"/>
    </row>
    <row r="93" spans="1:14" x14ac:dyDescent="0.45">
      <c r="A93" s="121" t="s">
        <v>75</v>
      </c>
    </row>
    <row r="94" spans="1:14" x14ac:dyDescent="0.45">
      <c r="A94" s="121" t="s">
        <v>76</v>
      </c>
    </row>
    <row r="95" spans="1:14" x14ac:dyDescent="0.45">
      <c r="A95" s="121" t="s">
        <v>77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81" zoomScaleNormal="70" workbookViewId="0">
      <selection activeCell="M5" sqref="M5:M12"/>
    </sheetView>
  </sheetViews>
  <sheetFormatPr baseColWidth="10" defaultColWidth="11.46484375" defaultRowHeight="14.25" x14ac:dyDescent="0.45"/>
  <cols>
    <col min="1" max="1" width="22.7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6" t="s">
        <v>279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8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7" t="s">
        <v>280</v>
      </c>
      <c r="B5" s="138" t="s">
        <v>281</v>
      </c>
      <c r="C5" s="139" t="str">
        <f>Calculateur!S2</f>
        <v>ΔStock moyen de long terme (tCO₂/ha)</v>
      </c>
      <c r="D5" s="139" t="str">
        <f>Calculateur!T2</f>
        <v>Δstock CO₂ 30 ans (tCO₂/ha)</v>
      </c>
      <c r="E5" s="139" t="s">
        <v>282</v>
      </c>
      <c r="F5" s="139" t="s">
        <v>283</v>
      </c>
      <c r="G5" s="139" t="s">
        <v>284</v>
      </c>
      <c r="H5" s="140" t="s">
        <v>285</v>
      </c>
      <c r="I5" s="141" t="s">
        <v>286</v>
      </c>
      <c r="J5" s="142" t="s">
        <v>287</v>
      </c>
      <c r="K5" s="143" t="s">
        <v>288</v>
      </c>
      <c r="L5" s="83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4" t="str">
        <f>IF('Données projet'!$B$9="","",'Données projet'!$B$9)</f>
        <v>Chêne sessile</v>
      </c>
      <c r="B6" s="145">
        <f>'Données projet'!D9</f>
        <v>0.98980000000000012</v>
      </c>
      <c r="C6" s="146">
        <f ca="1">IF(OR('Données projet'!B9="",'Données projet'!C9="",'Données projet'!C9=0%),0,Calculateur!S3)</f>
        <v>422.10969295064359</v>
      </c>
      <c r="D6" s="146">
        <f>IF(OR('Données projet'!B9="",'Données projet'!C9="",'Données projet'!C9=0%),0,Calculateur!T3)</f>
        <v>184.04075143033037</v>
      </c>
      <c r="E6" s="146">
        <f ca="1">MIN(C6,D6)</f>
        <v>184.04075143033037</v>
      </c>
      <c r="F6" s="146">
        <f ca="1">E6*B6</f>
        <v>182.16353576574102</v>
      </c>
      <c r="G6" s="146">
        <f ca="1">F6*(100%-'Données projet'!$C$24)*(100%-'Données projet'!$C$25)*(100%-'Données projet'!$C$26)*(100%-'Données projet'!$C$27)</f>
        <v>139.35510486079187</v>
      </c>
      <c r="H6" s="147">
        <f>IF(OR('Données projet'!B9="",'Données projet'!C9="",'Données projet'!C9=0%),0,AVERAGE(Calculateur!$AC$3:$AC$33)*B6)</f>
        <v>0</v>
      </c>
      <c r="I6" s="148">
        <f>H6*(100%-'Données projet'!$C$24)*(100%-'Données projet'!$C$25)*(100%-'Données projet'!$C$26)*(100%-'Données projet'!$C$27)</f>
        <v>0</v>
      </c>
      <c r="J6" s="149">
        <f>IF(OR('Données projet'!B9="",'Données projet'!C9="",'Données projet'!C9=0%),0,SUM(Calculateur!$V$3:$V$33)*VLOOKUP('Données projet'!$B$9,Paramètres!$A$1:$I$89,9,0)*B6)</f>
        <v>0</v>
      </c>
      <c r="K6" s="150">
        <f>J6*(100%-'Données projet'!$C$24)*(100%-'Données projet'!$C$25)*(100%-'Données projet'!$C$26)*(100%-'Données projet'!$C$27)</f>
        <v>0</v>
      </c>
      <c r="L6" s="151">
        <f ca="1">G6+I6+K6</f>
        <v>139.35510486079187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2" t="str">
        <f>IF('Données projet'!$B$10="","",'Données projet'!$B$10)</f>
        <v>Pin maritime</v>
      </c>
      <c r="B7" s="153">
        <f>'Données projet'!D10</f>
        <v>13.150200000000002</v>
      </c>
      <c r="C7" s="146">
        <f ca="1">IF(OR('Données projet'!B10="",'Données projet'!C10="",'Données projet'!C10=0%),0,Calculateur!AN3)</f>
        <v>213.90220310357444</v>
      </c>
      <c r="D7" s="146">
        <f>IF(OR('Données projet'!B10="",'Données projet'!C10="",'Données projet'!C10=0%),0,Calculateur!AO3)</f>
        <v>209.61422409790703</v>
      </c>
      <c r="E7" s="146">
        <f t="shared" ref="E7:E15" ca="1" si="0">MIN(C7,D7)</f>
        <v>209.61422409790703</v>
      </c>
      <c r="F7" s="146">
        <f t="shared" ref="F7:F15" ca="1" si="1">E7*B7</f>
        <v>2756.4689697322974</v>
      </c>
      <c r="G7" s="146">
        <f ca="1">F7*(100%-'Données projet'!$C$24)*(100%-'Données projet'!$C$25)*(100%-'Données projet'!$C$26)*(100%-'Données projet'!$C$27)</f>
        <v>2108.6987618452076</v>
      </c>
      <c r="H7" s="154">
        <f>IF(OR('Données projet'!B10="",'Données projet'!C10="",'Données projet'!C10=0%),0,AVERAGE(Calculateur!$AX$3:$AX$33)*B7)</f>
        <v>135.72243753250459</v>
      </c>
      <c r="I7" s="148">
        <f>H7*(100%-'Données projet'!$C$24)*(100%-'Données projet'!$C$25)*(100%-'Données projet'!$C$26)*(100%-'Données projet'!$C$27)</f>
        <v>103.827664712366</v>
      </c>
      <c r="J7" s="149">
        <f>IF(OR('Données projet'!B10="",'Données projet'!C10="",'Données projet'!C10=0%),0,SUM(Calculateur!$AQ$3:$AQ$33)*VLOOKUP('Données projet'!$B$10,Paramètres!$A$1:$I$89,9,0)*B7)</f>
        <v>1198.86165336</v>
      </c>
      <c r="K7" s="150">
        <f>J7*(100%-'Données projet'!$C$24)*(100%-'Données projet'!$C$25)*(100%-'Données projet'!$C$26)*(100%-'Données projet'!$C$27)</f>
        <v>917.12916482039998</v>
      </c>
      <c r="L7" s="151">
        <f t="shared" ref="L7:L15" ca="1" si="2">G7+I7+K7</f>
        <v>3129.6555913779739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2" t="str">
        <f>IF('Données projet'!$B$11="","",'Données projet'!$B$11)</f>
        <v/>
      </c>
      <c r="B8" s="153">
        <f>'Données projet'!D11</f>
        <v>0</v>
      </c>
      <c r="C8" s="146">
        <f>IF(OR('Données projet'!B11="",'Données projet'!C11="",'Données projet'!C11=0%),0,Calculateur!BI3)</f>
        <v>0</v>
      </c>
      <c r="D8" s="146">
        <f>IF(OR('Données projet'!B11="",'Données projet'!C11="",'Données projet'!C11=0%),0,Calculateur!BJ3)</f>
        <v>0</v>
      </c>
      <c r="E8" s="146">
        <f t="shared" si="0"/>
        <v>0</v>
      </c>
      <c r="F8" s="146">
        <f t="shared" si="1"/>
        <v>0</v>
      </c>
      <c r="G8" s="146">
        <f>F8*(100%-'Données projet'!$C$24)*(100%-'Données projet'!$C$25)*(100%-'Données projet'!$C$26)*(100%-'Données projet'!$C$27)</f>
        <v>0</v>
      </c>
      <c r="H8" s="154">
        <f>IF(OR('Données projet'!B11="",'Données projet'!C11="",'Données projet'!C11=0%),0,AVERAGE(Calculateur!$BS$3:$BS$33)*B8)</f>
        <v>0</v>
      </c>
      <c r="I8" s="148">
        <f>H8*(100%-'Données projet'!$C$24)*(100%-'Données projet'!$C$25)*(100%-'Données projet'!$C$26)*(100%-'Données projet'!$C$27)</f>
        <v>0</v>
      </c>
      <c r="J8" s="149">
        <f>IF(OR('Données projet'!B11="",'Données projet'!C11="",'Données projet'!C11=0%),0,SUM(Calculateur!$BL$3:$BL$33)*VLOOKUP('Données projet'!$B$11,Paramètres!$A$1:$I$89,9,0)*B8)</f>
        <v>0</v>
      </c>
      <c r="K8" s="150">
        <f>J8*(100%-'Données projet'!$C$24)*(100%-'Données projet'!$C$25)*(100%-'Données projet'!$C$26)*(100%-'Données projet'!$C$27)</f>
        <v>0</v>
      </c>
      <c r="L8" s="151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2" t="str">
        <f>IF('Données projet'!$B$12="","",'Données projet'!$B$12)</f>
        <v/>
      </c>
      <c r="B9" s="153">
        <f>'Données projet'!D12</f>
        <v>0</v>
      </c>
      <c r="C9" s="146">
        <f>IF(OR('Données projet'!B12="",'Données projet'!C12="",'Données projet'!C12=0%),0,Calculateur!CD3)</f>
        <v>0</v>
      </c>
      <c r="D9" s="146">
        <f>IF(OR('Données projet'!B12="",'Données projet'!C12="",'Données projet'!C12=0%),0,Calculateur!CE3)</f>
        <v>0</v>
      </c>
      <c r="E9" s="146">
        <f t="shared" si="0"/>
        <v>0</v>
      </c>
      <c r="F9" s="146">
        <f t="shared" si="1"/>
        <v>0</v>
      </c>
      <c r="G9" s="146">
        <f>F9*(100%-'Données projet'!$C$24)*(100%-'Données projet'!$C$25)*(100%-'Données projet'!$C$26)*(100%-'Données projet'!$C$27)</f>
        <v>0</v>
      </c>
      <c r="H9" s="154">
        <f>IF(OR('Données projet'!B12="",'Données projet'!C12="",'Données projet'!C12=0%),0,AVERAGE(Calculateur!$CN$3:$CN$33)*B9)</f>
        <v>0</v>
      </c>
      <c r="I9" s="148">
        <f>H9*(100%-'Données projet'!$C$24)*(100%-'Données projet'!$C$25)*(100%-'Données projet'!$C$26)*(100%-'Données projet'!$C$27)</f>
        <v>0</v>
      </c>
      <c r="J9" s="149">
        <f>IF(OR('Données projet'!B12="",'Données projet'!C12="",'Données projet'!C12=0%),0,SUM(Calculateur!$CG$3:$CG$33)*VLOOKUP('Données projet'!$B$12,Paramètres!$A$1:$I$89,9,0)*B9)</f>
        <v>0</v>
      </c>
      <c r="K9" s="150">
        <f>J9*(100%-'Données projet'!$C$24)*(100%-'Données projet'!$C$25)*(100%-'Données projet'!$C$26)*(100%-'Données projet'!$C$27)</f>
        <v>0</v>
      </c>
      <c r="L9" s="151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2" t="str">
        <f>IF('Données projet'!$B$13="","",'Données projet'!$B$13)</f>
        <v/>
      </c>
      <c r="B10" s="153">
        <f>'Données projet'!D13</f>
        <v>0</v>
      </c>
      <c r="C10" s="146">
        <f>IF(OR('Données projet'!B13="",'Données projet'!C13="",'Données projet'!C13=0%),0,Calculateur!CY3)</f>
        <v>0</v>
      </c>
      <c r="D10" s="146">
        <f>IF(OR('Données projet'!B13="",'Données projet'!C13="",'Données projet'!C13=0%),0,Calculateur!CZ3)</f>
        <v>0</v>
      </c>
      <c r="E10" s="146">
        <f t="shared" si="0"/>
        <v>0</v>
      </c>
      <c r="F10" s="146">
        <f t="shared" si="1"/>
        <v>0</v>
      </c>
      <c r="G10" s="146">
        <f>F10*(100%-'Données projet'!$C$24)*(100%-'Données projet'!$C$25)*(100%-'Données projet'!$C$26)*(100%-'Données projet'!$C$27)</f>
        <v>0</v>
      </c>
      <c r="H10" s="154">
        <f>IF(OR('Données projet'!B13="",'Données projet'!C13="",'Données projet'!C13=0%),0,AVERAGE(Calculateur!$DI$3:$DI$33)*B10)</f>
        <v>0</v>
      </c>
      <c r="I10" s="148">
        <f>H10*(100%-'Données projet'!$C$24)*(100%-'Données projet'!$C$25)*(100%-'Données projet'!$C$26)*(100%-'Données projet'!$C$27)</f>
        <v>0</v>
      </c>
      <c r="J10" s="149">
        <f>IF(OR('Données projet'!B13="",'Données projet'!C13="",'Données projet'!C13=0%),0,SUM(Calculateur!$DB$3:$DB$33)*VLOOKUP('Données projet'!$B$13,Paramètres!$A$1:$I$89,9,0)*B10)</f>
        <v>0</v>
      </c>
      <c r="K10" s="150">
        <f>J10*(100%-'Données projet'!$C$24)*(100%-'Données projet'!$C$25)*(100%-'Données projet'!$C$26)*(100%-'Données projet'!$C$27)</f>
        <v>0</v>
      </c>
      <c r="L10" s="151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2" t="str">
        <f>IF('Données projet'!$B$14="","",'Données projet'!$B$14)</f>
        <v/>
      </c>
      <c r="B11" s="153">
        <f>'Données projet'!D14</f>
        <v>0</v>
      </c>
      <c r="C11" s="146">
        <f>IF(OR('Données projet'!B14="",'Données projet'!C14="",'Données projet'!C14=0%),0,Calculateur!DT3)</f>
        <v>0</v>
      </c>
      <c r="D11" s="146">
        <f>IF(OR('Données projet'!B14="",'Données projet'!C14="",'Données projet'!C14=0%),0,Calculateur!DU3)</f>
        <v>0</v>
      </c>
      <c r="E11" s="146">
        <f t="shared" si="0"/>
        <v>0</v>
      </c>
      <c r="F11" s="146">
        <f t="shared" si="1"/>
        <v>0</v>
      </c>
      <c r="G11" s="146">
        <f>F11*(100%-'Données projet'!$C$24)*(100%-'Données projet'!$C$25)*(100%-'Données projet'!$C$26)*(100%-'Données projet'!$C$27)</f>
        <v>0</v>
      </c>
      <c r="H11" s="154">
        <f>IF(OR('Données projet'!B14="",'Données projet'!C14="",'Données projet'!C14=0%),0,AVERAGE(Calculateur!$ED$3:$ED$33)*B11)</f>
        <v>0</v>
      </c>
      <c r="I11" s="148">
        <f>H11*(100%-'Données projet'!$C$24)*(100%-'Données projet'!$C$25)*(100%-'Données projet'!$C$26)*(100%-'Données projet'!$C$27)</f>
        <v>0</v>
      </c>
      <c r="J11" s="149">
        <f>IF(OR('Données projet'!B14="",'Données projet'!C14="",'Données projet'!C14=0%),0,SUM(Calculateur!$DW$3:$DW$33)*VLOOKUP('Données projet'!$B$14,Paramètres!$A$1:$I$89,9,0)*B11)</f>
        <v>0</v>
      </c>
      <c r="K11" s="150">
        <f>J11*(100%-'Données projet'!$C$24)*(100%-'Données projet'!$C$25)*(100%-'Données projet'!$C$26)*(100%-'Données projet'!$C$27)</f>
        <v>0</v>
      </c>
      <c r="L11" s="151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2" t="str">
        <f>IF('Données projet'!$B$15="","",'Données projet'!$B$15)</f>
        <v/>
      </c>
      <c r="B12" s="153">
        <f>'Données projet'!D15</f>
        <v>0</v>
      </c>
      <c r="C12" s="146">
        <f>IF(OR('Données projet'!B15="",'Données projet'!C15="",'Données projet'!C15=0%),0,Calculateur!EO3)</f>
        <v>0</v>
      </c>
      <c r="D12" s="146">
        <f>IF(OR('Données projet'!B15="",'Données projet'!C15="",'Données projet'!C15=0%),0,Calculateur!EP3)</f>
        <v>0</v>
      </c>
      <c r="E12" s="146">
        <f t="shared" si="0"/>
        <v>0</v>
      </c>
      <c r="F12" s="146">
        <f t="shared" si="1"/>
        <v>0</v>
      </c>
      <c r="G12" s="146">
        <f>F12*(100%-'Données projet'!$C$24)*(100%-'Données projet'!$C$25)*(100%-'Données projet'!$C$26)*(100%-'Données projet'!$C$27)</f>
        <v>0</v>
      </c>
      <c r="H12" s="154">
        <f>IF(OR('Données projet'!B15="",'Données projet'!C15="",'Données projet'!C15=0%),0,AVERAGE(Calculateur!$EY$3:$EY$33)*B12)</f>
        <v>0</v>
      </c>
      <c r="I12" s="148">
        <f>H12*(100%-'Données projet'!$C$24)*(100%-'Données projet'!$C$25)*(100%-'Données projet'!$C$26)*(100%-'Données projet'!$C$27)</f>
        <v>0</v>
      </c>
      <c r="J12" s="149">
        <f>IF(OR('Données projet'!B15="",'Données projet'!C15="",'Données projet'!C15=0%),0,SUM(Calculateur!$ER$3:$ER$33)*VLOOKUP('Données projet'!$B$15,Paramètres!$A$1:$I$89,9,0)*B12)</f>
        <v>0</v>
      </c>
      <c r="K12" s="150">
        <f>J12*(100%-'Données projet'!$C$24)*(100%-'Données projet'!$C$25)*(100%-'Données projet'!$C$26)*(100%-'Données projet'!$C$27)</f>
        <v>0</v>
      </c>
      <c r="L12" s="151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2" t="str">
        <f>IF('Données projet'!$B$16="","",'Données projet'!$B$16)</f>
        <v/>
      </c>
      <c r="B13" s="153">
        <f>'Données projet'!D16</f>
        <v>0</v>
      </c>
      <c r="C13" s="146">
        <f>IF(OR('Données projet'!B16="",'Données projet'!C16="",'Données projet'!C16=0%),0,Calculateur!FJ3)</f>
        <v>0</v>
      </c>
      <c r="D13" s="146">
        <f>IF(OR('Données projet'!B16="",'Données projet'!C16="",'Données projet'!C16=0%),0,Calculateur!FK3)</f>
        <v>0</v>
      </c>
      <c r="E13" s="146">
        <f t="shared" si="0"/>
        <v>0</v>
      </c>
      <c r="F13" s="146">
        <f t="shared" si="1"/>
        <v>0</v>
      </c>
      <c r="G13" s="146">
        <f>F13*(100%-'Données projet'!$C$24)*(100%-'Données projet'!$C$25)*(100%-'Données projet'!$C$26)*(100%-'Données projet'!$C$27)</f>
        <v>0</v>
      </c>
      <c r="H13" s="154">
        <f>IF(OR('Données projet'!B16="",'Données projet'!C16="",'Données projet'!C16=0%),0,AVERAGE(Calculateur!$FT$3:$FT$33)*B13)</f>
        <v>0</v>
      </c>
      <c r="I13" s="148">
        <f>H13*(100%-'Données projet'!$C$24)*(100%-'Données projet'!$C$25)*(100%-'Données projet'!$C$26)*(100%-'Données projet'!$C$27)</f>
        <v>0</v>
      </c>
      <c r="J13" s="149">
        <f>IF(OR('Données projet'!C16="",'Données projet'!C16=0%),0,SUM(Calculateur!$FM$3:$FM$33)*VLOOKUP('Données projet'!$B$16,Paramètres!$A$1:$I$89,9,0)*B13)</f>
        <v>0</v>
      </c>
      <c r="K13" s="150">
        <f>J13*(100%-'Données projet'!$C$24)*(100%-'Données projet'!$C$25)*(100%-'Données projet'!$C$26)*(100%-'Données projet'!$C$27)</f>
        <v>0</v>
      </c>
      <c r="L13" s="151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2" t="str">
        <f>IF('Données projet'!$B$17="","",'Données projet'!$B$17)</f>
        <v/>
      </c>
      <c r="B14" s="153">
        <f>'Données projet'!D17</f>
        <v>0</v>
      </c>
      <c r="C14" s="146">
        <f>IF(OR('Données projet'!B17="",'Données projet'!C17="",'Données projet'!C17=0%),0,Calculateur!GE3)</f>
        <v>0</v>
      </c>
      <c r="D14" s="146">
        <f>IF(OR('Données projet'!B17="",'Données projet'!C17="",'Données projet'!C17=0%),0,Calculateur!GF3)</f>
        <v>0</v>
      </c>
      <c r="E14" s="146">
        <f t="shared" si="0"/>
        <v>0</v>
      </c>
      <c r="F14" s="146">
        <f t="shared" si="1"/>
        <v>0</v>
      </c>
      <c r="G14" s="146">
        <f>F14*(100%-'Données projet'!$C$24)*(100%-'Données projet'!$C$25)*(100%-'Données projet'!$C$26)*(100%-'Données projet'!$C$27)</f>
        <v>0</v>
      </c>
      <c r="H14" s="154">
        <f>IF(OR('Données projet'!B17="",'Données projet'!C17="",'Données projet'!C17=0%),0,AVERAGE(Calculateur!$GO$3:$GO$33)*B14)</f>
        <v>0</v>
      </c>
      <c r="I14" s="148">
        <f>H14*(100%-'Données projet'!$C$24)*(100%-'Données projet'!$C$25)*(100%-'Données projet'!$C$26)*(100%-'Données projet'!$C$27)</f>
        <v>0</v>
      </c>
      <c r="J14" s="149">
        <f>IF(OR('Données projet'!B17="",'Données projet'!C17="",'Données projet'!C17=0%),0,SUM(Calculateur!$GH$3:$GH$33)*VLOOKUP('Données projet'!$B$17,Paramètres!$A$1:$I$89,9,0)*B14)</f>
        <v>0</v>
      </c>
      <c r="K14" s="150">
        <f>J14*(100%-'Données projet'!$C$24)*(100%-'Données projet'!$C$25)*(100%-'Données projet'!$C$26)*(100%-'Données projet'!$C$27)</f>
        <v>0</v>
      </c>
      <c r="L14" s="151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5" t="str">
        <f>IF('Données projet'!B18="","",'Données projet'!B18)</f>
        <v/>
      </c>
      <c r="B15" s="156">
        <f>'Données projet'!D18</f>
        <v>0</v>
      </c>
      <c r="C15" s="157">
        <f>IF(OR('Données projet'!B18="",'Données projet'!C18="",'Données projet'!C18=0%),0,Calculateur!GZ3)</f>
        <v>0</v>
      </c>
      <c r="D15" s="157">
        <f>IF(OR('Données projet'!B18="",'Données projet'!C18="",'Données projet'!C18=0%),0,Calculateur!HA3)</f>
        <v>0</v>
      </c>
      <c r="E15" s="157">
        <f t="shared" si="0"/>
        <v>0</v>
      </c>
      <c r="F15" s="158">
        <f t="shared" si="1"/>
        <v>0</v>
      </c>
      <c r="G15" s="158">
        <f>F15*(100%-'Données projet'!$C$24)*(100%-'Données projet'!$C$25)*(100%-'Données projet'!$C$26)*(100%-'Données projet'!$C$27)</f>
        <v>0</v>
      </c>
      <c r="H15" s="159">
        <f>IF(OR('Données projet'!B18="",'Données projet'!C18="",'Données projet'!C18=0%),0,AVERAGE(Calculateur!$HJ$3:$HJ$33)*B15)</f>
        <v>0</v>
      </c>
      <c r="I15" s="160">
        <f>H15*(100%-'Données projet'!$C$24)*(100%-'Données projet'!$C$25)*(100%-'Données projet'!$C$26)*(100%-'Données projet'!$C$27)</f>
        <v>0</v>
      </c>
      <c r="J15" s="161">
        <f>IF(OR('Données projet'!B18="",'Données projet'!C18="",'Données projet'!C18=0%),0,SUM(Calculateur!$HC$3:$HC$33)*VLOOKUP('Données projet'!$B$18,Paramètres!$A$1:$I$89,9,0)*B15)</f>
        <v>0</v>
      </c>
      <c r="K15" s="162">
        <f>J15*(100%-'Données projet'!$C$24)*(100%-'Données projet'!$C$25)*(100%-'Données projet'!$C$26)*(100%-'Données projet'!$C$27)</f>
        <v>0</v>
      </c>
      <c r="L15" s="163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8"/>
      <c r="B16" s="212"/>
      <c r="C16" s="213"/>
      <c r="D16" s="23"/>
      <c r="E16" s="23"/>
      <c r="F16" s="164">
        <f t="shared" ref="F16:L16" ca="1" si="3">SUM(F6:F15)</f>
        <v>2938.6325054980384</v>
      </c>
      <c r="G16" s="165">
        <f t="shared" ca="1" si="3"/>
        <v>2248.0538667059996</v>
      </c>
      <c r="H16" s="166">
        <f t="shared" si="3"/>
        <v>135.72243753250459</v>
      </c>
      <c r="I16" s="166">
        <f t="shared" si="3"/>
        <v>103.827664712366</v>
      </c>
      <c r="J16" s="167">
        <f t="shared" si="3"/>
        <v>1198.86165336</v>
      </c>
      <c r="K16" s="167">
        <f t="shared" si="3"/>
        <v>917.12916482039998</v>
      </c>
      <c r="L16" s="168">
        <f t="shared" ca="1" si="3"/>
        <v>3269.0106962387658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8"/>
      <c r="B17" s="212"/>
      <c r="C17" s="213"/>
      <c r="D17" s="23"/>
      <c r="E17" s="23"/>
      <c r="F17" s="288" t="s">
        <v>290</v>
      </c>
      <c r="G17" s="289"/>
      <c r="H17" s="289"/>
      <c r="I17" s="289"/>
      <c r="J17" s="289"/>
      <c r="K17" s="289"/>
      <c r="L17" s="289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8"/>
      <c r="B18" s="212"/>
      <c r="C18" s="213"/>
      <c r="D18" s="23"/>
      <c r="E18" s="23"/>
      <c r="F18" s="275"/>
      <c r="G18" s="275"/>
      <c r="H18" s="275"/>
      <c r="I18" s="275"/>
      <c r="J18" s="275"/>
      <c r="K18" s="275"/>
      <c r="L18" s="275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69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69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69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69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69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69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69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69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69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69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76" zoomScaleNormal="80" workbookViewId="0">
      <selection activeCell="I20" sqref="I20:I24"/>
    </sheetView>
  </sheetViews>
  <sheetFormatPr baseColWidth="10" defaultColWidth="11.46484375" defaultRowHeight="14.25" x14ac:dyDescent="0.45"/>
  <cols>
    <col min="1" max="1" width="11.46484375" style="1"/>
    <col min="2" max="2" width="30.796875" style="1" bestFit="1" customWidth="1"/>
    <col min="3" max="3" width="18.19921875" style="1" bestFit="1" customWidth="1"/>
    <col min="4" max="5" width="11.46484375" style="1"/>
    <col min="6" max="6" width="14" style="1" customWidth="1"/>
    <col min="7" max="7" width="17.53125" style="1" customWidth="1"/>
    <col min="8" max="8" width="21.796875" style="1" customWidth="1"/>
    <col min="9" max="9" width="37" style="1" customWidth="1"/>
    <col min="10" max="10" width="11.46484375" style="1"/>
    <col min="11" max="11" width="8.7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19921875" style="1" customWidth="1"/>
    <col min="21" max="21" width="16.46484375" style="1" customWidth="1"/>
    <col min="22" max="22" width="17.7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6" t="s">
        <v>291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6" t="s">
        <v>292</v>
      </c>
      <c r="I4" s="266"/>
      <c r="K4" s="290" t="s">
        <v>293</v>
      </c>
      <c r="L4" s="291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1"/>
      <c r="I6" s="171"/>
      <c r="J6" s="171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1"/>
      <c r="B7" s="242"/>
      <c r="C7" s="242"/>
      <c r="D7" s="242"/>
      <c r="E7" s="243"/>
      <c r="F7" s="243" t="s">
        <v>4</v>
      </c>
      <c r="G7" s="244"/>
      <c r="H7" s="242"/>
      <c r="I7" s="242"/>
      <c r="J7" s="245"/>
      <c r="K7" s="239"/>
      <c r="L7" s="240"/>
      <c r="M7" s="240"/>
      <c r="N7" s="246" t="s">
        <v>60</v>
      </c>
      <c r="O7" s="246"/>
      <c r="P7" s="247"/>
      <c r="Q7" s="248"/>
      <c r="R7" s="300" t="s">
        <v>294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2" t="s">
        <v>295</v>
      </c>
      <c r="C9" s="23"/>
      <c r="D9" s="23"/>
      <c r="E9" s="23"/>
      <c r="F9" s="229"/>
      <c r="G9" s="92" t="s">
        <v>296</v>
      </c>
      <c r="J9" s="199"/>
      <c r="K9" s="207"/>
      <c r="O9" s="23"/>
      <c r="P9" s="23"/>
      <c r="Q9" s="233"/>
      <c r="R9" s="23"/>
      <c r="S9" s="4"/>
      <c r="T9" s="36" t="s">
        <v>297</v>
      </c>
      <c r="U9" s="175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2" t="s">
        <v>300</v>
      </c>
      <c r="C10" s="23"/>
      <c r="D10" s="23"/>
      <c r="E10" s="23"/>
      <c r="F10" s="229"/>
      <c r="G10" s="92" t="s">
        <v>301</v>
      </c>
      <c r="J10" s="199"/>
      <c r="K10" s="207"/>
      <c r="O10" s="23"/>
      <c r="P10" s="23"/>
      <c r="Q10" s="233"/>
      <c r="R10" s="23"/>
      <c r="S10" s="36" t="str">
        <f>B14</f>
        <v>Chêne sessile</v>
      </c>
      <c r="T10" s="17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657.68968547477937</v>
      </c>
      <c r="U10" s="177">
        <f>'Données projet'!D9</f>
        <v>0.98980000000000012</v>
      </c>
      <c r="V10" s="176">
        <f>U10*T10</f>
        <v>650.98125068293666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2" t="s">
        <v>302</v>
      </c>
      <c r="B11" s="23"/>
      <c r="C11" s="23"/>
      <c r="D11" s="23"/>
      <c r="E11" s="23"/>
      <c r="F11" s="229"/>
      <c r="G11" s="92" t="s">
        <v>303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Pin maritime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2251.1591285036257</v>
      </c>
      <c r="U11" s="177">
        <f>'Données projet'!D10</f>
        <v>13.150200000000002</v>
      </c>
      <c r="V11" s="176">
        <f t="shared" ref="V11" si="0">U11*T11</f>
        <v>29603.192771648381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7">
        <f>'Données projet'!D11</f>
        <v>0</v>
      </c>
      <c r="V12" s="176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29"/>
      <c r="J13" s="23"/>
      <c r="K13" s="207"/>
      <c r="L13" s="92" t="s">
        <v>304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7">
        <f>'Données projet'!D12</f>
        <v>0</v>
      </c>
      <c r="V13" s="176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15</v>
      </c>
      <c r="B14" s="173" t="str">
        <f>IF('Données projet'!$B$9="","",'Données projet'!$B$9)</f>
        <v>Chêne sessile</v>
      </c>
      <c r="C14" s="4"/>
      <c r="D14" s="4"/>
      <c r="E14" s="4"/>
      <c r="F14" s="229"/>
      <c r="G14" s="23"/>
      <c r="H14" s="36" t="s">
        <v>79</v>
      </c>
      <c r="I14" s="36" t="s">
        <v>305</v>
      </c>
      <c r="J14" s="200"/>
      <c r="K14" s="172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7">
        <f>'Données projet'!D13</f>
        <v>0</v>
      </c>
      <c r="V14" s="176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29"/>
      <c r="G15" s="293" t="s">
        <v>306</v>
      </c>
      <c r="H15" s="189"/>
      <c r="I15" s="190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7">
        <f>'Données projet'!D14</f>
        <v>0</v>
      </c>
      <c r="V15" s="176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51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29"/>
      <c r="G16" s="293"/>
      <c r="H16" s="189"/>
      <c r="I16" s="190"/>
      <c r="J16" s="201"/>
      <c r="K16" s="207"/>
      <c r="L16" s="290" t="s">
        <v>311</v>
      </c>
      <c r="M16" s="291"/>
      <c r="N16" s="2">
        <v>60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7">
        <f>'Données projet'!D15</f>
        <v>0</v>
      </c>
      <c r="V16" s="176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8" t="s">
        <v>194</v>
      </c>
      <c r="C17" s="197" t="s">
        <v>194</v>
      </c>
      <c r="D17" s="196" t="s">
        <v>194</v>
      </c>
      <c r="E17" s="192"/>
      <c r="F17" s="229"/>
      <c r="G17" s="293"/>
      <c r="J17" s="201"/>
      <c r="K17" s="207"/>
      <c r="L17" s="263" t="s">
        <v>312</v>
      </c>
      <c r="M17" s="265"/>
      <c r="N17" s="174">
        <f>VLOOKUP(N16,Calculateur!$A$2:$H$153,3,0)/VLOOKUP('Scénario référence'!$G$15,Paramètres!A1:I89,3,0)/VLOOKUP('Scénario référence'!$G$15,Paramètres!A1:I89,5,0)</f>
        <v>60.000000000000057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7">
        <f>'Données projet'!D16</f>
        <v>0</v>
      </c>
      <c r="V17" s="176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8" t="s">
        <v>194</v>
      </c>
      <c r="C18" s="197" t="s">
        <v>194</v>
      </c>
      <c r="D18" s="196" t="s">
        <v>194</v>
      </c>
      <c r="E18" s="192"/>
      <c r="F18" s="229"/>
      <c r="G18" s="293"/>
      <c r="J18" s="201"/>
      <c r="K18" s="207"/>
      <c r="L18" s="263" t="s">
        <v>308</v>
      </c>
      <c r="M18" s="265"/>
      <c r="N18" s="191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7">
        <f>'Données projet'!D17</f>
        <v>0</v>
      </c>
      <c r="V18" s="176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8" t="s">
        <v>194</v>
      </c>
      <c r="C19" s="197" t="s">
        <v>194</v>
      </c>
      <c r="D19" s="196" t="s">
        <v>194</v>
      </c>
      <c r="E19" s="192"/>
      <c r="F19" s="229"/>
      <c r="G19" s="293"/>
      <c r="H19" s="211" t="s">
        <v>79</v>
      </c>
      <c r="I19" s="211" t="s">
        <v>313</v>
      </c>
      <c r="J19" s="92"/>
      <c r="K19" s="172"/>
      <c r="L19" s="290" t="s">
        <v>314</v>
      </c>
      <c r="M19" s="291"/>
      <c r="N19" s="178">
        <f>N17*N18</f>
        <v>600.00000000000057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7">
        <f>'Données projet'!D18</f>
        <v>0</v>
      </c>
      <c r="V19" s="176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8" t="s">
        <v>194</v>
      </c>
      <c r="C20" s="197" t="s">
        <v>194</v>
      </c>
      <c r="D20" s="196" t="s">
        <v>194</v>
      </c>
      <c r="E20" s="192"/>
      <c r="F20" s="229"/>
      <c r="G20" s="293"/>
      <c r="H20" s="189">
        <v>1</v>
      </c>
      <c r="I20" s="190">
        <v>3010.4545454545455</v>
      </c>
      <c r="J20" s="4"/>
      <c r="K20" s="172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8" t="s">
        <v>194</v>
      </c>
      <c r="C21" s="197" t="s">
        <v>194</v>
      </c>
      <c r="D21" s="196" t="s">
        <v>194</v>
      </c>
      <c r="E21" s="192"/>
      <c r="F21" s="229"/>
      <c r="H21" s="189">
        <v>2</v>
      </c>
      <c r="I21" s="190">
        <v>1011.8181818181819</v>
      </c>
      <c r="K21" s="172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8" t="s">
        <v>194</v>
      </c>
      <c r="C22" s="197" t="s">
        <v>194</v>
      </c>
      <c r="D22" s="196" t="s">
        <v>194</v>
      </c>
      <c r="E22" s="192"/>
      <c r="F22" s="229"/>
      <c r="H22" s="189">
        <v>3</v>
      </c>
      <c r="I22" s="190">
        <v>1011.8181818181819</v>
      </c>
      <c r="K22" s="172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79">
        <f>'Données projet'!A36</f>
        <v>42</v>
      </c>
      <c r="B23" s="180">
        <f>'Données projet'!D36</f>
        <v>44.510000000000005</v>
      </c>
      <c r="C23" s="192">
        <v>12.5</v>
      </c>
      <c r="D23" s="181">
        <f>B23*C23</f>
        <v>556.37500000000011</v>
      </c>
      <c r="E23" s="192">
        <v>60</v>
      </c>
      <c r="F23" s="260"/>
      <c r="H23" s="189">
        <v>4</v>
      </c>
      <c r="I23" s="190">
        <v>1011.8181818181819</v>
      </c>
      <c r="K23" s="207"/>
      <c r="L23" s="292" t="s">
        <v>315</v>
      </c>
      <c r="M23" s="292"/>
      <c r="N23" s="292"/>
      <c r="O23" s="23"/>
      <c r="P23" s="23"/>
      <c r="Q23" s="233"/>
      <c r="R23" s="23"/>
      <c r="S23" s="36" t="s">
        <v>316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-59597.451623057255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79">
        <f>'Données projet'!A37</f>
        <v>50</v>
      </c>
      <c r="B24" s="180">
        <f>'Données projet'!D37</f>
        <v>37.54000000000002</v>
      </c>
      <c r="C24" s="192">
        <v>12.5</v>
      </c>
      <c r="D24" s="181">
        <f t="shared" ref="D24:D42" si="2">B24*C24</f>
        <v>469.25000000000023</v>
      </c>
      <c r="E24" s="192">
        <v>60</v>
      </c>
      <c r="H24" s="189">
        <v>5</v>
      </c>
      <c r="I24" s="190">
        <v>1011.8181818181819</v>
      </c>
      <c r="K24" s="207"/>
      <c r="O24" s="23"/>
      <c r="P24" s="23"/>
      <c r="Q24" s="233"/>
      <c r="R24" s="23"/>
      <c r="S24" s="36" t="s">
        <v>317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604.81594625379751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79">
        <f>'Données projet'!A38</f>
        <v>58</v>
      </c>
      <c r="B25" s="180">
        <f>'Données projet'!D38</f>
        <v>47.789999999999992</v>
      </c>
      <c r="C25" s="192">
        <v>12.5</v>
      </c>
      <c r="D25" s="181">
        <f t="shared" si="2"/>
        <v>597.37499999999989</v>
      </c>
      <c r="E25" s="192">
        <v>60</v>
      </c>
      <c r="H25" s="189"/>
      <c r="I25" s="190"/>
      <c r="K25" s="207"/>
      <c r="L25" s="129" t="s">
        <v>318</v>
      </c>
      <c r="M25" s="129"/>
      <c r="N25" s="129"/>
      <c r="O25" s="129"/>
      <c r="P25" s="191">
        <v>0</v>
      </c>
      <c r="Q25" s="233"/>
      <c r="R25" s="23"/>
      <c r="S25" s="185" t="s">
        <v>319</v>
      </c>
      <c r="T25" s="307">
        <f ca="1">T23-T24</f>
        <v>-60202.26756931105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79">
        <f>'Données projet'!A39</f>
        <v>66</v>
      </c>
      <c r="B26" s="180">
        <f>'Données projet'!D39</f>
        <v>53.679999999999978</v>
      </c>
      <c r="C26" s="192">
        <v>45.375</v>
      </c>
      <c r="D26" s="181">
        <f t="shared" si="2"/>
        <v>2435.7299999999991</v>
      </c>
      <c r="E26" s="192">
        <v>60</v>
      </c>
      <c r="G26" s="228"/>
      <c r="H26" s="189"/>
      <c r="I26" s="190"/>
      <c r="K26" s="207"/>
      <c r="L26" s="294" t="s">
        <v>320</v>
      </c>
      <c r="M26" s="295"/>
      <c r="N26" s="295"/>
      <c r="O26" s="295"/>
      <c r="P26" s="296"/>
      <c r="Q26" s="233"/>
      <c r="R26" s="23"/>
      <c r="S26" s="185" t="s">
        <v>321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79">
        <f>'Données projet'!A40</f>
        <v>74</v>
      </c>
      <c r="B27" s="180">
        <f>'Données projet'!D40</f>
        <v>51.339999999999975</v>
      </c>
      <c r="C27" s="192">
        <v>45.375</v>
      </c>
      <c r="D27" s="181">
        <f t="shared" si="2"/>
        <v>2329.5524999999989</v>
      </c>
      <c r="E27" s="192">
        <v>60</v>
      </c>
      <c r="G27" s="228"/>
      <c r="H27" s="189"/>
      <c r="I27" s="190"/>
      <c r="K27" s="207"/>
      <c r="L27" s="297"/>
      <c r="M27" s="298"/>
      <c r="N27" s="298"/>
      <c r="O27" s="298"/>
      <c r="P27" s="299"/>
      <c r="Q27" s="233"/>
      <c r="R27" s="23"/>
      <c r="S27" s="303" t="s">
        <v>322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79">
        <f>'Données projet'!A41</f>
        <v>84</v>
      </c>
      <c r="B28" s="180">
        <f>'Données projet'!D41</f>
        <v>66.69</v>
      </c>
      <c r="C28" s="192">
        <v>45.375</v>
      </c>
      <c r="D28" s="181">
        <f t="shared" si="2"/>
        <v>3026.0587499999997</v>
      </c>
      <c r="E28" s="192">
        <v>60</v>
      </c>
      <c r="G28" s="204"/>
      <c r="H28" s="189"/>
      <c r="I28" s="190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79">
        <f>'Données projet'!A42</f>
        <v>94</v>
      </c>
      <c r="B29" s="180">
        <f>'Données projet'!D42</f>
        <v>67.350000000000023</v>
      </c>
      <c r="C29" s="192">
        <v>45.375</v>
      </c>
      <c r="D29" s="181">
        <f t="shared" si="2"/>
        <v>3056.0062500000008</v>
      </c>
      <c r="E29" s="192">
        <v>60</v>
      </c>
      <c r="G29" s="202"/>
      <c r="H29" s="189"/>
      <c r="I29" s="190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79">
        <f>'Données projet'!A43</f>
        <v>104</v>
      </c>
      <c r="B30" s="180">
        <f>'Données projet'!D43</f>
        <v>66.089999999999975</v>
      </c>
      <c r="C30" s="192">
        <v>45.375</v>
      </c>
      <c r="D30" s="181">
        <f t="shared" si="2"/>
        <v>2998.8337499999989</v>
      </c>
      <c r="E30" s="192">
        <v>60</v>
      </c>
      <c r="G30" s="202"/>
      <c r="H30" s="189"/>
      <c r="I30" s="190"/>
      <c r="K30" s="182"/>
      <c r="L30" s="36" t="s">
        <v>323</v>
      </c>
      <c r="M30" s="183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79">
        <f>'Données projet'!A44</f>
        <v>114</v>
      </c>
      <c r="B31" s="180">
        <f>'Données projet'!D44</f>
        <v>61.860000000000014</v>
      </c>
      <c r="C31" s="192">
        <v>45.375</v>
      </c>
      <c r="D31" s="181">
        <f t="shared" si="2"/>
        <v>2806.8975000000005</v>
      </c>
      <c r="E31" s="192">
        <v>60</v>
      </c>
      <c r="G31" s="202"/>
      <c r="H31" s="189"/>
      <c r="I31" s="190"/>
      <c r="K31" s="172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79">
        <f>'Données projet'!A45</f>
        <v>124</v>
      </c>
      <c r="B32" s="180">
        <f>'Données projet'!D45</f>
        <v>57.81</v>
      </c>
      <c r="C32" s="192">
        <v>45.375</v>
      </c>
      <c r="D32" s="181">
        <f t="shared" si="2"/>
        <v>2623.1287500000003</v>
      </c>
      <c r="E32" s="192">
        <v>60</v>
      </c>
      <c r="G32" s="202"/>
      <c r="H32" s="189"/>
      <c r="I32" s="190"/>
      <c r="K32" s="172"/>
      <c r="N32" s="4"/>
      <c r="O32" s="84" t="s">
        <v>79</v>
      </c>
      <c r="P32" s="84" t="s">
        <v>309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79">
        <f>'Données projet'!A46</f>
        <v>134</v>
      </c>
      <c r="B33" s="180">
        <f>'Données projet'!D46</f>
        <v>60.779999999999973</v>
      </c>
      <c r="C33" s="192">
        <v>138</v>
      </c>
      <c r="D33" s="181">
        <f t="shared" si="2"/>
        <v>8387.6399999999958</v>
      </c>
      <c r="E33" s="192">
        <v>60</v>
      </c>
      <c r="G33" s="202"/>
      <c r="H33" s="189"/>
      <c r="I33" s="190"/>
      <c r="K33" s="172"/>
      <c r="L33" s="4"/>
      <c r="M33" s="4"/>
      <c r="N33" s="4"/>
      <c r="O33" s="193">
        <v>0</v>
      </c>
      <c r="P33" s="184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79">
        <f>'Données projet'!A47</f>
        <v>144</v>
      </c>
      <c r="B34" s="180">
        <f>'Données projet'!D47</f>
        <v>61.800000000000068</v>
      </c>
      <c r="C34" s="192">
        <v>138</v>
      </c>
      <c r="D34" s="181">
        <f t="shared" si="2"/>
        <v>8528.4000000000087</v>
      </c>
      <c r="E34" s="192">
        <v>60</v>
      </c>
      <c r="G34" s="202"/>
      <c r="H34" s="189"/>
      <c r="I34" s="190"/>
      <c r="K34" s="172"/>
      <c r="L34" s="97"/>
      <c r="M34" s="97"/>
      <c r="N34" s="249"/>
      <c r="O34" s="193">
        <f>IF(O33+1&lt;=MIN('Données projet'!$E$9:$E$18),O33+1,"STOP")</f>
        <v>1</v>
      </c>
      <c r="P34" s="184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79">
        <f>'Données projet'!A48</f>
        <v>154</v>
      </c>
      <c r="B35" s="180">
        <f>'Données projet'!D48</f>
        <v>61.050000000000011</v>
      </c>
      <c r="C35" s="192">
        <v>138</v>
      </c>
      <c r="D35" s="181">
        <f t="shared" si="2"/>
        <v>8424.9000000000015</v>
      </c>
      <c r="E35" s="192">
        <v>60</v>
      </c>
      <c r="G35" s="202"/>
      <c r="H35" s="189"/>
      <c r="I35" s="190"/>
      <c r="K35" s="172"/>
      <c r="L35" s="97"/>
      <c r="M35" s="97"/>
      <c r="N35" s="249"/>
      <c r="O35" s="193">
        <f>IF(O34+1&lt;=MIN('Données projet'!$E$9:$E$18),O34+1,"STOP")</f>
        <v>2</v>
      </c>
      <c r="P35" s="184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79">
        <f>'Données projet'!A49</f>
        <v>164</v>
      </c>
      <c r="B36" s="180">
        <f>'Données projet'!D49</f>
        <v>66.020000000000095</v>
      </c>
      <c r="C36" s="192">
        <v>138</v>
      </c>
      <c r="D36" s="181">
        <f t="shared" si="2"/>
        <v>9110.760000000013</v>
      </c>
      <c r="E36" s="192">
        <v>60</v>
      </c>
      <c r="G36" s="202"/>
      <c r="H36" s="189"/>
      <c r="I36" s="190"/>
      <c r="K36" s="172"/>
      <c r="L36" s="23"/>
      <c r="M36" s="23"/>
      <c r="N36" s="23"/>
      <c r="O36" s="193">
        <f>IF(O35+1&lt;=MIN('Données projet'!$E$9:$E$18),O35+1,"STOP")</f>
        <v>3</v>
      </c>
      <c r="P36" s="184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79">
        <f>'Données projet'!A50</f>
        <v>174</v>
      </c>
      <c r="B37" s="180">
        <f>'Données projet'!D50</f>
        <v>240</v>
      </c>
      <c r="C37" s="192">
        <v>156.375</v>
      </c>
      <c r="D37" s="181">
        <f t="shared" si="2"/>
        <v>37530</v>
      </c>
      <c r="E37" s="192">
        <v>60</v>
      </c>
      <c r="G37" s="202"/>
      <c r="H37" s="189"/>
      <c r="I37" s="190"/>
      <c r="K37" s="172"/>
      <c r="L37" s="23"/>
      <c r="M37" s="23"/>
      <c r="N37" s="23"/>
      <c r="O37" s="193">
        <f>IF(O36+1&lt;=MIN('Données projet'!$E$9:$E$18),O36+1,"STOP")</f>
        <v>4</v>
      </c>
      <c r="P37" s="184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79">
        <f>'Données projet'!A51</f>
        <v>177</v>
      </c>
      <c r="B38" s="180">
        <f>'Données projet'!D51</f>
        <v>128.66000000000003</v>
      </c>
      <c r="C38" s="192">
        <v>156.375</v>
      </c>
      <c r="D38" s="181">
        <f t="shared" si="2"/>
        <v>20119.207500000004</v>
      </c>
      <c r="E38" s="192">
        <v>60</v>
      </c>
      <c r="G38" s="202"/>
      <c r="H38" s="189"/>
      <c r="I38" s="190"/>
      <c r="K38" s="172"/>
      <c r="L38" s="23"/>
      <c r="M38" s="23"/>
      <c r="N38" s="23"/>
      <c r="O38" s="193">
        <f>IF(O37+1&lt;=MIN('Données projet'!$E$9:$E$18),O37+1,"STOP")</f>
        <v>5</v>
      </c>
      <c r="P38" s="184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79">
        <f>'Données projet'!A52</f>
        <v>180</v>
      </c>
      <c r="B39" s="180">
        <f>'Données projet'!D52</f>
        <v>86.97</v>
      </c>
      <c r="C39" s="192">
        <v>156.375</v>
      </c>
      <c r="D39" s="181">
        <f t="shared" si="2"/>
        <v>13599.93375</v>
      </c>
      <c r="E39" s="192">
        <v>60</v>
      </c>
      <c r="G39" s="202"/>
      <c r="H39" s="189"/>
      <c r="I39" s="190"/>
      <c r="K39" s="207"/>
      <c r="L39" s="23"/>
      <c r="M39" s="23"/>
      <c r="N39" s="23"/>
      <c r="O39" s="193">
        <f>IF(O38+1&lt;=MIN('Données projet'!$E$9:$E$18),O38+1,"STOP")</f>
        <v>6</v>
      </c>
      <c r="P39" s="184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79">
        <f>'Données projet'!A53</f>
        <v>183</v>
      </c>
      <c r="B40" s="180">
        <f>'Données projet'!D53</f>
        <v>191.47</v>
      </c>
      <c r="C40" s="192">
        <v>156.375</v>
      </c>
      <c r="D40" s="181">
        <f t="shared" si="2"/>
        <v>29941.12125</v>
      </c>
      <c r="E40" s="192">
        <v>60</v>
      </c>
      <c r="G40" s="202"/>
      <c r="H40" s="189"/>
      <c r="I40" s="190"/>
      <c r="K40" s="207"/>
      <c r="L40" s="23"/>
      <c r="M40" s="23"/>
      <c r="N40" s="23"/>
      <c r="O40" s="193">
        <f>IF(O39+1&lt;=MIN('Données projet'!$E$9:$E$18),O39+1,"STOP")</f>
        <v>7</v>
      </c>
      <c r="P40" s="184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79">
        <f>'Données projet'!A54</f>
        <v>0</v>
      </c>
      <c r="B41" s="180">
        <f>'Données projet'!D54</f>
        <v>0</v>
      </c>
      <c r="C41" s="192"/>
      <c r="D41" s="181">
        <f t="shared" si="2"/>
        <v>0</v>
      </c>
      <c r="E41" s="192"/>
      <c r="G41" s="202"/>
      <c r="H41" s="189"/>
      <c r="I41" s="190"/>
      <c r="K41" s="207"/>
      <c r="L41" s="23"/>
      <c r="M41" s="23"/>
      <c r="N41" s="23"/>
      <c r="O41" s="193">
        <f>IF(O40+1&lt;=MIN('Données projet'!$E$9:$E$18),O40+1,"STOP")</f>
        <v>8</v>
      </c>
      <c r="P41" s="184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79">
        <f>'Données projet'!A55</f>
        <v>0</v>
      </c>
      <c r="B42" s="180">
        <f>'Données projet'!D55</f>
        <v>0</v>
      </c>
      <c r="C42" s="192"/>
      <c r="D42" s="181">
        <f t="shared" si="2"/>
        <v>0</v>
      </c>
      <c r="E42" s="192"/>
      <c r="G42" s="202"/>
      <c r="H42" s="189"/>
      <c r="I42" s="190"/>
      <c r="K42" s="207"/>
      <c r="L42" s="23"/>
      <c r="M42" s="23"/>
      <c r="N42" s="23"/>
      <c r="O42" s="193">
        <f>IF(O41+1&lt;=MIN('Données projet'!$E$9:$E$18),O41+1,"STOP")</f>
        <v>9</v>
      </c>
      <c r="P42" s="184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6"/>
      <c r="B43" s="186"/>
      <c r="C43" s="186"/>
      <c r="D43" s="226"/>
      <c r="E43" s="226"/>
      <c r="F43" s="237"/>
      <c r="G43" s="202"/>
      <c r="H43" s="189"/>
      <c r="I43" s="190"/>
      <c r="K43" s="207"/>
      <c r="L43" s="23"/>
      <c r="M43" s="23"/>
      <c r="N43" s="23"/>
      <c r="O43" s="193">
        <f>IF(O42+1&lt;=MIN('Données projet'!$E$9:$E$18),O42+1,"STOP")</f>
        <v>10</v>
      </c>
      <c r="P43" s="184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29"/>
      <c r="G44" s="202"/>
      <c r="H44" s="189"/>
      <c r="I44" s="190"/>
      <c r="K44" s="207"/>
      <c r="L44" s="23"/>
      <c r="M44" s="23"/>
      <c r="N44" s="23"/>
      <c r="O44" s="193">
        <f>IF(O43+1&lt;=MIN('Données projet'!$E$9:$E$18),O43+1,"STOP")</f>
        <v>11</v>
      </c>
      <c r="P44" s="184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18</v>
      </c>
      <c r="B45" s="173" t="str">
        <f>IF('Données projet'!$B$10="","",'Données projet'!$B$10)</f>
        <v>Pin maritime</v>
      </c>
      <c r="C45" s="4"/>
      <c r="D45" s="4"/>
      <c r="E45" s="4"/>
      <c r="F45" s="229"/>
      <c r="G45" s="202"/>
      <c r="H45" s="189"/>
      <c r="I45" s="190"/>
      <c r="J45" s="23"/>
      <c r="K45" s="207"/>
      <c r="L45" s="23"/>
      <c r="M45" s="23"/>
      <c r="N45" s="23"/>
      <c r="O45" s="193">
        <f>IF(O44+1&lt;=MIN('Données projet'!$E$9:$E$18),O44+1,"STOP")</f>
        <v>12</v>
      </c>
      <c r="P45" s="184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29"/>
      <c r="G46" s="202"/>
      <c r="H46" s="189"/>
      <c r="I46" s="190"/>
      <c r="J46" s="23"/>
      <c r="K46" s="207"/>
      <c r="L46" s="203"/>
      <c r="M46" s="203"/>
      <c r="N46" s="203"/>
      <c r="O46" s="193">
        <f>IF(O45+1&lt;=MIN('Données projet'!$E$9:$E$18),O45+1,"STOP")</f>
        <v>13</v>
      </c>
      <c r="P46" s="187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51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0"/>
      <c r="G47" s="202"/>
      <c r="H47" s="189"/>
      <c r="I47" s="190"/>
      <c r="J47" s="23"/>
      <c r="K47" s="207"/>
      <c r="L47" s="4"/>
      <c r="M47" s="4"/>
      <c r="N47" s="4"/>
      <c r="O47" s="193">
        <f>IF(O46+1&lt;=MIN('Données projet'!$E$9:$E$18),O46+1,"STOP")</f>
        <v>14</v>
      </c>
      <c r="P47" s="184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8" t="s">
        <v>194</v>
      </c>
      <c r="C48" s="197" t="s">
        <v>194</v>
      </c>
      <c r="D48" s="196" t="s">
        <v>194</v>
      </c>
      <c r="E48" s="192"/>
      <c r="F48" s="230"/>
      <c r="G48" s="202"/>
      <c r="H48" s="189"/>
      <c r="I48" s="190"/>
      <c r="J48" s="23"/>
      <c r="K48" s="207"/>
      <c r="L48" s="4"/>
      <c r="M48" s="4"/>
      <c r="N48" s="4"/>
      <c r="O48" s="193">
        <f>IF(O47+1&lt;=MIN('Données projet'!$E$9:$E$18),O47+1,"STOP")</f>
        <v>15</v>
      </c>
      <c r="P48" s="184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4" customFormat="1" ht="17.25" customHeight="1" x14ac:dyDescent="0.45">
      <c r="A49" s="49">
        <v>1</v>
      </c>
      <c r="B49" s="198" t="s">
        <v>194</v>
      </c>
      <c r="C49" s="197" t="s">
        <v>194</v>
      </c>
      <c r="D49" s="196" t="s">
        <v>194</v>
      </c>
      <c r="E49" s="192"/>
      <c r="F49" s="230"/>
      <c r="G49" s="203"/>
      <c r="H49" s="189"/>
      <c r="I49" s="190"/>
      <c r="J49" s="203"/>
      <c r="K49" s="209"/>
      <c r="L49" s="4"/>
      <c r="M49" s="4"/>
      <c r="N49" s="4"/>
      <c r="O49" s="193">
        <f>IF(O48+1&lt;=MIN('Données projet'!$E$9:$E$18),O48+1,"STOP")</f>
        <v>16</v>
      </c>
      <c r="P49" s="184">
        <f t="shared" si="3"/>
        <v>0</v>
      </c>
      <c r="Q49" s="235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</row>
    <row r="50" spans="1:56" x14ac:dyDescent="0.45">
      <c r="A50" s="49">
        <v>2</v>
      </c>
      <c r="B50" s="198" t="s">
        <v>194</v>
      </c>
      <c r="C50" s="197" t="s">
        <v>194</v>
      </c>
      <c r="D50" s="196" t="s">
        <v>194</v>
      </c>
      <c r="E50" s="192"/>
      <c r="F50" s="230"/>
      <c r="G50" s="23"/>
      <c r="H50" s="189"/>
      <c r="I50" s="190"/>
      <c r="J50" s="23"/>
      <c r="K50" s="172"/>
      <c r="L50" s="4"/>
      <c r="M50" s="4"/>
      <c r="N50" s="4"/>
      <c r="O50" s="193">
        <f>IF(O49+1&lt;=MIN('Données projet'!$E$9:$E$18),O49+1,"STOP")</f>
        <v>17</v>
      </c>
      <c r="P50" s="184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8" t="s">
        <v>194</v>
      </c>
      <c r="C51" s="197" t="s">
        <v>194</v>
      </c>
      <c r="D51" s="196" t="s">
        <v>194</v>
      </c>
      <c r="E51" s="192"/>
      <c r="F51" s="230"/>
      <c r="G51" s="23"/>
      <c r="H51" s="189"/>
      <c r="I51" s="190"/>
      <c r="J51" s="23"/>
      <c r="K51" s="172"/>
      <c r="L51" s="4"/>
      <c r="M51" s="4"/>
      <c r="N51" s="4"/>
      <c r="O51" s="193">
        <f>IF(O50+1&lt;=MIN('Données projet'!$E$9:$E$18),O50+1,"STOP")</f>
        <v>18</v>
      </c>
      <c r="P51" s="184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8" t="s">
        <v>194</v>
      </c>
      <c r="C52" s="197" t="s">
        <v>194</v>
      </c>
      <c r="D52" s="196" t="s">
        <v>194</v>
      </c>
      <c r="E52" s="192"/>
      <c r="F52" s="230"/>
      <c r="G52" s="23"/>
      <c r="H52" s="189"/>
      <c r="I52" s="190"/>
      <c r="J52" s="23"/>
      <c r="K52" s="172"/>
      <c r="L52" s="4"/>
      <c r="M52" s="4"/>
      <c r="N52" s="4"/>
      <c r="O52" s="193">
        <f>IF(O51+1&lt;=MIN('Données projet'!$E$9:$E$18),O51+1,"STOP")</f>
        <v>19</v>
      </c>
      <c r="P52" s="184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8" t="s">
        <v>194</v>
      </c>
      <c r="C53" s="197" t="s">
        <v>194</v>
      </c>
      <c r="D53" s="196" t="s">
        <v>194</v>
      </c>
      <c r="E53" s="192"/>
      <c r="F53" s="230"/>
      <c r="G53" s="204"/>
      <c r="H53" s="189"/>
      <c r="I53" s="190"/>
      <c r="J53" s="23"/>
      <c r="K53" s="172"/>
      <c r="L53" s="4"/>
      <c r="M53" s="4"/>
      <c r="N53" s="4"/>
      <c r="O53" s="193">
        <f>IF(O52+1&lt;=MIN('Données projet'!$E$9:$E$18),O52+1,"STOP")</f>
        <v>20</v>
      </c>
      <c r="P53" s="184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79">
        <f>'Données projet'!A62</f>
        <v>17</v>
      </c>
      <c r="B54" s="180">
        <f>'Données projet'!D62</f>
        <v>41.179999999999993</v>
      </c>
      <c r="C54" s="190">
        <v>8</v>
      </c>
      <c r="D54" s="178">
        <f>B54*C54</f>
        <v>329.43999999999994</v>
      </c>
      <c r="E54" s="192">
        <v>60</v>
      </c>
      <c r="F54" s="260"/>
      <c r="G54" s="204"/>
      <c r="H54" s="189"/>
      <c r="I54" s="190"/>
      <c r="J54" s="23"/>
      <c r="K54" s="172"/>
      <c r="L54" s="4"/>
      <c r="M54" s="4"/>
      <c r="N54" s="4"/>
      <c r="O54" s="193">
        <f>IF(O53+1&lt;=MIN('Données projet'!$E$9:$E$18),O53+1,"STOP")</f>
        <v>21</v>
      </c>
      <c r="P54" s="184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79">
        <f>'Données projet'!A63</f>
        <v>23</v>
      </c>
      <c r="B55" s="180">
        <f>'Données projet'!D63</f>
        <v>58.370000000000005</v>
      </c>
      <c r="C55" s="190">
        <v>10.625</v>
      </c>
      <c r="D55" s="178">
        <f t="shared" ref="D55:D73" si="4">B55*C55</f>
        <v>620.18125000000009</v>
      </c>
      <c r="E55" s="192">
        <v>60</v>
      </c>
      <c r="G55" s="204"/>
      <c r="H55" s="189"/>
      <c r="I55" s="190"/>
      <c r="J55" s="23"/>
      <c r="K55" s="172"/>
      <c r="L55" s="4"/>
      <c r="M55" s="4"/>
      <c r="N55" s="4"/>
      <c r="O55" s="193">
        <f>IF(O54+1&lt;=MIN('Données projet'!$E$9:$E$18),O54+1,"STOP")</f>
        <v>22</v>
      </c>
      <c r="P55" s="184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79">
        <f>'Données projet'!A64</f>
        <v>29</v>
      </c>
      <c r="B56" s="180">
        <f>'Données projet'!D64</f>
        <v>54.97</v>
      </c>
      <c r="C56" s="190">
        <v>26.75</v>
      </c>
      <c r="D56" s="178">
        <f t="shared" si="4"/>
        <v>1470.4475</v>
      </c>
      <c r="E56" s="192">
        <v>60</v>
      </c>
      <c r="G56" s="204"/>
      <c r="H56" s="189"/>
      <c r="I56" s="190"/>
      <c r="J56" s="23"/>
      <c r="K56" s="172"/>
      <c r="L56" s="4"/>
      <c r="M56" s="4"/>
      <c r="N56" s="4"/>
      <c r="O56" s="193">
        <f>IF(O55+1&lt;=MIN('Données projet'!$E$9:$E$18),O55+1,"STOP")</f>
        <v>23</v>
      </c>
      <c r="P56" s="184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79">
        <f>'Données projet'!A65</f>
        <v>36</v>
      </c>
      <c r="B57" s="180">
        <f>'Données projet'!D65</f>
        <v>76.509999999999991</v>
      </c>
      <c r="C57" s="190">
        <v>26.75</v>
      </c>
      <c r="D57" s="178">
        <f t="shared" si="4"/>
        <v>2046.6424999999997</v>
      </c>
      <c r="E57" s="192">
        <v>60</v>
      </c>
      <c r="F57" s="260"/>
      <c r="G57" s="204"/>
      <c r="H57" s="189"/>
      <c r="I57" s="190"/>
      <c r="J57" s="23"/>
      <c r="K57" s="172"/>
      <c r="L57" s="4"/>
      <c r="M57" s="4"/>
      <c r="N57" s="4"/>
      <c r="O57" s="193">
        <f>IF(O56+1&lt;=MIN('Données projet'!$E$9:$E$18),O56+1,"STOP")</f>
        <v>24</v>
      </c>
      <c r="P57" s="184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79">
        <f>'Données projet'!A66</f>
        <v>44</v>
      </c>
      <c r="B58" s="180">
        <f>'Données projet'!D66</f>
        <v>78.240000000000009</v>
      </c>
      <c r="C58" s="190">
        <v>26.75</v>
      </c>
      <c r="D58" s="178">
        <f t="shared" si="4"/>
        <v>2092.92</v>
      </c>
      <c r="E58" s="192">
        <v>60</v>
      </c>
      <c r="G58" s="204"/>
      <c r="H58" s="189"/>
      <c r="I58" s="190"/>
      <c r="J58" s="23"/>
      <c r="K58" s="172"/>
      <c r="L58" s="4"/>
      <c r="M58" s="4"/>
      <c r="N58" s="4"/>
      <c r="O58" s="193">
        <f>IF(O57+1&lt;=MIN('Données projet'!$E$9:$E$18),O57+1,"STOP")</f>
        <v>25</v>
      </c>
      <c r="P58" s="184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79">
        <f>'Données projet'!A67</f>
        <v>52</v>
      </c>
      <c r="B59" s="180">
        <f>'Données projet'!D67</f>
        <v>75.70999999999998</v>
      </c>
      <c r="C59" s="190">
        <v>26.75</v>
      </c>
      <c r="D59" s="178">
        <f t="shared" si="4"/>
        <v>2025.2424999999994</v>
      </c>
      <c r="E59" s="192">
        <v>60</v>
      </c>
      <c r="G59" s="204"/>
      <c r="H59" s="189"/>
      <c r="I59" s="190"/>
      <c r="J59" s="23"/>
      <c r="K59" s="172"/>
      <c r="L59" s="4"/>
      <c r="M59" s="4"/>
      <c r="N59" s="4"/>
      <c r="O59" s="193">
        <f>IF(O58+1&lt;=MIN('Données projet'!$E$9:$E$18),O58+1,"STOP")</f>
        <v>26</v>
      </c>
      <c r="P59" s="184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79">
        <f>'Données projet'!A68</f>
        <v>60</v>
      </c>
      <c r="B60" s="180">
        <f>'Données projet'!D68</f>
        <v>437.74</v>
      </c>
      <c r="C60" s="190">
        <v>26.75</v>
      </c>
      <c r="D60" s="178">
        <f t="shared" si="4"/>
        <v>11709.545</v>
      </c>
      <c r="E60" s="192">
        <v>60</v>
      </c>
      <c r="G60" s="205"/>
      <c r="H60" s="189"/>
      <c r="I60" s="190"/>
      <c r="J60" s="23"/>
      <c r="K60" s="172"/>
      <c r="L60" s="4"/>
      <c r="M60" s="4"/>
      <c r="N60" s="4"/>
      <c r="O60" s="193">
        <f>IF(O59+1&lt;=MIN('Données projet'!$E$9:$E$18),O59+1,"STOP")</f>
        <v>27</v>
      </c>
      <c r="P60" s="184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79">
        <f>'Données projet'!A69</f>
        <v>0</v>
      </c>
      <c r="B61" s="180">
        <f>'Données projet'!D69</f>
        <v>0</v>
      </c>
      <c r="C61" s="190"/>
      <c r="D61" s="178">
        <f t="shared" si="4"/>
        <v>0</v>
      </c>
      <c r="E61" s="192"/>
      <c r="F61" s="231"/>
      <c r="G61" s="205"/>
      <c r="H61" s="189"/>
      <c r="I61" s="190"/>
      <c r="J61" s="23"/>
      <c r="K61" s="172"/>
      <c r="L61" s="4"/>
      <c r="M61" s="4"/>
      <c r="N61" s="4"/>
      <c r="O61" s="193">
        <f>IF(O60+1&lt;=MIN('Données projet'!$E$9:$E$18),O60+1,"STOP")</f>
        <v>28</v>
      </c>
      <c r="P61" s="184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79">
        <f>'Données projet'!A70</f>
        <v>0</v>
      </c>
      <c r="B62" s="180">
        <f>'Données projet'!D70</f>
        <v>0</v>
      </c>
      <c r="C62" s="190"/>
      <c r="D62" s="178">
        <f t="shared" si="4"/>
        <v>0</v>
      </c>
      <c r="E62" s="192"/>
      <c r="F62" s="231"/>
      <c r="G62" s="205"/>
      <c r="H62" s="189"/>
      <c r="I62" s="190"/>
      <c r="J62" s="23"/>
      <c r="K62" s="172"/>
      <c r="L62" s="4"/>
      <c r="M62" s="4"/>
      <c r="N62" s="4"/>
      <c r="O62" s="193">
        <f>IF(O61+1&lt;=MIN('Données projet'!$E$9:$E$18),O61+1,"STOP")</f>
        <v>29</v>
      </c>
      <c r="P62" s="184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79">
        <f>'Données projet'!A71</f>
        <v>0</v>
      </c>
      <c r="B63" s="180">
        <f>'Données projet'!D71</f>
        <v>0</v>
      </c>
      <c r="C63" s="190"/>
      <c r="D63" s="178">
        <f t="shared" si="4"/>
        <v>0</v>
      </c>
      <c r="E63" s="192"/>
      <c r="F63" s="231"/>
      <c r="G63" s="205"/>
      <c r="H63" s="189"/>
      <c r="I63" s="190"/>
      <c r="J63" s="23"/>
      <c r="K63" s="172"/>
      <c r="L63" s="4"/>
      <c r="M63" s="4"/>
      <c r="N63" s="4"/>
      <c r="O63" s="193">
        <f>IF(O62+1&lt;=MIN('Données projet'!$E$9:$E$18),O62+1,"STOP")</f>
        <v>30</v>
      </c>
      <c r="P63" s="184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79">
        <f>'Données projet'!A72</f>
        <v>0</v>
      </c>
      <c r="B64" s="180">
        <f>'Données projet'!D72</f>
        <v>0</v>
      </c>
      <c r="C64" s="190"/>
      <c r="D64" s="178">
        <f t="shared" si="4"/>
        <v>0</v>
      </c>
      <c r="E64" s="192"/>
      <c r="F64" s="231"/>
      <c r="G64" s="205"/>
      <c r="H64" s="189"/>
      <c r="I64" s="190"/>
      <c r="J64" s="206"/>
      <c r="K64" s="172"/>
      <c r="L64" s="4"/>
      <c r="M64" s="4"/>
      <c r="N64" s="4"/>
      <c r="O64" s="193">
        <f>IF(O63+1&lt;=MIN('Données projet'!$E$9:$E$18),O63+1,"STOP")</f>
        <v>31</v>
      </c>
      <c r="P64" s="184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79">
        <f>'Données projet'!A73</f>
        <v>0</v>
      </c>
      <c r="B65" s="180">
        <f>'Données projet'!D73</f>
        <v>0</v>
      </c>
      <c r="C65" s="190"/>
      <c r="D65" s="178">
        <f t="shared" si="4"/>
        <v>0</v>
      </c>
      <c r="E65" s="192"/>
      <c r="F65" s="231"/>
      <c r="G65" s="205"/>
      <c r="H65" s="189"/>
      <c r="I65" s="190"/>
      <c r="J65" s="188"/>
      <c r="K65" s="172"/>
      <c r="L65" s="4"/>
      <c r="M65" s="4"/>
      <c r="N65" s="4"/>
      <c r="O65" s="193">
        <f>IF(O64+1&lt;=MIN('Données projet'!$E$9:$E$18),O64+1,"STOP")</f>
        <v>32</v>
      </c>
      <c r="P65" s="184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79">
        <f>'Données projet'!A74</f>
        <v>0</v>
      </c>
      <c r="B66" s="180">
        <f>'Données projet'!D74</f>
        <v>0</v>
      </c>
      <c r="C66" s="190"/>
      <c r="D66" s="178">
        <f t="shared" si="4"/>
        <v>0</v>
      </c>
      <c r="E66" s="192"/>
      <c r="F66" s="231"/>
      <c r="G66" s="205"/>
      <c r="H66" s="189"/>
      <c r="I66" s="190"/>
      <c r="J66" s="188"/>
      <c r="K66" s="172"/>
      <c r="L66" s="4"/>
      <c r="M66" s="4"/>
      <c r="N66" s="4"/>
      <c r="O66" s="193">
        <f>IF(O65+1&lt;=MIN('Données projet'!$E$9:$E$18),O65+1,"STOP")</f>
        <v>33</v>
      </c>
      <c r="P66" s="184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79">
        <f>'Données projet'!A75</f>
        <v>0</v>
      </c>
      <c r="B67" s="180">
        <f>'Données projet'!D75</f>
        <v>0</v>
      </c>
      <c r="C67" s="190"/>
      <c r="D67" s="178">
        <f t="shared" si="4"/>
        <v>0</v>
      </c>
      <c r="E67" s="192"/>
      <c r="F67" s="231"/>
      <c r="G67" s="205"/>
      <c r="H67" s="189"/>
      <c r="I67" s="190"/>
      <c r="J67" s="188"/>
      <c r="K67" s="172"/>
      <c r="L67" s="4"/>
      <c r="M67" s="4"/>
      <c r="N67" s="4"/>
      <c r="O67" s="193">
        <f>IF(O66+1&lt;=MIN('Données projet'!$E$9:$E$18),O66+1,"STOP")</f>
        <v>34</v>
      </c>
      <c r="P67" s="184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79">
        <f>'Données projet'!A76</f>
        <v>0</v>
      </c>
      <c r="B68" s="180">
        <f>'Données projet'!D76</f>
        <v>0</v>
      </c>
      <c r="C68" s="190"/>
      <c r="D68" s="178">
        <f t="shared" si="4"/>
        <v>0</v>
      </c>
      <c r="E68" s="192"/>
      <c r="F68" s="231"/>
      <c r="G68" s="205"/>
      <c r="H68" s="189"/>
      <c r="I68" s="190"/>
      <c r="J68" s="188"/>
      <c r="K68" s="172"/>
      <c r="L68" s="4"/>
      <c r="M68" s="4"/>
      <c r="N68" s="4"/>
      <c r="O68" s="193">
        <f>IF(O67+1&lt;=MIN('Données projet'!$E$9:$E$18),O67+1,"STOP")</f>
        <v>35</v>
      </c>
      <c r="P68" s="184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79">
        <f>'Données projet'!A77</f>
        <v>0</v>
      </c>
      <c r="B69" s="180">
        <f>'Données projet'!D77</f>
        <v>0</v>
      </c>
      <c r="C69" s="190"/>
      <c r="D69" s="178">
        <f t="shared" si="4"/>
        <v>0</v>
      </c>
      <c r="E69" s="192"/>
      <c r="F69" s="231"/>
      <c r="G69" s="205"/>
      <c r="H69" s="189"/>
      <c r="I69" s="190"/>
      <c r="J69" s="188"/>
      <c r="K69" s="172"/>
      <c r="L69" s="4"/>
      <c r="M69" s="4"/>
      <c r="N69" s="4"/>
      <c r="O69" s="193">
        <f>IF(O68+1&lt;=MIN('Données projet'!$E$9:$E$18),O68+1,"STOP")</f>
        <v>36</v>
      </c>
      <c r="P69" s="184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79">
        <f>'Données projet'!A78</f>
        <v>0</v>
      </c>
      <c r="B70" s="180">
        <f>'Données projet'!D78</f>
        <v>0</v>
      </c>
      <c r="C70" s="190"/>
      <c r="D70" s="178">
        <f t="shared" si="4"/>
        <v>0</v>
      </c>
      <c r="E70" s="192"/>
      <c r="F70" s="231"/>
      <c r="G70" s="205"/>
      <c r="H70" s="189"/>
      <c r="I70" s="190"/>
      <c r="J70" s="188"/>
      <c r="K70" s="172"/>
      <c r="L70" s="4"/>
      <c r="M70" s="4"/>
      <c r="N70" s="4"/>
      <c r="O70" s="193">
        <f>IF(O69+1&lt;=MIN('Données projet'!$E$9:$E$18),O69+1,"STOP")</f>
        <v>37</v>
      </c>
      <c r="P70" s="184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79">
        <f>'Données projet'!A79</f>
        <v>0</v>
      </c>
      <c r="B71" s="180">
        <f>'Données projet'!D79</f>
        <v>0</v>
      </c>
      <c r="C71" s="190"/>
      <c r="D71" s="178">
        <f t="shared" si="4"/>
        <v>0</v>
      </c>
      <c r="E71" s="192"/>
      <c r="F71" s="231"/>
      <c r="G71" s="205"/>
      <c r="H71" s="189"/>
      <c r="I71" s="190"/>
      <c r="J71" s="188"/>
      <c r="K71" s="172"/>
      <c r="L71" s="4"/>
      <c r="M71" s="4"/>
      <c r="N71" s="4"/>
      <c r="O71" s="193">
        <f>IF(O70+1&lt;=MIN('Données projet'!$E$9:$E$18),O70+1,"STOP")</f>
        <v>38</v>
      </c>
      <c r="P71" s="184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79">
        <f>'Données projet'!A80</f>
        <v>0</v>
      </c>
      <c r="B72" s="180">
        <f>'Données projet'!D80</f>
        <v>0</v>
      </c>
      <c r="C72" s="190"/>
      <c r="D72" s="178">
        <f t="shared" si="4"/>
        <v>0</v>
      </c>
      <c r="E72" s="192"/>
      <c r="F72" s="231"/>
      <c r="G72" s="205"/>
      <c r="H72" s="189"/>
      <c r="I72" s="190"/>
      <c r="J72" s="4"/>
      <c r="K72" s="172"/>
      <c r="L72" s="4"/>
      <c r="M72" s="4"/>
      <c r="N72" s="4"/>
      <c r="O72" s="193">
        <f>IF(O71+1&lt;=MIN('Données projet'!$E$9:$E$18),O71+1,"STOP")</f>
        <v>39</v>
      </c>
      <c r="P72" s="184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79">
        <f>'Données projet'!A81</f>
        <v>0</v>
      </c>
      <c r="B73" s="180">
        <f>'Données projet'!D81</f>
        <v>0</v>
      </c>
      <c r="C73" s="190"/>
      <c r="D73" s="178">
        <f t="shared" si="4"/>
        <v>0</v>
      </c>
      <c r="E73" s="192"/>
      <c r="F73" s="231"/>
      <c r="G73" s="205"/>
      <c r="H73" s="189"/>
      <c r="I73" s="190"/>
      <c r="J73" s="4"/>
      <c r="K73" s="172"/>
      <c r="L73" s="4"/>
      <c r="M73" s="4"/>
      <c r="N73" s="4"/>
      <c r="O73" s="193">
        <f>IF(O72+1&lt;=MIN('Données projet'!$E$9:$E$18),O72+1,"STOP")</f>
        <v>40</v>
      </c>
      <c r="P73" s="184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29"/>
      <c r="G74" s="205"/>
      <c r="H74" s="189"/>
      <c r="I74" s="190"/>
      <c r="J74" s="4"/>
      <c r="K74" s="172"/>
      <c r="L74" s="4"/>
      <c r="M74" s="4"/>
      <c r="N74" s="4"/>
      <c r="O74" s="193">
        <f>IF(O73+1&lt;=MIN('Données projet'!$E$9:$E$18),O73+1,"STOP")</f>
        <v>41</v>
      </c>
      <c r="P74" s="184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29"/>
      <c r="G75" s="205"/>
      <c r="H75" s="189"/>
      <c r="I75" s="190"/>
      <c r="J75" s="4"/>
      <c r="K75" s="172"/>
      <c r="L75" s="4"/>
      <c r="M75" s="4"/>
      <c r="N75" s="4"/>
      <c r="O75" s="193">
        <f>IF(O74+1&lt;=MIN('Données projet'!$E$9:$E$18),O74+1,"STOP")</f>
        <v>42</v>
      </c>
      <c r="P75" s="184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20</v>
      </c>
      <c r="B76" s="173" t="str">
        <f>IF('Données projet'!B11="","",'Données projet'!B11)</f>
        <v/>
      </c>
      <c r="C76" s="4"/>
      <c r="D76" s="4"/>
      <c r="E76" s="4"/>
      <c r="F76" s="229"/>
      <c r="G76" s="205"/>
      <c r="H76" s="189"/>
      <c r="I76" s="190"/>
      <c r="J76" s="4"/>
      <c r="K76" s="172"/>
      <c r="L76" s="4"/>
      <c r="M76" s="4"/>
      <c r="N76" s="4"/>
      <c r="O76" s="193">
        <f>IF(O75+1&lt;=MIN('Données projet'!$E$9:$E$18),O75+1,"STOP")</f>
        <v>43</v>
      </c>
      <c r="P76" s="184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29"/>
      <c r="G77" s="205"/>
      <c r="H77" s="189"/>
      <c r="I77" s="190"/>
      <c r="J77" s="4"/>
      <c r="K77" s="172"/>
      <c r="L77" s="4"/>
      <c r="M77" s="4"/>
      <c r="N77" s="4"/>
      <c r="O77" s="193">
        <f>IF(O76+1&lt;=MIN('Données projet'!$E$9:$E$18),O76+1,"STOP")</f>
        <v>44</v>
      </c>
      <c r="P77" s="184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51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0"/>
      <c r="G78" s="205"/>
      <c r="H78" s="189"/>
      <c r="I78" s="190"/>
      <c r="J78" s="4"/>
      <c r="K78" s="172"/>
      <c r="L78" s="4"/>
      <c r="M78" s="4"/>
      <c r="N78" s="4"/>
      <c r="O78" s="193">
        <f>IF(O77+1&lt;=MIN('Données projet'!$E$9:$E$18),O77+1,"STOP")</f>
        <v>45</v>
      </c>
      <c r="P78" s="184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8" t="s">
        <v>194</v>
      </c>
      <c r="C79" s="197" t="s">
        <v>194</v>
      </c>
      <c r="D79" s="196" t="s">
        <v>194</v>
      </c>
      <c r="E79" s="192"/>
      <c r="F79" s="230"/>
      <c r="G79" s="205"/>
      <c r="H79" s="189"/>
      <c r="I79" s="190"/>
      <c r="J79" s="4"/>
      <c r="K79" s="172"/>
      <c r="L79" s="4"/>
      <c r="M79" s="4"/>
      <c r="N79" s="4"/>
      <c r="O79" s="193">
        <f>IF(O78+1&lt;=MIN('Données projet'!$E$9:$E$18),O78+1,"STOP")</f>
        <v>46</v>
      </c>
      <c r="P79" s="184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8" t="s">
        <v>194</v>
      </c>
      <c r="C80" s="197" t="s">
        <v>194</v>
      </c>
      <c r="D80" s="196" t="s">
        <v>194</v>
      </c>
      <c r="E80" s="192"/>
      <c r="F80" s="230"/>
      <c r="G80" s="23"/>
      <c r="H80" s="189"/>
      <c r="I80" s="190"/>
      <c r="J80" s="4"/>
      <c r="K80" s="172"/>
      <c r="L80" s="4"/>
      <c r="M80" s="4"/>
      <c r="N80" s="4"/>
      <c r="O80" s="193">
        <f>IF(O79+1&lt;=MIN('Données projet'!$E$9:$E$18),O79+1,"STOP")</f>
        <v>47</v>
      </c>
      <c r="P80" s="184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8" t="s">
        <v>194</v>
      </c>
      <c r="C81" s="197" t="s">
        <v>194</v>
      </c>
      <c r="D81" s="196" t="s">
        <v>194</v>
      </c>
      <c r="E81" s="192"/>
      <c r="F81" s="230"/>
      <c r="G81" s="23"/>
      <c r="H81" s="189"/>
      <c r="I81" s="190"/>
      <c r="J81" s="4"/>
      <c r="K81" s="172"/>
      <c r="L81" s="4"/>
      <c r="M81" s="4"/>
      <c r="N81" s="4"/>
      <c r="O81" s="193">
        <f>IF(O80+1&lt;=MIN('Données projet'!$E$9:$E$18),O80+1,"STOP")</f>
        <v>48</v>
      </c>
      <c r="P81" s="184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8" t="s">
        <v>194</v>
      </c>
      <c r="C82" s="197" t="s">
        <v>194</v>
      </c>
      <c r="D82" s="196" t="s">
        <v>194</v>
      </c>
      <c r="E82" s="192"/>
      <c r="F82" s="230"/>
      <c r="G82" s="23"/>
      <c r="H82" s="189"/>
      <c r="I82" s="190"/>
      <c r="J82" s="4"/>
      <c r="K82" s="172"/>
      <c r="L82" s="4"/>
      <c r="M82" s="4"/>
      <c r="N82" s="4"/>
      <c r="O82" s="193">
        <f>IF(O81+1&lt;=MIN('Données projet'!$E$9:$E$18),O81+1,"STOP")</f>
        <v>49</v>
      </c>
      <c r="P82" s="184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8" t="s">
        <v>194</v>
      </c>
      <c r="C83" s="197" t="s">
        <v>194</v>
      </c>
      <c r="D83" s="196" t="s">
        <v>194</v>
      </c>
      <c r="E83" s="192"/>
      <c r="F83" s="230"/>
      <c r="G83" s="23"/>
      <c r="H83" s="189"/>
      <c r="I83" s="190"/>
      <c r="J83" s="4"/>
      <c r="K83" s="172"/>
      <c r="L83" s="4"/>
      <c r="M83" s="4"/>
      <c r="N83" s="4"/>
      <c r="O83" s="193">
        <f>IF(O82+1&lt;=MIN('Données projet'!$E$9:$E$18),O82+1,"STOP")</f>
        <v>50</v>
      </c>
      <c r="P83" s="184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8" t="s">
        <v>194</v>
      </c>
      <c r="C84" s="197" t="s">
        <v>194</v>
      </c>
      <c r="D84" s="196" t="s">
        <v>194</v>
      </c>
      <c r="E84" s="192"/>
      <c r="F84" s="230"/>
      <c r="G84" s="204"/>
      <c r="H84" s="189"/>
      <c r="I84" s="190"/>
      <c r="J84" s="4"/>
      <c r="K84" s="172"/>
      <c r="L84" s="4"/>
      <c r="M84" s="4"/>
      <c r="N84" s="4"/>
      <c r="O84" s="193">
        <f>IF(O83+1&lt;=MIN('Données projet'!$E$9:$E$18),O83+1,"STOP")</f>
        <v>51</v>
      </c>
      <c r="P84" s="184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79">
        <f>'Données projet'!A88</f>
        <v>0</v>
      </c>
      <c r="B85" s="180">
        <f>'Données projet'!D88</f>
        <v>0</v>
      </c>
      <c r="C85" s="190">
        <v>10</v>
      </c>
      <c r="D85" s="178">
        <f>B85*C85</f>
        <v>0</v>
      </c>
      <c r="E85" s="192">
        <v>60</v>
      </c>
      <c r="F85" s="231"/>
      <c r="G85" s="204"/>
      <c r="H85" s="189"/>
      <c r="I85" s="190"/>
      <c r="J85" s="4"/>
      <c r="K85" s="172"/>
      <c r="L85" s="4"/>
      <c r="M85" s="4"/>
      <c r="N85" s="4"/>
      <c r="O85" s="193">
        <f>IF(O84+1&lt;=MIN('Données projet'!$E$9:$E$18),O84+1,"STOP")</f>
        <v>52</v>
      </c>
      <c r="P85" s="184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79">
        <f>'Données projet'!A89</f>
        <v>0</v>
      </c>
      <c r="B86" s="180">
        <f>'Données projet'!D89</f>
        <v>0</v>
      </c>
      <c r="C86" s="190">
        <v>10</v>
      </c>
      <c r="D86" s="178">
        <f t="shared" ref="D86:D104" si="6">B86*C86</f>
        <v>0</v>
      </c>
      <c r="E86" s="192">
        <v>60</v>
      </c>
      <c r="F86" s="231"/>
      <c r="G86" s="204"/>
      <c r="H86" s="189"/>
      <c r="I86" s="190"/>
      <c r="J86" s="4"/>
      <c r="K86" s="172"/>
      <c r="L86" s="4"/>
      <c r="M86" s="4"/>
      <c r="N86" s="4"/>
      <c r="O86" s="193">
        <f>IF(O85+1&lt;=MIN('Données projet'!$E$9:$E$18),O85+1,"STOP")</f>
        <v>53</v>
      </c>
      <c r="P86" s="184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79">
        <f>'Données projet'!A90</f>
        <v>0</v>
      </c>
      <c r="B87" s="180">
        <f>'Données projet'!D90</f>
        <v>0</v>
      </c>
      <c r="C87" s="190">
        <v>10</v>
      </c>
      <c r="D87" s="178">
        <f t="shared" si="6"/>
        <v>0</v>
      </c>
      <c r="E87" s="192">
        <v>60</v>
      </c>
      <c r="F87" s="231"/>
      <c r="G87" s="204"/>
      <c r="H87" s="189"/>
      <c r="I87" s="190"/>
      <c r="J87" s="4"/>
      <c r="K87" s="172"/>
      <c r="L87" s="4"/>
      <c r="M87" s="4"/>
      <c r="N87" s="4"/>
      <c r="O87" s="193">
        <f>IF(O86+1&lt;=MIN('Données projet'!$E$9:$E$18),O86+1,"STOP")</f>
        <v>54</v>
      </c>
      <c r="P87" s="184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79">
        <f>'Données projet'!A91</f>
        <v>0</v>
      </c>
      <c r="B88" s="180">
        <f>'Données projet'!D91</f>
        <v>0</v>
      </c>
      <c r="C88" s="190">
        <v>18.125</v>
      </c>
      <c r="D88" s="178">
        <f t="shared" si="6"/>
        <v>0</v>
      </c>
      <c r="E88" s="192">
        <v>60</v>
      </c>
      <c r="F88" s="231"/>
      <c r="G88" s="204"/>
      <c r="H88" s="189"/>
      <c r="I88" s="190"/>
      <c r="J88" s="4"/>
      <c r="K88" s="172"/>
      <c r="L88" s="4"/>
      <c r="M88" s="4"/>
      <c r="N88" s="4"/>
      <c r="O88" s="193">
        <f>IF(O87+1&lt;=MIN('Données projet'!$E$9:$E$18),O87+1,"STOP")</f>
        <v>55</v>
      </c>
      <c r="P88" s="184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79">
        <f>'Données projet'!A92</f>
        <v>0</v>
      </c>
      <c r="B89" s="180">
        <f>'Données projet'!D92</f>
        <v>0</v>
      </c>
      <c r="C89" s="190">
        <v>18.125</v>
      </c>
      <c r="D89" s="178">
        <f t="shared" si="6"/>
        <v>0</v>
      </c>
      <c r="E89" s="192">
        <v>60</v>
      </c>
      <c r="F89" s="231"/>
      <c r="G89" s="204"/>
      <c r="H89" s="189"/>
      <c r="I89" s="190"/>
      <c r="J89" s="4"/>
      <c r="K89" s="172"/>
      <c r="L89" s="4"/>
      <c r="M89" s="4"/>
      <c r="N89" s="4"/>
      <c r="O89" s="193">
        <f>IF(O88+1&lt;=MIN('Données projet'!$E$9:$E$18),O88+1,"STOP")</f>
        <v>56</v>
      </c>
      <c r="P89" s="184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79">
        <f>'Données projet'!A93</f>
        <v>0</v>
      </c>
      <c r="B90" s="180">
        <f>'Données projet'!D93</f>
        <v>0</v>
      </c>
      <c r="C90" s="190">
        <v>18.125</v>
      </c>
      <c r="D90" s="178">
        <f t="shared" si="6"/>
        <v>0</v>
      </c>
      <c r="E90" s="192">
        <v>60</v>
      </c>
      <c r="F90" s="231"/>
      <c r="G90" s="204"/>
      <c r="H90" s="189"/>
      <c r="I90" s="190"/>
      <c r="J90" s="4"/>
      <c r="K90" s="172"/>
      <c r="L90" s="4"/>
      <c r="M90" s="4"/>
      <c r="N90" s="4"/>
      <c r="O90" s="193">
        <f>IF(O89+1&lt;=MIN('Données projet'!$E$9:$E$18),O89+1,"STOP")</f>
        <v>57</v>
      </c>
      <c r="P90" s="184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79">
        <f>'Données projet'!A94</f>
        <v>0</v>
      </c>
      <c r="B91" s="180">
        <f>'Données projet'!D94</f>
        <v>0</v>
      </c>
      <c r="C91" s="190">
        <v>18.125</v>
      </c>
      <c r="D91" s="178">
        <f t="shared" si="6"/>
        <v>0</v>
      </c>
      <c r="E91" s="192">
        <v>60</v>
      </c>
      <c r="F91" s="231"/>
      <c r="G91" s="205"/>
      <c r="H91" s="189"/>
      <c r="I91" s="190"/>
      <c r="J91" s="4"/>
      <c r="K91" s="172"/>
      <c r="L91" s="4"/>
      <c r="M91" s="4"/>
      <c r="N91" s="4"/>
      <c r="O91" s="193">
        <f>IF(O90+1&lt;=MIN('Données projet'!$E$9:$E$18),O90+1,"STOP")</f>
        <v>58</v>
      </c>
      <c r="P91" s="184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79">
        <f>'Données projet'!A95</f>
        <v>0</v>
      </c>
      <c r="B92" s="180">
        <f>'Données projet'!D95</f>
        <v>0</v>
      </c>
      <c r="C92" s="190">
        <v>18.125</v>
      </c>
      <c r="D92" s="178">
        <f t="shared" si="6"/>
        <v>0</v>
      </c>
      <c r="E92" s="192">
        <v>60</v>
      </c>
      <c r="F92" s="231"/>
      <c r="G92" s="205"/>
      <c r="H92" s="189"/>
      <c r="I92" s="190"/>
      <c r="J92" s="4"/>
      <c r="K92" s="172"/>
      <c r="L92" s="4"/>
      <c r="M92" s="4"/>
      <c r="N92" s="4"/>
      <c r="O92" s="193">
        <f>IF(O91+1&lt;=MIN('Données projet'!$E$9:$E$18),O91+1,"STOP")</f>
        <v>59</v>
      </c>
      <c r="P92" s="184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79">
        <f>'Données projet'!A96</f>
        <v>0</v>
      </c>
      <c r="B93" s="180">
        <f>'Données projet'!D96</f>
        <v>0</v>
      </c>
      <c r="C93" s="190">
        <v>32.1875</v>
      </c>
      <c r="D93" s="178">
        <f t="shared" si="6"/>
        <v>0</v>
      </c>
      <c r="E93" s="192">
        <v>60</v>
      </c>
      <c r="F93" s="231"/>
      <c r="G93" s="205"/>
      <c r="H93" s="189"/>
      <c r="I93" s="190"/>
      <c r="J93" s="4"/>
      <c r="K93" s="172"/>
      <c r="L93" s="4"/>
      <c r="M93" s="4"/>
      <c r="N93" s="4"/>
      <c r="O93" s="193">
        <f>IF(O92+1&lt;=MIN('Données projet'!$E$9:$E$18),O92+1,"STOP")</f>
        <v>60</v>
      </c>
      <c r="P93" s="184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79">
        <f>'Données projet'!A97</f>
        <v>0</v>
      </c>
      <c r="B94" s="180">
        <f>'Données projet'!D97</f>
        <v>0</v>
      </c>
      <c r="C94" s="190">
        <v>32.1875</v>
      </c>
      <c r="D94" s="178">
        <f t="shared" si="6"/>
        <v>0</v>
      </c>
      <c r="E94" s="192">
        <v>60</v>
      </c>
      <c r="F94" s="231"/>
      <c r="G94" s="205"/>
      <c r="H94" s="189"/>
      <c r="I94" s="190"/>
      <c r="J94" s="4"/>
      <c r="K94" s="172"/>
      <c r="L94" s="4"/>
      <c r="M94" s="4"/>
      <c r="N94" s="4"/>
      <c r="O94" s="193" t="str">
        <f>IF(O93+1&lt;=MIN('Données projet'!$E$9:$E$18),O93+1,"STOP")</f>
        <v>STOP</v>
      </c>
      <c r="P94" s="184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79">
        <f>'Données projet'!A98</f>
        <v>0</v>
      </c>
      <c r="B95" s="180">
        <f>'Données projet'!D98</f>
        <v>0</v>
      </c>
      <c r="C95" s="190">
        <v>32.1875</v>
      </c>
      <c r="D95" s="178">
        <f t="shared" si="6"/>
        <v>0</v>
      </c>
      <c r="E95" s="192">
        <v>60</v>
      </c>
      <c r="F95" s="231"/>
      <c r="G95" s="205"/>
      <c r="H95" s="189"/>
      <c r="I95" s="190"/>
      <c r="J95" s="4"/>
      <c r="K95" s="172"/>
      <c r="L95" s="4"/>
      <c r="M95" s="4"/>
      <c r="N95" s="4"/>
      <c r="O95" s="193" t="e">
        <f>IF(O94+1&lt;=MIN('Données projet'!$E$9:$E$18),O94+1,"STOP")</f>
        <v>#VALUE!</v>
      </c>
      <c r="P95" s="184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79">
        <f>'Données projet'!A99</f>
        <v>0</v>
      </c>
      <c r="B96" s="180">
        <f>'Données projet'!D99</f>
        <v>0</v>
      </c>
      <c r="C96" s="190">
        <v>32.1875</v>
      </c>
      <c r="D96" s="178">
        <f t="shared" si="6"/>
        <v>0</v>
      </c>
      <c r="E96" s="192">
        <v>60</v>
      </c>
      <c r="F96" s="231"/>
      <c r="G96" s="205"/>
      <c r="H96" s="189"/>
      <c r="I96" s="190"/>
      <c r="J96" s="4"/>
      <c r="K96" s="172"/>
      <c r="L96" s="4"/>
      <c r="M96" s="4"/>
      <c r="N96" s="4"/>
      <c r="O96" s="193" t="e">
        <f>IF(O95+1&lt;=MIN('Données projet'!$E$9:$E$18),O95+1,"STOP")</f>
        <v>#VALUE!</v>
      </c>
      <c r="P96" s="184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79">
        <f>'Données projet'!A100</f>
        <v>0</v>
      </c>
      <c r="B97" s="180">
        <f>'Données projet'!D100</f>
        <v>0</v>
      </c>
      <c r="C97" s="190">
        <v>32.1875</v>
      </c>
      <c r="D97" s="178">
        <f t="shared" si="6"/>
        <v>0</v>
      </c>
      <c r="E97" s="192">
        <v>60</v>
      </c>
      <c r="F97" s="231"/>
      <c r="G97" s="205"/>
      <c r="H97" s="189"/>
      <c r="I97" s="190"/>
      <c r="J97" s="4"/>
      <c r="K97" s="172"/>
      <c r="L97" s="4"/>
      <c r="M97" s="4"/>
      <c r="N97" s="4"/>
      <c r="O97" s="193" t="e">
        <f>IF(O96+1&lt;=MIN('Données projet'!$E$9:$E$18),O96+1,"STOP")</f>
        <v>#VALUE!</v>
      </c>
      <c r="P97" s="184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79">
        <f>'Données projet'!A101</f>
        <v>0</v>
      </c>
      <c r="B98" s="180">
        <f>'Données projet'!D101</f>
        <v>0</v>
      </c>
      <c r="C98" s="190">
        <v>32.1875</v>
      </c>
      <c r="D98" s="178">
        <f t="shared" si="6"/>
        <v>0</v>
      </c>
      <c r="E98" s="192">
        <v>60</v>
      </c>
      <c r="F98" s="231"/>
      <c r="G98" s="205"/>
      <c r="H98" s="189"/>
      <c r="I98" s="190"/>
      <c r="J98" s="4"/>
      <c r="K98" s="172"/>
      <c r="L98" s="4"/>
      <c r="M98" s="4"/>
      <c r="N98" s="4"/>
      <c r="O98" s="193" t="e">
        <f>IF(O97+1&lt;=MIN('Données projet'!$E$9:$E$18),O97+1,"STOP")</f>
        <v>#VALUE!</v>
      </c>
      <c r="P98" s="184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79">
        <f>'Données projet'!A102</f>
        <v>0</v>
      </c>
      <c r="B99" s="180">
        <f>'Données projet'!D102</f>
        <v>0</v>
      </c>
      <c r="C99" s="190"/>
      <c r="D99" s="178">
        <f t="shared" si="6"/>
        <v>0</v>
      </c>
      <c r="E99" s="192"/>
      <c r="F99" s="231"/>
      <c r="G99" s="205"/>
      <c r="H99" s="189"/>
      <c r="I99" s="190"/>
      <c r="J99" s="4"/>
      <c r="K99" s="172"/>
      <c r="L99" s="4"/>
      <c r="M99" s="4"/>
      <c r="N99" s="4"/>
      <c r="O99" s="193" t="e">
        <f>IF(O98+1&lt;=MIN('Données projet'!$E$9:$E$18),O98+1,"STOP")</f>
        <v>#VALUE!</v>
      </c>
      <c r="P99" s="184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79">
        <f>'Données projet'!A103</f>
        <v>0</v>
      </c>
      <c r="B100" s="180">
        <f>'Données projet'!D103</f>
        <v>0</v>
      </c>
      <c r="C100" s="190"/>
      <c r="D100" s="178">
        <f t="shared" si="6"/>
        <v>0</v>
      </c>
      <c r="E100" s="192"/>
      <c r="F100" s="231"/>
      <c r="G100" s="205"/>
      <c r="H100" s="189"/>
      <c r="I100" s="190"/>
      <c r="J100" s="4"/>
      <c r="K100" s="172"/>
      <c r="L100" s="4"/>
      <c r="M100" s="4"/>
      <c r="N100" s="4"/>
      <c r="O100" s="193" t="e">
        <f>IF(O99+1&lt;=MIN('Données projet'!$E$9:$E$18),O99+1,"STOP")</f>
        <v>#VALUE!</v>
      </c>
      <c r="P100" s="184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79">
        <f>'Données projet'!A104</f>
        <v>0</v>
      </c>
      <c r="B101" s="180">
        <f>'Données projet'!D104</f>
        <v>0</v>
      </c>
      <c r="C101" s="190"/>
      <c r="D101" s="178">
        <f t="shared" si="6"/>
        <v>0</v>
      </c>
      <c r="E101" s="192"/>
      <c r="F101" s="231"/>
      <c r="G101" s="205"/>
      <c r="H101" s="189"/>
      <c r="I101" s="190"/>
      <c r="J101" s="4"/>
      <c r="K101" s="172"/>
      <c r="L101" s="4"/>
      <c r="M101" s="4"/>
      <c r="N101" s="4"/>
      <c r="O101" s="193" t="e">
        <f>IF(O100+1&lt;=MIN('Données projet'!$E$9:$E$18),O100+1,"STOP")</f>
        <v>#VALUE!</v>
      </c>
      <c r="P101" s="184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79">
        <f>'Données projet'!A105</f>
        <v>0</v>
      </c>
      <c r="B102" s="180">
        <f>'Données projet'!D105</f>
        <v>0</v>
      </c>
      <c r="C102" s="190"/>
      <c r="D102" s="178">
        <f t="shared" si="6"/>
        <v>0</v>
      </c>
      <c r="E102" s="192"/>
      <c r="F102" s="231"/>
      <c r="G102" s="205"/>
      <c r="H102" s="189"/>
      <c r="I102" s="190"/>
      <c r="J102" s="4"/>
      <c r="K102" s="172"/>
      <c r="L102" s="4"/>
      <c r="M102" s="4"/>
      <c r="N102" s="4"/>
      <c r="O102" s="193" t="e">
        <f>IF(O101+1&lt;=MIN('Données projet'!$E$9:$E$18),O101+1,"STOP")</f>
        <v>#VALUE!</v>
      </c>
      <c r="P102" s="184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79">
        <f>'Données projet'!A106</f>
        <v>0</v>
      </c>
      <c r="B103" s="180">
        <f>'Données projet'!D106</f>
        <v>0</v>
      </c>
      <c r="C103" s="190"/>
      <c r="D103" s="178">
        <f t="shared" si="6"/>
        <v>0</v>
      </c>
      <c r="E103" s="192"/>
      <c r="F103" s="231"/>
      <c r="G103" s="205"/>
      <c r="H103" s="189"/>
      <c r="I103" s="190"/>
      <c r="J103" s="4"/>
      <c r="K103" s="172"/>
      <c r="L103" s="4"/>
      <c r="M103" s="4"/>
      <c r="N103" s="4"/>
      <c r="O103" s="193" t="e">
        <f>IF(O102+1&lt;=MIN('Données projet'!$E$9:$E$18),O102+1,"STOP")</f>
        <v>#VALUE!</v>
      </c>
      <c r="P103" s="184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79">
        <f>'Données projet'!A107</f>
        <v>0</v>
      </c>
      <c r="B104" s="180">
        <f>'Données projet'!D107</f>
        <v>0</v>
      </c>
      <c r="C104" s="190"/>
      <c r="D104" s="178">
        <f t="shared" si="6"/>
        <v>0</v>
      </c>
      <c r="E104" s="192"/>
      <c r="F104" s="231"/>
      <c r="G104" s="205"/>
      <c r="H104" s="189"/>
      <c r="I104" s="190"/>
      <c r="J104" s="4"/>
      <c r="K104" s="172"/>
      <c r="L104" s="4"/>
      <c r="M104" s="4"/>
      <c r="N104" s="4"/>
      <c r="O104" s="193" t="e">
        <f>IF(O103+1&lt;=MIN('Données projet'!$E$9:$E$18),O103+1,"STOP")</f>
        <v>#VALUE!</v>
      </c>
      <c r="P104" s="184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29"/>
      <c r="G105" s="205"/>
      <c r="H105" s="189"/>
      <c r="I105" s="190"/>
      <c r="J105" s="4"/>
      <c r="K105" s="172"/>
      <c r="L105" s="4"/>
      <c r="M105" s="4"/>
      <c r="N105" s="4"/>
      <c r="O105" s="193" t="e">
        <f>IF(O104+1&lt;=MIN('Données projet'!$E$9:$E$18),O104+1,"STOP")</f>
        <v>#VALUE!</v>
      </c>
      <c r="P105" s="184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29"/>
      <c r="G106" s="205"/>
      <c r="H106" s="189"/>
      <c r="I106" s="190"/>
      <c r="J106" s="4"/>
      <c r="K106" s="172"/>
      <c r="L106" s="4"/>
      <c r="M106" s="4"/>
      <c r="N106" s="4"/>
      <c r="O106" s="193" t="e">
        <f>IF(O105+1&lt;=MIN('Données projet'!$E$9:$E$18),O105+1,"STOP")</f>
        <v>#VALUE!</v>
      </c>
      <c r="P106" s="184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22</v>
      </c>
      <c r="B107" s="173" t="str">
        <f>IF('Données projet'!B12="","",'Données projet'!B12)</f>
        <v/>
      </c>
      <c r="C107" s="4"/>
      <c r="D107" s="4"/>
      <c r="E107" s="4"/>
      <c r="F107" s="229"/>
      <c r="G107" s="205"/>
      <c r="H107" s="189"/>
      <c r="I107" s="190"/>
      <c r="J107" s="4"/>
      <c r="K107" s="172"/>
      <c r="L107" s="4"/>
      <c r="M107" s="4"/>
      <c r="N107" s="4"/>
      <c r="O107" s="193" t="e">
        <f>IF(O106+1&lt;=MIN('Données projet'!$E$9:$E$18),O106+1,"STOP")</f>
        <v>#VALUE!</v>
      </c>
      <c r="P107" s="184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29"/>
      <c r="G108" s="205"/>
      <c r="H108" s="189"/>
      <c r="I108" s="190"/>
      <c r="J108" s="4"/>
      <c r="K108" s="172"/>
      <c r="L108" s="4"/>
      <c r="M108" s="4"/>
      <c r="N108" s="4"/>
      <c r="O108" s="193" t="e">
        <f>IF(O107+1&lt;=MIN('Données projet'!$E$9:$E$18),O107+1,"STOP")</f>
        <v>#VALUE!</v>
      </c>
      <c r="P108" s="184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51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0"/>
      <c r="G109" s="205"/>
      <c r="H109" s="189"/>
      <c r="I109" s="190"/>
      <c r="J109" s="4"/>
      <c r="K109" s="172"/>
      <c r="L109" s="4"/>
      <c r="M109" s="4"/>
      <c r="N109" s="4"/>
      <c r="O109" s="193" t="e">
        <f>IF(O108+1&lt;=MIN('Données projet'!$E$9:$E$18),O108+1,"STOP")</f>
        <v>#VALUE!</v>
      </c>
      <c r="P109" s="184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8" t="s">
        <v>194</v>
      </c>
      <c r="C110" s="197" t="s">
        <v>194</v>
      </c>
      <c r="D110" s="196" t="s">
        <v>194</v>
      </c>
      <c r="E110" s="192"/>
      <c r="F110" s="230"/>
      <c r="G110" s="205"/>
      <c r="H110" s="189"/>
      <c r="I110" s="190"/>
      <c r="J110" s="4"/>
      <c r="K110" s="172"/>
      <c r="L110" s="4"/>
      <c r="M110" s="4"/>
      <c r="N110" s="4"/>
      <c r="O110" s="193" t="e">
        <f>IF(O109+1&lt;=MIN('Données projet'!$E$9:$E$18),O109+1,"STOP")</f>
        <v>#VALUE!</v>
      </c>
      <c r="P110" s="184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8" t="s">
        <v>194</v>
      </c>
      <c r="C111" s="197" t="s">
        <v>194</v>
      </c>
      <c r="D111" s="196" t="s">
        <v>194</v>
      </c>
      <c r="E111" s="192"/>
      <c r="F111" s="230"/>
      <c r="G111" s="23"/>
      <c r="H111" s="189"/>
      <c r="I111" s="190"/>
      <c r="J111" s="4"/>
      <c r="K111" s="172"/>
      <c r="L111" s="4"/>
      <c r="M111" s="4"/>
      <c r="N111" s="4"/>
      <c r="O111" s="193" t="e">
        <f>IF(O110+1&lt;=MIN('Données projet'!$E$9:$E$18),O110+1,"STOP")</f>
        <v>#VALUE!</v>
      </c>
      <c r="P111" s="184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8" t="s">
        <v>194</v>
      </c>
      <c r="C112" s="197" t="s">
        <v>194</v>
      </c>
      <c r="D112" s="196" t="s">
        <v>194</v>
      </c>
      <c r="E112" s="192"/>
      <c r="F112" s="230"/>
      <c r="G112" s="23"/>
      <c r="H112" s="189"/>
      <c r="I112" s="190"/>
      <c r="J112" s="4"/>
      <c r="K112" s="172"/>
      <c r="L112" s="4"/>
      <c r="M112" s="4"/>
      <c r="N112" s="4"/>
      <c r="O112" s="193" t="e">
        <f>IF(O111+1&lt;=MIN('Données projet'!$E$9:$E$18),O111+1,"STOP")</f>
        <v>#VALUE!</v>
      </c>
      <c r="P112" s="184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8" t="s">
        <v>194</v>
      </c>
      <c r="C113" s="197" t="s">
        <v>194</v>
      </c>
      <c r="D113" s="196" t="s">
        <v>194</v>
      </c>
      <c r="E113" s="192"/>
      <c r="F113" s="230"/>
      <c r="G113" s="23"/>
      <c r="H113" s="189"/>
      <c r="I113" s="190"/>
      <c r="J113" s="4"/>
      <c r="K113" s="172"/>
      <c r="L113" s="4"/>
      <c r="M113" s="4"/>
      <c r="N113" s="4"/>
      <c r="O113" s="193" t="e">
        <f>IF(O112+1&lt;=MIN('Données projet'!$E$9:$E$18),O112+1,"STOP")</f>
        <v>#VALUE!</v>
      </c>
      <c r="P113" s="184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8" t="s">
        <v>194</v>
      </c>
      <c r="C114" s="197" t="s">
        <v>194</v>
      </c>
      <c r="D114" s="196" t="s">
        <v>194</v>
      </c>
      <c r="E114" s="192"/>
      <c r="F114" s="230"/>
      <c r="G114" s="23"/>
      <c r="H114" s="189"/>
      <c r="I114" s="190"/>
      <c r="J114" s="4"/>
      <c r="K114" s="172"/>
      <c r="L114" s="4"/>
      <c r="M114" s="4"/>
      <c r="N114" s="4"/>
      <c r="O114" s="193" t="e">
        <f>IF(O113+1&lt;=MIN('Données projet'!$E$9:$E$18),O113+1,"STOP")</f>
        <v>#VALUE!</v>
      </c>
      <c r="P114" s="184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8" t="s">
        <v>194</v>
      </c>
      <c r="C115" s="197" t="s">
        <v>194</v>
      </c>
      <c r="D115" s="196" t="s">
        <v>194</v>
      </c>
      <c r="E115" s="192"/>
      <c r="F115" s="230"/>
      <c r="G115" s="204"/>
      <c r="H115" s="189"/>
      <c r="I115" s="190"/>
      <c r="J115" s="4"/>
      <c r="K115" s="172"/>
      <c r="L115" s="4"/>
      <c r="M115" s="4"/>
      <c r="N115" s="4"/>
      <c r="O115" s="193" t="e">
        <f>IF(O114+1&lt;=MIN('Données projet'!$E$9:$E$18),O114+1,"STOP")</f>
        <v>#VALUE!</v>
      </c>
      <c r="P115" s="184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79">
        <f>'Données projet'!A114</f>
        <v>0</v>
      </c>
      <c r="B116" s="180">
        <f>'Données projet'!D114</f>
        <v>0</v>
      </c>
      <c r="C116" s="190">
        <v>10</v>
      </c>
      <c r="D116" s="178">
        <f>B116*C116</f>
        <v>0</v>
      </c>
      <c r="E116" s="192">
        <v>60</v>
      </c>
      <c r="F116" s="231"/>
      <c r="G116" s="204"/>
      <c r="H116" s="189"/>
      <c r="I116" s="190"/>
      <c r="J116" s="4"/>
      <c r="K116" s="172"/>
      <c r="L116" s="4"/>
      <c r="M116" s="4"/>
      <c r="N116" s="4"/>
      <c r="O116" s="193" t="e">
        <f>IF(O115+1&lt;=MIN('Données projet'!$E$9:$E$18),O115+1,"STOP")</f>
        <v>#VALUE!</v>
      </c>
      <c r="P116" s="184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79">
        <f>'Données projet'!A115</f>
        <v>0</v>
      </c>
      <c r="B117" s="180">
        <f>'Données projet'!D115</f>
        <v>0</v>
      </c>
      <c r="C117" s="190">
        <v>10</v>
      </c>
      <c r="D117" s="178">
        <f t="shared" ref="D117:D135" si="8">B117*C117</f>
        <v>0</v>
      </c>
      <c r="E117" s="192">
        <v>60</v>
      </c>
      <c r="F117" s="231"/>
      <c r="G117" s="204"/>
      <c r="H117" s="189"/>
      <c r="I117" s="190"/>
      <c r="J117" s="4"/>
      <c r="K117" s="172"/>
      <c r="L117" s="4"/>
      <c r="M117" s="4"/>
      <c r="N117" s="4"/>
      <c r="O117" s="193" t="e">
        <f>IF(O116+1&lt;=MIN('Données projet'!$E$9:$E$18),O116+1,"STOP")</f>
        <v>#VALUE!</v>
      </c>
      <c r="P117" s="184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79">
        <f>'Données projet'!A116</f>
        <v>0</v>
      </c>
      <c r="B118" s="180">
        <f>'Données projet'!D116</f>
        <v>0</v>
      </c>
      <c r="C118" s="190">
        <v>10</v>
      </c>
      <c r="D118" s="178">
        <f t="shared" si="8"/>
        <v>0</v>
      </c>
      <c r="E118" s="192">
        <v>60</v>
      </c>
      <c r="F118" s="231"/>
      <c r="G118" s="204"/>
      <c r="H118" s="189"/>
      <c r="I118" s="190"/>
      <c r="J118" s="4"/>
      <c r="K118" s="172"/>
      <c r="L118" s="4"/>
      <c r="M118" s="4"/>
      <c r="N118" s="4"/>
      <c r="O118" s="193" t="e">
        <f>IF(O117+1&lt;=MIN('Données projet'!$E$9:$E$18),O117+1,"STOP")</f>
        <v>#VALUE!</v>
      </c>
      <c r="P118" s="184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79">
        <f>'Données projet'!A117</f>
        <v>0</v>
      </c>
      <c r="B119" s="180">
        <f>'Données projet'!D117</f>
        <v>0</v>
      </c>
      <c r="C119" s="190">
        <v>18.125</v>
      </c>
      <c r="D119" s="178">
        <f t="shared" si="8"/>
        <v>0</v>
      </c>
      <c r="E119" s="192">
        <v>60</v>
      </c>
      <c r="F119" s="231"/>
      <c r="G119" s="204"/>
      <c r="H119" s="189"/>
      <c r="I119" s="190"/>
      <c r="J119" s="4"/>
      <c r="K119" s="172"/>
      <c r="L119" s="4"/>
      <c r="M119" s="4"/>
      <c r="N119" s="4"/>
      <c r="O119" s="193" t="e">
        <f>IF(O118+1&lt;=MIN('Données projet'!$E$9:$E$18),O118+1,"STOP")</f>
        <v>#VALUE!</v>
      </c>
      <c r="P119" s="184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79">
        <f>'Données projet'!A118</f>
        <v>0</v>
      </c>
      <c r="B120" s="180">
        <f>'Données projet'!D118</f>
        <v>0</v>
      </c>
      <c r="C120" s="190">
        <v>18.125</v>
      </c>
      <c r="D120" s="178">
        <f t="shared" si="8"/>
        <v>0</v>
      </c>
      <c r="E120" s="192">
        <v>60</v>
      </c>
      <c r="F120" s="231"/>
      <c r="G120" s="204"/>
      <c r="H120" s="189"/>
      <c r="I120" s="190"/>
      <c r="J120" s="4"/>
      <c r="K120" s="172"/>
      <c r="L120" s="4"/>
      <c r="M120" s="4"/>
      <c r="N120" s="4"/>
      <c r="O120" s="193" t="e">
        <f>IF(O119+1&lt;=MIN('Données projet'!$E$9:$E$18),O119+1,"STOP")</f>
        <v>#VALUE!</v>
      </c>
      <c r="P120" s="184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79">
        <f>'Données projet'!A119</f>
        <v>0</v>
      </c>
      <c r="B121" s="180">
        <f>'Données projet'!D119</f>
        <v>0</v>
      </c>
      <c r="C121" s="190">
        <v>18.125</v>
      </c>
      <c r="D121" s="178">
        <f t="shared" si="8"/>
        <v>0</v>
      </c>
      <c r="E121" s="192">
        <v>60</v>
      </c>
      <c r="F121" s="231"/>
      <c r="G121" s="204"/>
      <c r="H121" s="189"/>
      <c r="I121" s="190"/>
      <c r="J121" s="4"/>
      <c r="K121" s="172"/>
      <c r="L121" s="4"/>
      <c r="M121" s="4"/>
      <c r="N121" s="4"/>
      <c r="O121" s="193" t="e">
        <f>IF(O120+1&lt;=MIN('Données projet'!$E$9:$E$18),O120+1,"STOP")</f>
        <v>#VALUE!</v>
      </c>
      <c r="P121" s="184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79">
        <f>'Données projet'!A120</f>
        <v>0</v>
      </c>
      <c r="B122" s="180">
        <f>'Données projet'!D120</f>
        <v>0</v>
      </c>
      <c r="C122" s="190">
        <v>18.125</v>
      </c>
      <c r="D122" s="178">
        <f t="shared" si="8"/>
        <v>0</v>
      </c>
      <c r="E122" s="192">
        <v>60</v>
      </c>
      <c r="F122" s="231"/>
      <c r="G122" s="205"/>
      <c r="H122" s="189"/>
      <c r="I122" s="190"/>
      <c r="J122" s="4"/>
      <c r="K122" s="172"/>
      <c r="L122" s="4"/>
      <c r="M122" s="4"/>
      <c r="N122" s="4"/>
      <c r="O122" s="193" t="e">
        <f>IF(O121+1&lt;=MIN('Données projet'!$E$9:$E$18),O121+1,"STOP")</f>
        <v>#VALUE!</v>
      </c>
      <c r="P122" s="184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79">
        <f>'Données projet'!A121</f>
        <v>0</v>
      </c>
      <c r="B123" s="180">
        <f>'Données projet'!D121</f>
        <v>0</v>
      </c>
      <c r="C123" s="190">
        <v>18.125</v>
      </c>
      <c r="D123" s="178">
        <f t="shared" si="8"/>
        <v>0</v>
      </c>
      <c r="E123" s="192">
        <v>60</v>
      </c>
      <c r="F123" s="231"/>
      <c r="G123" s="205"/>
      <c r="H123" s="189"/>
      <c r="I123" s="190"/>
      <c r="J123" s="4"/>
      <c r="K123" s="172"/>
      <c r="L123" s="4"/>
      <c r="M123" s="4"/>
      <c r="N123" s="4"/>
      <c r="O123" s="193" t="e">
        <f>IF(O122+1&lt;=MIN('Données projet'!$E$9:$E$18),O122+1,"STOP")</f>
        <v>#VALUE!</v>
      </c>
      <c r="P123" s="184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79">
        <f>'Données projet'!A122</f>
        <v>0</v>
      </c>
      <c r="B124" s="180">
        <f>'Données projet'!D122</f>
        <v>0</v>
      </c>
      <c r="C124" s="190">
        <v>32.1875</v>
      </c>
      <c r="D124" s="178">
        <f t="shared" si="8"/>
        <v>0</v>
      </c>
      <c r="E124" s="192">
        <v>60</v>
      </c>
      <c r="F124" s="231"/>
      <c r="G124" s="205"/>
      <c r="H124" s="189"/>
      <c r="I124" s="190"/>
      <c r="J124" s="4"/>
      <c r="K124" s="172"/>
      <c r="L124" s="4"/>
      <c r="M124" s="4"/>
      <c r="N124" s="4"/>
      <c r="O124" s="193" t="e">
        <f>IF(O123+1&lt;=MIN('Données projet'!$E$9:$E$18),O123+1,"STOP")</f>
        <v>#VALUE!</v>
      </c>
      <c r="P124" s="184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79">
        <f>'Données projet'!A123</f>
        <v>0</v>
      </c>
      <c r="B125" s="180">
        <f>'Données projet'!D123</f>
        <v>0</v>
      </c>
      <c r="C125" s="190">
        <v>32.1875</v>
      </c>
      <c r="D125" s="178">
        <f t="shared" si="8"/>
        <v>0</v>
      </c>
      <c r="E125" s="192">
        <v>60</v>
      </c>
      <c r="F125" s="231"/>
      <c r="G125" s="205"/>
      <c r="H125" s="189"/>
      <c r="I125" s="190"/>
      <c r="J125" s="4"/>
      <c r="K125" s="172"/>
      <c r="L125" s="4"/>
      <c r="M125" s="4"/>
      <c r="N125" s="4"/>
      <c r="O125" s="193" t="e">
        <f>IF(O124+1&lt;=MIN('Données projet'!$E$9:$E$18),O124+1,"STOP")</f>
        <v>#VALUE!</v>
      </c>
      <c r="P125" s="184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79">
        <f>'Données projet'!A124</f>
        <v>0</v>
      </c>
      <c r="B126" s="180">
        <f>'Données projet'!D124</f>
        <v>0</v>
      </c>
      <c r="C126" s="190">
        <v>32.1875</v>
      </c>
      <c r="D126" s="178">
        <f t="shared" si="8"/>
        <v>0</v>
      </c>
      <c r="E126" s="192">
        <v>60</v>
      </c>
      <c r="F126" s="231"/>
      <c r="G126" s="205"/>
      <c r="H126" s="189"/>
      <c r="I126" s="190"/>
      <c r="J126" s="4"/>
      <c r="K126" s="172"/>
      <c r="L126" s="4"/>
      <c r="M126" s="4"/>
      <c r="N126" s="4"/>
      <c r="O126" s="193" t="e">
        <f>IF(O125+1&lt;=MIN('Données projet'!$E$9:$E$18),O125+1,"STOP")</f>
        <v>#VALUE!</v>
      </c>
      <c r="P126" s="184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79">
        <f>'Données projet'!A125</f>
        <v>0</v>
      </c>
      <c r="B127" s="180">
        <f>'Données projet'!D125</f>
        <v>0</v>
      </c>
      <c r="C127" s="190">
        <v>32.1875</v>
      </c>
      <c r="D127" s="178">
        <f t="shared" si="8"/>
        <v>0</v>
      </c>
      <c r="E127" s="192">
        <v>60</v>
      </c>
      <c r="F127" s="231"/>
      <c r="G127" s="205"/>
      <c r="H127" s="189"/>
      <c r="I127" s="190"/>
      <c r="J127" s="4"/>
      <c r="K127" s="172"/>
      <c r="L127" s="4"/>
      <c r="M127" s="4"/>
      <c r="N127" s="4"/>
      <c r="O127" s="193" t="e">
        <f>IF(O126+1&lt;=MIN('Données projet'!$E$9:$E$18),O126+1,"STOP")</f>
        <v>#VALUE!</v>
      </c>
      <c r="P127" s="184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79">
        <f>'Données projet'!A126</f>
        <v>0</v>
      </c>
      <c r="B128" s="180">
        <f>'Données projet'!D126</f>
        <v>0</v>
      </c>
      <c r="C128" s="190">
        <v>32.1875</v>
      </c>
      <c r="D128" s="178">
        <f t="shared" si="8"/>
        <v>0</v>
      </c>
      <c r="E128" s="192">
        <v>60</v>
      </c>
      <c r="F128" s="231"/>
      <c r="G128" s="205"/>
      <c r="H128" s="189"/>
      <c r="I128" s="190"/>
      <c r="J128" s="4"/>
      <c r="K128" s="172"/>
      <c r="L128" s="4"/>
      <c r="M128" s="4"/>
      <c r="N128" s="4"/>
      <c r="O128" s="193" t="e">
        <f>IF(O127+1&lt;=MIN('Données projet'!$E$9:$E$18),O127+1,"STOP")</f>
        <v>#VALUE!</v>
      </c>
      <c r="P128" s="184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79">
        <f>'Données projet'!A127</f>
        <v>0</v>
      </c>
      <c r="B129" s="180">
        <f>'Données projet'!D127</f>
        <v>0</v>
      </c>
      <c r="C129" s="190">
        <v>32.1875</v>
      </c>
      <c r="D129" s="178">
        <f t="shared" si="8"/>
        <v>0</v>
      </c>
      <c r="E129" s="192">
        <v>60</v>
      </c>
      <c r="F129" s="231"/>
      <c r="G129" s="205"/>
      <c r="H129" s="189"/>
      <c r="I129" s="190"/>
      <c r="J129" s="4"/>
      <c r="K129" s="172"/>
      <c r="L129" s="4"/>
      <c r="M129" s="4"/>
      <c r="N129" s="4"/>
      <c r="O129" s="193" t="e">
        <f>IF(O128+1&lt;=MIN('Données projet'!$E$9:$E$18),O128+1,"STOP")</f>
        <v>#VALUE!</v>
      </c>
      <c r="P129" s="184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79">
        <f>'Données projet'!A128</f>
        <v>0</v>
      </c>
      <c r="B130" s="180">
        <f>'Données projet'!D128</f>
        <v>0</v>
      </c>
      <c r="C130" s="190"/>
      <c r="D130" s="178">
        <f t="shared" si="8"/>
        <v>0</v>
      </c>
      <c r="E130" s="192"/>
      <c r="F130" s="231"/>
      <c r="G130" s="205"/>
      <c r="H130" s="189"/>
      <c r="I130" s="190"/>
      <c r="J130" s="4"/>
      <c r="K130" s="172"/>
      <c r="L130" s="4"/>
      <c r="M130" s="4"/>
      <c r="N130" s="4"/>
      <c r="O130" s="193" t="e">
        <f>IF(O129+1&lt;=MIN('Données projet'!$E$9:$E$18),O129+1,"STOP")</f>
        <v>#VALUE!</v>
      </c>
      <c r="P130" s="184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79">
        <f>'Données projet'!A129</f>
        <v>0</v>
      </c>
      <c r="B131" s="180">
        <f>'Données projet'!D129</f>
        <v>0</v>
      </c>
      <c r="C131" s="190"/>
      <c r="D131" s="178">
        <f t="shared" si="8"/>
        <v>0</v>
      </c>
      <c r="E131" s="192"/>
      <c r="F131" s="231"/>
      <c r="G131" s="205"/>
      <c r="H131" s="189"/>
      <c r="I131" s="190"/>
      <c r="J131" s="4"/>
      <c r="K131" s="172"/>
      <c r="L131" s="4"/>
      <c r="M131" s="4"/>
      <c r="N131" s="4"/>
      <c r="O131" s="193" t="e">
        <f>IF(O130+1&lt;=MIN('Données projet'!$E$9:$E$18),O130+1,"STOP")</f>
        <v>#VALUE!</v>
      </c>
      <c r="P131" s="184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79">
        <f>'Données projet'!A130</f>
        <v>0</v>
      </c>
      <c r="B132" s="180">
        <f>'Données projet'!D130</f>
        <v>0</v>
      </c>
      <c r="C132" s="190"/>
      <c r="D132" s="178">
        <f t="shared" si="8"/>
        <v>0</v>
      </c>
      <c r="E132" s="192"/>
      <c r="F132" s="231"/>
      <c r="G132" s="205"/>
      <c r="H132" s="189"/>
      <c r="I132" s="190"/>
      <c r="J132" s="4"/>
      <c r="K132" s="172"/>
      <c r="L132" s="4"/>
      <c r="M132" s="4"/>
      <c r="N132" s="4"/>
      <c r="O132" s="193" t="e">
        <f>IF(O131+1&lt;=MIN('Données projet'!$E$9:$E$18),O131+1,"STOP")</f>
        <v>#VALUE!</v>
      </c>
      <c r="P132" s="184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79">
        <f>'Données projet'!A131</f>
        <v>0</v>
      </c>
      <c r="B133" s="180">
        <f>'Données projet'!D131</f>
        <v>0</v>
      </c>
      <c r="C133" s="190"/>
      <c r="D133" s="178">
        <f t="shared" si="8"/>
        <v>0</v>
      </c>
      <c r="E133" s="192"/>
      <c r="F133" s="231"/>
      <c r="G133" s="205"/>
      <c r="H133" s="189"/>
      <c r="I133" s="190"/>
      <c r="J133" s="4"/>
      <c r="K133" s="172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79">
        <f>'Données projet'!A132</f>
        <v>0</v>
      </c>
      <c r="B134" s="180">
        <f>'Données projet'!D132</f>
        <v>0</v>
      </c>
      <c r="C134" s="190"/>
      <c r="D134" s="178">
        <f t="shared" si="8"/>
        <v>0</v>
      </c>
      <c r="E134" s="192"/>
      <c r="F134" s="231"/>
      <c r="G134" s="205"/>
      <c r="H134" s="189"/>
      <c r="I134" s="190"/>
      <c r="J134" s="4"/>
      <c r="K134" s="172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79">
        <f>'Données projet'!A133</f>
        <v>0</v>
      </c>
      <c r="B135" s="180">
        <f>'Données projet'!D133</f>
        <v>0</v>
      </c>
      <c r="C135" s="190"/>
      <c r="D135" s="178">
        <f t="shared" si="8"/>
        <v>0</v>
      </c>
      <c r="E135" s="192"/>
      <c r="F135" s="231"/>
      <c r="G135" s="205"/>
      <c r="H135" s="189"/>
      <c r="I135" s="190"/>
      <c r="J135" s="4"/>
      <c r="K135" s="172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29"/>
      <c r="G136" s="205"/>
      <c r="H136" s="189"/>
      <c r="I136" s="190"/>
      <c r="J136" s="4"/>
      <c r="K136" s="172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29"/>
      <c r="G137" s="205"/>
      <c r="H137" s="189"/>
      <c r="I137" s="190"/>
      <c r="J137" s="4"/>
      <c r="K137" s="172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24</v>
      </c>
      <c r="B138" s="173" t="str">
        <f>IF('Données projet'!B13="","",'Données projet'!B13)</f>
        <v/>
      </c>
      <c r="C138" s="4"/>
      <c r="D138" s="4"/>
      <c r="E138" s="4"/>
      <c r="F138" s="229"/>
      <c r="G138" s="205"/>
      <c r="H138" s="189"/>
      <c r="I138" s="190"/>
      <c r="J138" s="4"/>
      <c r="K138" s="172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29"/>
      <c r="G139" s="205"/>
      <c r="H139" s="189"/>
      <c r="I139" s="190"/>
      <c r="J139" s="4"/>
      <c r="K139" s="172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51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0"/>
      <c r="G140" s="205"/>
      <c r="H140" s="189"/>
      <c r="I140" s="190"/>
      <c r="J140" s="4"/>
      <c r="K140" s="172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8" t="s">
        <v>194</v>
      </c>
      <c r="C141" s="197" t="s">
        <v>194</v>
      </c>
      <c r="D141" s="196" t="s">
        <v>194</v>
      </c>
      <c r="E141" s="192"/>
      <c r="F141" s="230"/>
      <c r="G141" s="205"/>
      <c r="H141" s="189"/>
      <c r="I141" s="190"/>
      <c r="J141" s="4"/>
      <c r="K141" s="172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8" t="s">
        <v>194</v>
      </c>
      <c r="C142" s="197" t="s">
        <v>194</v>
      </c>
      <c r="D142" s="196" t="s">
        <v>194</v>
      </c>
      <c r="E142" s="192"/>
      <c r="F142" s="230"/>
      <c r="G142" s="23"/>
      <c r="H142" s="189"/>
      <c r="I142" s="190"/>
      <c r="J142" s="4"/>
      <c r="K142" s="172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8" t="s">
        <v>194</v>
      </c>
      <c r="C143" s="197" t="s">
        <v>194</v>
      </c>
      <c r="D143" s="196" t="s">
        <v>194</v>
      </c>
      <c r="E143" s="192"/>
      <c r="F143" s="230"/>
      <c r="G143" s="23"/>
      <c r="H143" s="189"/>
      <c r="I143" s="190"/>
      <c r="J143" s="4"/>
      <c r="K143" s="172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8" t="s">
        <v>194</v>
      </c>
      <c r="C144" s="197" t="s">
        <v>194</v>
      </c>
      <c r="D144" s="196" t="s">
        <v>194</v>
      </c>
      <c r="E144" s="192"/>
      <c r="F144" s="230"/>
      <c r="G144" s="23"/>
      <c r="H144" s="189"/>
      <c r="I144" s="190"/>
      <c r="J144" s="4"/>
      <c r="K144" s="172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8" t="s">
        <v>194</v>
      </c>
      <c r="C145" s="197" t="s">
        <v>194</v>
      </c>
      <c r="D145" s="196" t="s">
        <v>194</v>
      </c>
      <c r="E145" s="192"/>
      <c r="F145" s="230"/>
      <c r="G145" s="23"/>
      <c r="H145" s="189"/>
      <c r="I145" s="190"/>
      <c r="J145" s="4"/>
      <c r="K145" s="172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8" t="s">
        <v>194</v>
      </c>
      <c r="C146" s="197" t="s">
        <v>194</v>
      </c>
      <c r="D146" s="196" t="s">
        <v>194</v>
      </c>
      <c r="E146" s="192"/>
      <c r="F146" s="230"/>
      <c r="G146" s="204"/>
      <c r="H146" s="189"/>
      <c r="I146" s="190"/>
      <c r="J146" s="4"/>
      <c r="K146" s="172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4">
        <f>'Données projet'!D140</f>
        <v>0</v>
      </c>
      <c r="C147" s="190">
        <v>12.5</v>
      </c>
      <c r="D147" s="181">
        <f>B147*C147</f>
        <v>0</v>
      </c>
      <c r="E147" s="192">
        <v>60</v>
      </c>
      <c r="G147" s="204"/>
      <c r="H147" s="189"/>
      <c r="I147" s="190"/>
      <c r="J147" s="4"/>
      <c r="K147" s="172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4">
        <f>'Données projet'!D141</f>
        <v>0</v>
      </c>
      <c r="C148" s="190">
        <v>18.75</v>
      </c>
      <c r="D148" s="181">
        <f t="shared" ref="D148:D166" si="10">B148*C148</f>
        <v>0</v>
      </c>
      <c r="E148" s="192">
        <v>60</v>
      </c>
      <c r="G148" s="204"/>
      <c r="H148" s="189"/>
      <c r="I148" s="190"/>
      <c r="J148" s="4"/>
      <c r="K148" s="172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4">
        <f>'Données projet'!D142</f>
        <v>0</v>
      </c>
      <c r="C149" s="190">
        <v>25</v>
      </c>
      <c r="D149" s="181">
        <f t="shared" si="10"/>
        <v>0</v>
      </c>
      <c r="E149" s="192">
        <v>60</v>
      </c>
      <c r="G149" s="204"/>
      <c r="H149" s="189"/>
      <c r="I149" s="190"/>
      <c r="J149" s="4"/>
      <c r="K149" s="172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4">
        <f>'Données projet'!D143</f>
        <v>0</v>
      </c>
      <c r="C150" s="190">
        <v>46.25</v>
      </c>
      <c r="D150" s="181">
        <f t="shared" si="10"/>
        <v>0</v>
      </c>
      <c r="E150" s="192">
        <v>60</v>
      </c>
      <c r="G150" s="204"/>
      <c r="H150" s="189"/>
      <c r="I150" s="190"/>
      <c r="J150" s="4"/>
      <c r="K150" s="172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4">
        <f>'Données projet'!D144</f>
        <v>0</v>
      </c>
      <c r="C151" s="190">
        <v>46.25</v>
      </c>
      <c r="D151" s="181">
        <f t="shared" si="10"/>
        <v>0</v>
      </c>
      <c r="E151" s="192">
        <v>60</v>
      </c>
      <c r="G151" s="204"/>
      <c r="H151" s="189"/>
      <c r="I151" s="190"/>
      <c r="J151" s="4"/>
      <c r="K151" s="172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4">
        <f>'Données projet'!D145</f>
        <v>0</v>
      </c>
      <c r="C152" s="190">
        <v>56.25</v>
      </c>
      <c r="D152" s="181">
        <f t="shared" si="10"/>
        <v>0</v>
      </c>
      <c r="E152" s="192">
        <v>60</v>
      </c>
      <c r="G152" s="204"/>
      <c r="H152" s="189"/>
      <c r="I152" s="190"/>
      <c r="J152" s="4"/>
      <c r="K152" s="172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4">
        <f>'Données projet'!D146</f>
        <v>0</v>
      </c>
      <c r="C153" s="190">
        <v>56.25</v>
      </c>
      <c r="D153" s="181">
        <f t="shared" si="10"/>
        <v>0</v>
      </c>
      <c r="E153" s="192">
        <v>60</v>
      </c>
      <c r="G153" s="202"/>
      <c r="H153" s="189"/>
      <c r="I153" s="190"/>
      <c r="J153" s="4"/>
      <c r="K153" s="172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4">
        <f>'Données projet'!D147</f>
        <v>0</v>
      </c>
      <c r="C154" s="190">
        <v>62.5</v>
      </c>
      <c r="D154" s="181">
        <f t="shared" si="10"/>
        <v>0</v>
      </c>
      <c r="E154" s="192">
        <v>60</v>
      </c>
      <c r="G154" s="202"/>
      <c r="H154" s="189"/>
      <c r="I154" s="190"/>
      <c r="J154" s="4"/>
      <c r="K154" s="172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4">
        <f>'Données projet'!D148</f>
        <v>0</v>
      </c>
      <c r="C155" s="190"/>
      <c r="D155" s="181">
        <f t="shared" si="10"/>
        <v>0</v>
      </c>
      <c r="E155" s="192"/>
      <c r="F155" s="232"/>
      <c r="G155" s="202"/>
      <c r="H155" s="189"/>
      <c r="I155" s="190"/>
      <c r="J155" s="4"/>
      <c r="K155" s="172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4">
        <f>'Données projet'!D149</f>
        <v>0</v>
      </c>
      <c r="C156" s="190"/>
      <c r="D156" s="181">
        <f t="shared" si="10"/>
        <v>0</v>
      </c>
      <c r="E156" s="192"/>
      <c r="F156" s="232"/>
      <c r="G156" s="202"/>
      <c r="H156" s="189"/>
      <c r="I156" s="190"/>
      <c r="J156" s="4"/>
      <c r="K156" s="172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4">
        <f>'Données projet'!D150</f>
        <v>0</v>
      </c>
      <c r="C157" s="190"/>
      <c r="D157" s="181">
        <f t="shared" si="10"/>
        <v>0</v>
      </c>
      <c r="E157" s="192"/>
      <c r="F157" s="232"/>
      <c r="G157" s="202"/>
      <c r="H157" s="189"/>
      <c r="I157" s="190"/>
      <c r="J157" s="4"/>
      <c r="K157" s="172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4">
        <f>'Données projet'!D151</f>
        <v>0</v>
      </c>
      <c r="C158" s="190"/>
      <c r="D158" s="181">
        <f t="shared" si="10"/>
        <v>0</v>
      </c>
      <c r="E158" s="192"/>
      <c r="F158" s="232"/>
      <c r="G158" s="202"/>
      <c r="H158" s="189"/>
      <c r="I158" s="190"/>
      <c r="J158" s="4"/>
      <c r="K158" s="172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4">
        <f>'Données projet'!D152</f>
        <v>0</v>
      </c>
      <c r="C159" s="190"/>
      <c r="D159" s="181">
        <f t="shared" si="10"/>
        <v>0</v>
      </c>
      <c r="E159" s="192"/>
      <c r="F159" s="232"/>
      <c r="G159" s="202"/>
      <c r="H159" s="189"/>
      <c r="I159" s="190"/>
      <c r="J159" s="4"/>
      <c r="K159" s="172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4">
        <f>'Données projet'!D153</f>
        <v>0</v>
      </c>
      <c r="C160" s="190"/>
      <c r="D160" s="181">
        <f t="shared" si="10"/>
        <v>0</v>
      </c>
      <c r="E160" s="192"/>
      <c r="F160" s="232"/>
      <c r="G160" s="202"/>
      <c r="H160" s="189"/>
      <c r="I160" s="190"/>
      <c r="J160" s="4"/>
      <c r="K160" s="17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4">
        <f>'Données projet'!D154</f>
        <v>0</v>
      </c>
      <c r="C161" s="190"/>
      <c r="D161" s="181">
        <f t="shared" si="10"/>
        <v>0</v>
      </c>
      <c r="E161" s="192"/>
      <c r="F161" s="232"/>
      <c r="G161" s="202"/>
      <c r="H161" s="189"/>
      <c r="I161" s="190"/>
      <c r="J161" s="4"/>
      <c r="K161" s="17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4">
        <f>'Données projet'!D155</f>
        <v>0</v>
      </c>
      <c r="C162" s="190"/>
      <c r="D162" s="181">
        <f t="shared" si="10"/>
        <v>0</v>
      </c>
      <c r="E162" s="192"/>
      <c r="F162" s="232"/>
      <c r="G162" s="202"/>
      <c r="H162" s="189"/>
      <c r="I162" s="190"/>
      <c r="J162" s="4"/>
      <c r="K162" s="17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4">
        <f>'Données projet'!D156</f>
        <v>0</v>
      </c>
      <c r="C163" s="190"/>
      <c r="D163" s="181">
        <f t="shared" si="10"/>
        <v>0</v>
      </c>
      <c r="E163" s="192"/>
      <c r="F163" s="232"/>
      <c r="G163" s="202"/>
      <c r="H163" s="189"/>
      <c r="I163" s="190"/>
      <c r="J163" s="4"/>
      <c r="K163" s="17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4">
        <f>'Données projet'!D157</f>
        <v>0</v>
      </c>
      <c r="C164" s="190"/>
      <c r="D164" s="181">
        <f t="shared" si="10"/>
        <v>0</v>
      </c>
      <c r="E164" s="192"/>
      <c r="F164" s="232"/>
      <c r="G164" s="202"/>
      <c r="H164" s="189"/>
      <c r="I164" s="190"/>
      <c r="J164" s="4"/>
      <c r="K164" s="17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4">
        <f>'Données projet'!D158</f>
        <v>0</v>
      </c>
      <c r="C165" s="190"/>
      <c r="D165" s="181">
        <f t="shared" si="10"/>
        <v>0</v>
      </c>
      <c r="E165" s="192"/>
      <c r="F165" s="232"/>
      <c r="G165" s="202"/>
      <c r="H165" s="189"/>
      <c r="I165" s="190"/>
      <c r="J165" s="4"/>
      <c r="K165" s="17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4">
        <f>'Données projet'!D159</f>
        <v>0</v>
      </c>
      <c r="C166" s="190"/>
      <c r="D166" s="181">
        <f t="shared" si="10"/>
        <v>0</v>
      </c>
      <c r="E166" s="192"/>
      <c r="F166" s="232"/>
      <c r="G166" s="202"/>
      <c r="H166" s="189"/>
      <c r="I166" s="190"/>
      <c r="J166" s="4"/>
      <c r="K166" s="17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29"/>
      <c r="G167" s="202"/>
      <c r="H167" s="189"/>
      <c r="I167" s="190"/>
      <c r="J167" s="4"/>
      <c r="K167" s="17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29"/>
      <c r="G168" s="202"/>
      <c r="H168" s="189"/>
      <c r="I168" s="190"/>
      <c r="J168" s="4"/>
      <c r="K168" s="17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26</v>
      </c>
      <c r="B169" s="173" t="str">
        <f>IF('Données projet'!B14="","",'Données projet'!B14)</f>
        <v/>
      </c>
      <c r="C169" s="4"/>
      <c r="D169" s="4"/>
      <c r="E169" s="4"/>
      <c r="F169" s="229"/>
      <c r="G169" s="202"/>
      <c r="H169" s="189"/>
      <c r="I169" s="190"/>
      <c r="J169" s="4"/>
      <c r="K169" s="17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29"/>
      <c r="G170" s="202"/>
      <c r="H170" s="189"/>
      <c r="I170" s="190"/>
      <c r="J170" s="4"/>
      <c r="K170" s="17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51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0"/>
      <c r="G171" s="202"/>
      <c r="H171" s="189"/>
      <c r="I171" s="190"/>
      <c r="J171" s="4"/>
      <c r="K171" s="17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8" t="s">
        <v>194</v>
      </c>
      <c r="C172" s="197" t="s">
        <v>194</v>
      </c>
      <c r="D172" s="196" t="s">
        <v>194</v>
      </c>
      <c r="E172" s="192"/>
      <c r="F172" s="230"/>
      <c r="G172" s="202"/>
      <c r="H172" s="189"/>
      <c r="I172" s="190"/>
      <c r="J172" s="4"/>
      <c r="K172" s="17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8" t="s">
        <v>194</v>
      </c>
      <c r="C173" s="197" t="s">
        <v>194</v>
      </c>
      <c r="D173" s="196" t="s">
        <v>194</v>
      </c>
      <c r="E173" s="192"/>
      <c r="F173" s="230"/>
      <c r="G173" s="23"/>
      <c r="H173" s="189"/>
      <c r="I173" s="190"/>
      <c r="J173" s="4"/>
      <c r="K173" s="17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8" t="s">
        <v>194</v>
      </c>
      <c r="C174" s="197" t="s">
        <v>194</v>
      </c>
      <c r="D174" s="196" t="s">
        <v>194</v>
      </c>
      <c r="E174" s="192"/>
      <c r="F174" s="230"/>
      <c r="G174" s="23"/>
      <c r="H174" s="189"/>
      <c r="I174" s="190"/>
      <c r="J174" s="4"/>
      <c r="K174" s="17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8" t="s">
        <v>194</v>
      </c>
      <c r="C175" s="197" t="s">
        <v>194</v>
      </c>
      <c r="D175" s="196" t="s">
        <v>194</v>
      </c>
      <c r="E175" s="192"/>
      <c r="F175" s="230"/>
      <c r="G175" s="23"/>
      <c r="H175" s="189"/>
      <c r="I175" s="190"/>
      <c r="J175" s="4"/>
      <c r="K175" s="17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8" t="s">
        <v>194</v>
      </c>
      <c r="C176" s="197" t="s">
        <v>194</v>
      </c>
      <c r="D176" s="196" t="s">
        <v>194</v>
      </c>
      <c r="E176" s="192"/>
      <c r="F176" s="230"/>
      <c r="G176" s="23"/>
      <c r="H176" s="189"/>
      <c r="I176" s="190"/>
      <c r="J176" s="4"/>
      <c r="K176" s="17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8" t="s">
        <v>194</v>
      </c>
      <c r="C177" s="197" t="s">
        <v>194</v>
      </c>
      <c r="D177" s="196" t="s">
        <v>194</v>
      </c>
      <c r="E177" s="192"/>
      <c r="F177" s="230"/>
      <c r="G177" s="204"/>
      <c r="H177" s="189"/>
      <c r="I177" s="190"/>
      <c r="J177" s="4"/>
      <c r="K177" s="17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79">
        <f>'Données projet'!A166</f>
        <v>0</v>
      </c>
      <c r="B178" s="180">
        <f>'Données projet'!D166</f>
        <v>0</v>
      </c>
      <c r="C178" s="192">
        <v>11.25</v>
      </c>
      <c r="D178" s="178">
        <f>B178*C178</f>
        <v>0</v>
      </c>
      <c r="E178" s="192">
        <v>60</v>
      </c>
      <c r="F178" s="231"/>
      <c r="G178" s="204"/>
      <c r="H178" s="189"/>
      <c r="I178" s="190"/>
      <c r="J178" s="4"/>
      <c r="K178" s="17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79">
        <f>'Données projet'!A167</f>
        <v>0</v>
      </c>
      <c r="B179" s="180">
        <f>'Données projet'!D167</f>
        <v>0</v>
      </c>
      <c r="C179" s="192">
        <v>11.25</v>
      </c>
      <c r="D179" s="178">
        <f t="shared" ref="D179:D197" si="11">B179*C179</f>
        <v>0</v>
      </c>
      <c r="E179" s="192">
        <v>60</v>
      </c>
      <c r="F179" s="231"/>
      <c r="G179" s="204"/>
      <c r="H179" s="189"/>
      <c r="I179" s="190"/>
      <c r="J179" s="4"/>
      <c r="K179" s="17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79">
        <f>'Données projet'!A168</f>
        <v>0</v>
      </c>
      <c r="B180" s="180">
        <f>'Données projet'!D168</f>
        <v>0</v>
      </c>
      <c r="C180" s="192">
        <v>11.25</v>
      </c>
      <c r="D180" s="178">
        <f t="shared" si="11"/>
        <v>0</v>
      </c>
      <c r="E180" s="192">
        <v>60</v>
      </c>
      <c r="F180" s="231"/>
      <c r="G180" s="204"/>
      <c r="H180" s="189"/>
      <c r="I180" s="190"/>
      <c r="J180" s="4"/>
      <c r="K180" s="17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79">
        <f>'Données projet'!A169</f>
        <v>0</v>
      </c>
      <c r="B181" s="180">
        <f>'Données projet'!D169</f>
        <v>0</v>
      </c>
      <c r="C181" s="192">
        <v>18.125</v>
      </c>
      <c r="D181" s="178">
        <f t="shared" si="11"/>
        <v>0</v>
      </c>
      <c r="E181" s="192">
        <v>60</v>
      </c>
      <c r="F181" s="231"/>
      <c r="G181" s="204"/>
      <c r="H181" s="189"/>
      <c r="I181" s="190"/>
      <c r="J181" s="4"/>
      <c r="K181" s="17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79">
        <f>'Données projet'!A170</f>
        <v>0</v>
      </c>
      <c r="B182" s="180">
        <f>'Données projet'!D170</f>
        <v>0</v>
      </c>
      <c r="C182" s="192">
        <v>18.125</v>
      </c>
      <c r="D182" s="178">
        <f t="shared" si="11"/>
        <v>0</v>
      </c>
      <c r="E182" s="192">
        <v>60</v>
      </c>
      <c r="F182" s="231"/>
      <c r="G182" s="204"/>
      <c r="H182" s="189"/>
      <c r="I182" s="190"/>
      <c r="J182" s="4"/>
      <c r="K182" s="17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79">
        <f>'Données projet'!A171</f>
        <v>0</v>
      </c>
      <c r="B183" s="180">
        <f>'Données projet'!D171</f>
        <v>0</v>
      </c>
      <c r="C183" s="192">
        <v>18.125</v>
      </c>
      <c r="D183" s="178">
        <f t="shared" si="11"/>
        <v>0</v>
      </c>
      <c r="E183" s="192">
        <v>60</v>
      </c>
      <c r="F183" s="231"/>
      <c r="G183" s="204"/>
      <c r="H183" s="189"/>
      <c r="I183" s="190"/>
      <c r="J183" s="4"/>
      <c r="K183" s="17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79">
        <f>'Données projet'!A172</f>
        <v>0</v>
      </c>
      <c r="B184" s="180">
        <f>'Données projet'!D172</f>
        <v>0</v>
      </c>
      <c r="C184" s="192">
        <v>18.125</v>
      </c>
      <c r="D184" s="178">
        <f t="shared" si="11"/>
        <v>0</v>
      </c>
      <c r="E184" s="192">
        <v>60</v>
      </c>
      <c r="F184" s="231"/>
      <c r="G184" s="205"/>
      <c r="H184" s="189"/>
      <c r="I184" s="190"/>
      <c r="J184" s="4"/>
      <c r="K184" s="17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79">
        <f>'Données projet'!A173</f>
        <v>0</v>
      </c>
      <c r="B185" s="180">
        <f>'Données projet'!D173</f>
        <v>0</v>
      </c>
      <c r="C185" s="192">
        <v>21.25</v>
      </c>
      <c r="D185" s="178">
        <f t="shared" si="11"/>
        <v>0</v>
      </c>
      <c r="E185" s="192">
        <v>60</v>
      </c>
      <c r="F185" s="231"/>
      <c r="G185" s="205"/>
      <c r="H185" s="189"/>
      <c r="I185" s="190"/>
      <c r="J185" s="4"/>
      <c r="K185" s="17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79">
        <f>'Données projet'!A174</f>
        <v>0</v>
      </c>
      <c r="B186" s="180">
        <f>'Données projet'!D174</f>
        <v>0</v>
      </c>
      <c r="C186" s="192">
        <v>22.8125</v>
      </c>
      <c r="D186" s="178">
        <f t="shared" si="11"/>
        <v>0</v>
      </c>
      <c r="E186" s="192">
        <v>60</v>
      </c>
      <c r="F186" s="231"/>
      <c r="G186" s="205"/>
      <c r="H186" s="189"/>
      <c r="I186" s="190"/>
      <c r="J186" s="4"/>
      <c r="K186" s="17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79">
        <f>'Données projet'!A175</f>
        <v>0</v>
      </c>
      <c r="B187" s="180">
        <f>'Données projet'!D175</f>
        <v>0</v>
      </c>
      <c r="C187" s="192"/>
      <c r="D187" s="178">
        <f t="shared" si="11"/>
        <v>0</v>
      </c>
      <c r="E187" s="192"/>
      <c r="F187" s="231"/>
      <c r="G187" s="205"/>
      <c r="H187" s="189"/>
      <c r="I187" s="190"/>
      <c r="J187" s="4"/>
      <c r="K187" s="17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79">
        <f>'Données projet'!A176</f>
        <v>0</v>
      </c>
      <c r="B188" s="180">
        <f>'Données projet'!D176</f>
        <v>0</v>
      </c>
      <c r="C188" s="192"/>
      <c r="D188" s="178">
        <f t="shared" si="11"/>
        <v>0</v>
      </c>
      <c r="E188" s="192"/>
      <c r="F188" s="231"/>
      <c r="G188" s="205"/>
      <c r="H188" s="189"/>
      <c r="I188" s="190"/>
      <c r="J188" s="4"/>
      <c r="K188" s="17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79">
        <f>'Données projet'!A177</f>
        <v>0</v>
      </c>
      <c r="B189" s="180">
        <f>'Données projet'!D177</f>
        <v>0</v>
      </c>
      <c r="C189" s="192"/>
      <c r="D189" s="178">
        <f t="shared" si="11"/>
        <v>0</v>
      </c>
      <c r="E189" s="192"/>
      <c r="F189" s="231"/>
      <c r="G189" s="205"/>
      <c r="H189" s="189"/>
      <c r="I189" s="190"/>
      <c r="J189" s="4"/>
      <c r="K189" s="17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79">
        <f>'Données projet'!A178</f>
        <v>0</v>
      </c>
      <c r="B190" s="180">
        <f>'Données projet'!D178</f>
        <v>0</v>
      </c>
      <c r="C190" s="192"/>
      <c r="D190" s="178">
        <f t="shared" si="11"/>
        <v>0</v>
      </c>
      <c r="E190" s="192"/>
      <c r="F190" s="231"/>
      <c r="G190" s="205"/>
      <c r="H190" s="189"/>
      <c r="I190" s="190"/>
      <c r="J190" s="4"/>
      <c r="K190" s="17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79">
        <f>'Données projet'!A179</f>
        <v>0</v>
      </c>
      <c r="B191" s="180">
        <f>'Données projet'!D179</f>
        <v>0</v>
      </c>
      <c r="C191" s="192"/>
      <c r="D191" s="178">
        <f t="shared" si="11"/>
        <v>0</v>
      </c>
      <c r="E191" s="192"/>
      <c r="F191" s="231"/>
      <c r="G191" s="205"/>
      <c r="H191" s="189"/>
      <c r="I191" s="190"/>
      <c r="J191" s="4"/>
      <c r="K191" s="17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79">
        <f>'Données projet'!A180</f>
        <v>0</v>
      </c>
      <c r="B192" s="180">
        <f>'Données projet'!D180</f>
        <v>0</v>
      </c>
      <c r="C192" s="192"/>
      <c r="D192" s="178">
        <f t="shared" si="11"/>
        <v>0</v>
      </c>
      <c r="E192" s="192"/>
      <c r="F192" s="231"/>
      <c r="G192" s="205"/>
      <c r="H192" s="189"/>
      <c r="I192" s="190"/>
      <c r="J192" s="4"/>
      <c r="K192" s="17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79">
        <f>'Données projet'!A181</f>
        <v>0</v>
      </c>
      <c r="B193" s="180">
        <f>'Données projet'!D181</f>
        <v>0</v>
      </c>
      <c r="C193" s="192"/>
      <c r="D193" s="178">
        <f t="shared" si="11"/>
        <v>0</v>
      </c>
      <c r="E193" s="192"/>
      <c r="F193" s="231"/>
      <c r="G193" s="205"/>
      <c r="H193" s="189"/>
      <c r="I193" s="190"/>
      <c r="J193" s="4"/>
      <c r="K193" s="17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79">
        <f>'Données projet'!A182</f>
        <v>0</v>
      </c>
      <c r="B194" s="180">
        <f>'Données projet'!D182</f>
        <v>0</v>
      </c>
      <c r="C194" s="192"/>
      <c r="D194" s="178">
        <f t="shared" si="11"/>
        <v>0</v>
      </c>
      <c r="E194" s="192"/>
      <c r="F194" s="231"/>
      <c r="G194" s="205"/>
      <c r="H194" s="189"/>
      <c r="I194" s="190"/>
      <c r="J194" s="4"/>
      <c r="K194" s="17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79">
        <f>'Données projet'!A183</f>
        <v>0</v>
      </c>
      <c r="B195" s="180">
        <f>'Données projet'!D183</f>
        <v>0</v>
      </c>
      <c r="C195" s="192"/>
      <c r="D195" s="178">
        <f t="shared" si="11"/>
        <v>0</v>
      </c>
      <c r="E195" s="192"/>
      <c r="F195" s="231"/>
      <c r="G195" s="205"/>
      <c r="H195" s="189"/>
      <c r="I195" s="190"/>
      <c r="J195" s="4"/>
      <c r="K195" s="17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79">
        <f>'Données projet'!A184</f>
        <v>0</v>
      </c>
      <c r="B196" s="180">
        <f>'Données projet'!D184</f>
        <v>0</v>
      </c>
      <c r="C196" s="192"/>
      <c r="D196" s="178">
        <f t="shared" si="11"/>
        <v>0</v>
      </c>
      <c r="E196" s="192"/>
      <c r="F196" s="231"/>
      <c r="G196" s="205"/>
      <c r="H196" s="189"/>
      <c r="I196" s="190"/>
      <c r="J196" s="4"/>
      <c r="K196" s="17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79">
        <f>'Données projet'!A185</f>
        <v>0</v>
      </c>
      <c r="B197" s="180">
        <f>'Données projet'!D185</f>
        <v>0</v>
      </c>
      <c r="C197" s="192"/>
      <c r="D197" s="178">
        <f t="shared" si="11"/>
        <v>0</v>
      </c>
      <c r="E197" s="192"/>
      <c r="F197" s="231"/>
      <c r="G197" s="205"/>
      <c r="H197" s="189"/>
      <c r="I197" s="190"/>
      <c r="J197" s="4"/>
      <c r="K197" s="17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29"/>
      <c r="G198" s="205"/>
      <c r="H198" s="189"/>
      <c r="I198" s="190"/>
      <c r="J198" s="4"/>
      <c r="K198" s="17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29"/>
      <c r="G199" s="205"/>
      <c r="H199" s="189"/>
      <c r="I199" s="190"/>
      <c r="J199" s="4"/>
      <c r="K199" s="17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28</v>
      </c>
      <c r="B200" s="173" t="str">
        <f>IF('Données projet'!$B$15="","",'Données projet'!$B$15)</f>
        <v/>
      </c>
      <c r="C200" s="4"/>
      <c r="D200" s="4"/>
      <c r="E200" s="4"/>
      <c r="F200" s="229"/>
      <c r="G200" s="205"/>
      <c r="H200" s="189"/>
      <c r="I200" s="190"/>
      <c r="J200" s="4"/>
      <c r="K200" s="17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29"/>
      <c r="G201" s="205"/>
      <c r="H201" s="189"/>
      <c r="I201" s="190"/>
      <c r="J201" s="4"/>
      <c r="K201" s="17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51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0"/>
      <c r="G202" s="205"/>
      <c r="H202" s="189"/>
      <c r="I202" s="190"/>
      <c r="J202" s="4"/>
      <c r="K202" s="17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8" t="s">
        <v>194</v>
      </c>
      <c r="C203" s="197" t="s">
        <v>194</v>
      </c>
      <c r="D203" s="196" t="s">
        <v>194</v>
      </c>
      <c r="E203" s="192"/>
      <c r="F203" s="230"/>
      <c r="G203" s="205"/>
      <c r="H203" s="189"/>
      <c r="I203" s="190"/>
      <c r="J203" s="4"/>
      <c r="K203" s="17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8" t="s">
        <v>194</v>
      </c>
      <c r="C204" s="197" t="s">
        <v>194</v>
      </c>
      <c r="D204" s="196" t="s">
        <v>194</v>
      </c>
      <c r="E204" s="192"/>
      <c r="F204" s="230"/>
      <c r="G204" s="23"/>
      <c r="H204" s="189"/>
      <c r="I204" s="190"/>
      <c r="J204" s="4"/>
      <c r="K204" s="17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8" t="s">
        <v>194</v>
      </c>
      <c r="C205" s="197" t="s">
        <v>194</v>
      </c>
      <c r="D205" s="196" t="s">
        <v>194</v>
      </c>
      <c r="E205" s="192"/>
      <c r="F205" s="230"/>
      <c r="G205" s="23"/>
      <c r="H205" s="189"/>
      <c r="I205" s="190"/>
      <c r="J205" s="4"/>
      <c r="K205" s="17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8" t="s">
        <v>194</v>
      </c>
      <c r="C206" s="197" t="s">
        <v>194</v>
      </c>
      <c r="D206" s="196" t="s">
        <v>194</v>
      </c>
      <c r="E206" s="192"/>
      <c r="F206" s="230"/>
      <c r="G206" s="23"/>
      <c r="H206" s="189"/>
      <c r="I206" s="190"/>
      <c r="J206" s="4"/>
      <c r="K206" s="17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8" t="s">
        <v>194</v>
      </c>
      <c r="C207" s="197" t="s">
        <v>194</v>
      </c>
      <c r="D207" s="196" t="s">
        <v>194</v>
      </c>
      <c r="E207" s="192"/>
      <c r="F207" s="230"/>
      <c r="G207" s="23"/>
      <c r="H207" s="189"/>
      <c r="I207" s="190"/>
      <c r="J207" s="4"/>
      <c r="K207" s="17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8" t="s">
        <v>194</v>
      </c>
      <c r="C208" s="197" t="s">
        <v>194</v>
      </c>
      <c r="D208" s="196" t="s">
        <v>194</v>
      </c>
      <c r="E208" s="192"/>
      <c r="F208" s="230"/>
      <c r="G208" s="204"/>
      <c r="H208" s="189"/>
      <c r="I208" s="190"/>
      <c r="J208" s="4"/>
      <c r="K208" s="17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79">
        <f>'Données projet'!A192</f>
        <v>0</v>
      </c>
      <c r="B209" s="180">
        <f>'Données projet'!D192</f>
        <v>0</v>
      </c>
      <c r="C209" s="192">
        <v>11.25</v>
      </c>
      <c r="D209" s="178">
        <f>B209*C209</f>
        <v>0</v>
      </c>
      <c r="E209" s="192">
        <v>60</v>
      </c>
      <c r="F209" s="231"/>
      <c r="G209" s="204"/>
      <c r="H209" s="189"/>
      <c r="I209" s="190"/>
      <c r="J209" s="4"/>
      <c r="K209" s="17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79">
        <f>'Données projet'!A193</f>
        <v>0</v>
      </c>
      <c r="B210" s="180">
        <f>'Données projet'!D193</f>
        <v>0</v>
      </c>
      <c r="C210" s="192">
        <v>11.25</v>
      </c>
      <c r="D210" s="178">
        <f t="shared" ref="D210:D228" si="12">B210*C210</f>
        <v>0</v>
      </c>
      <c r="E210" s="192">
        <v>60</v>
      </c>
      <c r="F210" s="231"/>
      <c r="G210" s="204"/>
      <c r="H210" s="189"/>
      <c r="I210" s="190"/>
      <c r="J210" s="4"/>
      <c r="K210" s="17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79">
        <f>'Données projet'!A194</f>
        <v>0</v>
      </c>
      <c r="B211" s="180">
        <f>'Données projet'!D194</f>
        <v>0</v>
      </c>
      <c r="C211" s="192">
        <v>11.25</v>
      </c>
      <c r="D211" s="178">
        <f t="shared" si="12"/>
        <v>0</v>
      </c>
      <c r="E211" s="192">
        <v>60</v>
      </c>
      <c r="F211" s="231"/>
      <c r="G211" s="204"/>
      <c r="H211" s="189"/>
      <c r="I211" s="190"/>
      <c r="J211" s="4"/>
      <c r="K211" s="17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79">
        <f>'Données projet'!A195</f>
        <v>0</v>
      </c>
      <c r="B212" s="180">
        <f>'Données projet'!D195</f>
        <v>0</v>
      </c>
      <c r="C212" s="192">
        <v>11.25</v>
      </c>
      <c r="D212" s="178">
        <f t="shared" si="12"/>
        <v>0</v>
      </c>
      <c r="E212" s="192">
        <v>60</v>
      </c>
      <c r="F212" s="231"/>
      <c r="G212" s="204"/>
      <c r="H212" s="189"/>
      <c r="I212" s="190"/>
      <c r="J212" s="4"/>
      <c r="K212" s="17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79">
        <f>'Données projet'!A196</f>
        <v>0</v>
      </c>
      <c r="B213" s="180">
        <f>'Données projet'!D196</f>
        <v>0</v>
      </c>
      <c r="C213" s="192">
        <v>11.25</v>
      </c>
      <c r="D213" s="178">
        <f t="shared" si="12"/>
        <v>0</v>
      </c>
      <c r="E213" s="192">
        <v>60</v>
      </c>
      <c r="F213" s="231"/>
      <c r="G213" s="204"/>
      <c r="H213" s="189"/>
      <c r="I213" s="190"/>
      <c r="J213" s="4"/>
      <c r="K213" s="17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79">
        <f>'Données projet'!A197</f>
        <v>0</v>
      </c>
      <c r="B214" s="180">
        <f>'Données projet'!D197</f>
        <v>0</v>
      </c>
      <c r="C214" s="192">
        <v>11.25</v>
      </c>
      <c r="D214" s="178">
        <f t="shared" si="12"/>
        <v>0</v>
      </c>
      <c r="E214" s="192">
        <v>60</v>
      </c>
      <c r="F214" s="231"/>
      <c r="G214" s="204"/>
      <c r="H214" s="189"/>
      <c r="I214" s="190"/>
      <c r="J214" s="4"/>
      <c r="K214" s="17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79">
        <f>'Données projet'!A198</f>
        <v>0</v>
      </c>
      <c r="B215" s="180">
        <f>'Données projet'!D198</f>
        <v>0</v>
      </c>
      <c r="C215" s="192">
        <v>27.75</v>
      </c>
      <c r="D215" s="178">
        <f t="shared" si="12"/>
        <v>0</v>
      </c>
      <c r="E215" s="192">
        <v>60</v>
      </c>
      <c r="F215" s="231"/>
      <c r="G215" s="205"/>
      <c r="H215" s="189"/>
      <c r="I215" s="190"/>
      <c r="J215" s="4"/>
      <c r="K215" s="17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79">
        <f>'Données projet'!A199</f>
        <v>0</v>
      </c>
      <c r="B216" s="180">
        <f>'Données projet'!D199</f>
        <v>0</v>
      </c>
      <c r="C216" s="192">
        <v>27.75</v>
      </c>
      <c r="D216" s="178">
        <f t="shared" si="12"/>
        <v>0</v>
      </c>
      <c r="E216" s="192">
        <v>60</v>
      </c>
      <c r="F216" s="231"/>
      <c r="G216" s="205"/>
      <c r="H216" s="189"/>
      <c r="I216" s="190"/>
      <c r="J216" s="4"/>
      <c r="K216" s="17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79">
        <f>'Données projet'!A200</f>
        <v>0</v>
      </c>
      <c r="B217" s="180">
        <f>'Données projet'!D200</f>
        <v>0</v>
      </c>
      <c r="C217" s="192">
        <v>27.75</v>
      </c>
      <c r="D217" s="178">
        <f t="shared" si="12"/>
        <v>0</v>
      </c>
      <c r="E217" s="192">
        <v>60</v>
      </c>
      <c r="F217" s="231"/>
      <c r="G217" s="205"/>
      <c r="H217" s="189"/>
      <c r="I217" s="190"/>
      <c r="J217" s="4"/>
      <c r="K217" s="17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79">
        <f>'Données projet'!A201</f>
        <v>0</v>
      </c>
      <c r="B218" s="180">
        <f>'Données projet'!D201</f>
        <v>0</v>
      </c>
      <c r="C218" s="192">
        <v>27.75</v>
      </c>
      <c r="D218" s="178">
        <f t="shared" si="12"/>
        <v>0</v>
      </c>
      <c r="E218" s="192">
        <v>60</v>
      </c>
      <c r="F218" s="231"/>
      <c r="G218" s="205"/>
      <c r="H218" s="189"/>
      <c r="I218" s="190"/>
      <c r="J218" s="4"/>
      <c r="K218" s="17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79">
        <f>'Données projet'!A202</f>
        <v>0</v>
      </c>
      <c r="B219" s="180">
        <f>'Données projet'!D202</f>
        <v>0</v>
      </c>
      <c r="C219" s="192">
        <v>27.75</v>
      </c>
      <c r="D219" s="178">
        <f t="shared" si="12"/>
        <v>0</v>
      </c>
      <c r="E219" s="192">
        <v>60</v>
      </c>
      <c r="F219" s="231"/>
      <c r="G219" s="205"/>
      <c r="H219" s="189"/>
      <c r="I219" s="190"/>
      <c r="J219" s="4"/>
      <c r="K219" s="172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79">
        <f>'Données projet'!A203</f>
        <v>0</v>
      </c>
      <c r="B220" s="180">
        <f>'Données projet'!D203</f>
        <v>0</v>
      </c>
      <c r="C220" s="192">
        <v>27.75</v>
      </c>
      <c r="D220" s="178">
        <f t="shared" si="12"/>
        <v>0</v>
      </c>
      <c r="E220" s="192">
        <v>60</v>
      </c>
      <c r="F220" s="231"/>
      <c r="G220" s="205"/>
      <c r="H220" s="4"/>
      <c r="I220" s="4"/>
      <c r="J220" s="4"/>
      <c r="K220" s="172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79">
        <f>'Données projet'!A204</f>
        <v>0</v>
      </c>
      <c r="B221" s="180">
        <f>'Données projet'!D204</f>
        <v>0</v>
      </c>
      <c r="C221" s="192">
        <v>27.75</v>
      </c>
      <c r="D221" s="178">
        <f t="shared" si="12"/>
        <v>0</v>
      </c>
      <c r="E221" s="192">
        <v>60</v>
      </c>
      <c r="F221" s="231"/>
      <c r="G221" s="205"/>
      <c r="H221" s="4"/>
      <c r="I221" s="4"/>
      <c r="J221" s="4"/>
      <c r="K221" s="172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79">
        <f>'Données projet'!A205</f>
        <v>0</v>
      </c>
      <c r="B222" s="180">
        <f>'Données projet'!D205</f>
        <v>0</v>
      </c>
      <c r="C222" s="192">
        <v>27.75</v>
      </c>
      <c r="D222" s="178">
        <f t="shared" si="12"/>
        <v>0</v>
      </c>
      <c r="E222" s="192">
        <v>60</v>
      </c>
      <c r="F222" s="231"/>
      <c r="G222" s="205"/>
      <c r="H222" s="4"/>
      <c r="I222" s="4"/>
      <c r="J222" s="4"/>
      <c r="K222" s="172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79">
        <f>'Données projet'!A206</f>
        <v>0</v>
      </c>
      <c r="B223" s="180">
        <f>'Données projet'!D206</f>
        <v>0</v>
      </c>
      <c r="C223" s="192">
        <v>36.5</v>
      </c>
      <c r="D223" s="178">
        <f t="shared" si="12"/>
        <v>0</v>
      </c>
      <c r="E223" s="192">
        <v>60</v>
      </c>
      <c r="F223" s="231"/>
      <c r="G223" s="205"/>
      <c r="H223" s="4"/>
      <c r="I223" s="4"/>
      <c r="J223" s="4"/>
      <c r="K223" s="172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79">
        <f>'Données projet'!A207</f>
        <v>0</v>
      </c>
      <c r="B224" s="180">
        <f>'Données projet'!D207</f>
        <v>0</v>
      </c>
      <c r="C224" s="192"/>
      <c r="D224" s="178">
        <f t="shared" si="12"/>
        <v>0</v>
      </c>
      <c r="E224" s="192"/>
      <c r="F224" s="231"/>
      <c r="G224" s="205"/>
      <c r="H224" s="4"/>
      <c r="I224" s="4"/>
      <c r="J224" s="4"/>
      <c r="K224" s="172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79">
        <f>'Données projet'!A208</f>
        <v>0</v>
      </c>
      <c r="B225" s="180">
        <f>'Données projet'!D208</f>
        <v>0</v>
      </c>
      <c r="C225" s="192"/>
      <c r="D225" s="178">
        <f t="shared" si="12"/>
        <v>0</v>
      </c>
      <c r="E225" s="192"/>
      <c r="F225" s="231"/>
      <c r="G225" s="205"/>
      <c r="H225" s="4"/>
      <c r="I225" s="4"/>
      <c r="J225" s="4"/>
      <c r="K225" s="172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79">
        <f>'Données projet'!A209</f>
        <v>0</v>
      </c>
      <c r="B226" s="180">
        <f>'Données projet'!D209</f>
        <v>0</v>
      </c>
      <c r="C226" s="192"/>
      <c r="D226" s="178">
        <f t="shared" si="12"/>
        <v>0</v>
      </c>
      <c r="E226" s="192"/>
      <c r="F226" s="231"/>
      <c r="G226" s="205"/>
      <c r="H226" s="4"/>
      <c r="I226" s="4"/>
      <c r="J226" s="4"/>
      <c r="K226" s="172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79">
        <f>'Données projet'!A210</f>
        <v>0</v>
      </c>
      <c r="B227" s="180">
        <f>'Données projet'!D210</f>
        <v>0</v>
      </c>
      <c r="C227" s="192"/>
      <c r="D227" s="178">
        <f t="shared" si="12"/>
        <v>0</v>
      </c>
      <c r="E227" s="192"/>
      <c r="F227" s="231"/>
      <c r="G227" s="205"/>
      <c r="H227" s="4"/>
      <c r="I227" s="4"/>
      <c r="J227" s="4"/>
      <c r="K227" s="172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79">
        <f>'Données projet'!A211</f>
        <v>0</v>
      </c>
      <c r="B228" s="180">
        <f>'Données projet'!D211</f>
        <v>0</v>
      </c>
      <c r="C228" s="192"/>
      <c r="D228" s="178">
        <f t="shared" si="12"/>
        <v>0</v>
      </c>
      <c r="E228" s="192"/>
      <c r="F228" s="231"/>
      <c r="G228" s="205"/>
      <c r="H228" s="4"/>
      <c r="I228" s="4"/>
      <c r="J228" s="4"/>
      <c r="K228" s="172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2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2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30</v>
      </c>
      <c r="B231" s="173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2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2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51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0"/>
      <c r="G233" s="205"/>
      <c r="H233" s="4"/>
      <c r="I233" s="4"/>
      <c r="J233" s="4"/>
      <c r="K233" s="172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8" t="s">
        <v>194</v>
      </c>
      <c r="C234" s="197" t="s">
        <v>194</v>
      </c>
      <c r="D234" s="196" t="s">
        <v>194</v>
      </c>
      <c r="E234" s="192"/>
      <c r="F234" s="230"/>
      <c r="G234" s="205"/>
      <c r="H234" s="4"/>
      <c r="I234" s="4"/>
      <c r="J234" s="4"/>
      <c r="K234" s="172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8" t="s">
        <v>194</v>
      </c>
      <c r="C235" s="197" t="s">
        <v>194</v>
      </c>
      <c r="D235" s="196" t="s">
        <v>194</v>
      </c>
      <c r="E235" s="192"/>
      <c r="F235" s="230"/>
      <c r="G235" s="23"/>
      <c r="H235" s="4"/>
      <c r="I235" s="4"/>
      <c r="J235" s="4"/>
      <c r="K235" s="172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8" t="s">
        <v>194</v>
      </c>
      <c r="C236" s="197" t="s">
        <v>194</v>
      </c>
      <c r="D236" s="196" t="s">
        <v>194</v>
      </c>
      <c r="E236" s="192"/>
      <c r="F236" s="230"/>
      <c r="G236" s="23"/>
      <c r="H236" s="4"/>
      <c r="I236" s="4"/>
      <c r="J236" s="4"/>
      <c r="K236" s="172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8" t="s">
        <v>194</v>
      </c>
      <c r="C237" s="197" t="s">
        <v>194</v>
      </c>
      <c r="D237" s="196" t="s">
        <v>194</v>
      </c>
      <c r="E237" s="192"/>
      <c r="F237" s="230"/>
      <c r="G237" s="23"/>
      <c r="H237" s="4"/>
      <c r="I237" s="4"/>
      <c r="J237" s="4"/>
      <c r="K237" s="172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8" t="s">
        <v>194</v>
      </c>
      <c r="C238" s="197" t="s">
        <v>194</v>
      </c>
      <c r="D238" s="196" t="s">
        <v>194</v>
      </c>
      <c r="E238" s="192"/>
      <c r="F238" s="230"/>
      <c r="G238" s="23"/>
      <c r="H238" s="4"/>
      <c r="I238" s="4"/>
      <c r="J238" s="4"/>
      <c r="K238" s="172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8" t="s">
        <v>194</v>
      </c>
      <c r="C239" s="197" t="s">
        <v>194</v>
      </c>
      <c r="D239" s="196" t="s">
        <v>194</v>
      </c>
      <c r="E239" s="192"/>
      <c r="F239" s="230"/>
      <c r="G239" s="204"/>
      <c r="H239" s="4"/>
      <c r="I239" s="4"/>
      <c r="J239" s="4"/>
      <c r="K239" s="172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79">
        <f>'Données projet'!A218</f>
        <v>0</v>
      </c>
      <c r="B240" s="180">
        <f>'Données projet'!D218</f>
        <v>0</v>
      </c>
      <c r="C240" s="190">
        <v>10</v>
      </c>
      <c r="D240" s="178">
        <f>B240*C240</f>
        <v>0</v>
      </c>
      <c r="E240" s="192">
        <v>60</v>
      </c>
      <c r="F240" s="231"/>
      <c r="G240" s="204"/>
      <c r="H240" s="4"/>
      <c r="I240" s="4"/>
      <c r="J240" s="4"/>
      <c r="K240" s="172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79">
        <f>'Données projet'!A219</f>
        <v>0</v>
      </c>
      <c r="B241" s="180">
        <f>'Données projet'!D219</f>
        <v>0</v>
      </c>
      <c r="C241" s="190">
        <v>10</v>
      </c>
      <c r="D241" s="178">
        <f t="shared" ref="D241:D259" si="13">B241*C241</f>
        <v>0</v>
      </c>
      <c r="E241" s="192">
        <v>60</v>
      </c>
      <c r="F241" s="231"/>
      <c r="G241" s="204"/>
      <c r="H241" s="4"/>
      <c r="I241" s="4"/>
      <c r="J241" s="4"/>
      <c r="K241" s="172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79">
        <f>'Données projet'!A220</f>
        <v>0</v>
      </c>
      <c r="B242" s="180">
        <f>'Données projet'!D220</f>
        <v>0</v>
      </c>
      <c r="C242" s="190">
        <v>18.125</v>
      </c>
      <c r="D242" s="178">
        <f t="shared" si="13"/>
        <v>0</v>
      </c>
      <c r="E242" s="192">
        <v>60</v>
      </c>
      <c r="F242" s="231"/>
      <c r="G242" s="204"/>
      <c r="H242" s="4"/>
      <c r="I242" s="4"/>
      <c r="J242" s="4"/>
      <c r="K242" s="172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79">
        <f>'Données projet'!A221</f>
        <v>0</v>
      </c>
      <c r="B243" s="180">
        <f>'Données projet'!D221</f>
        <v>0</v>
      </c>
      <c r="C243" s="190">
        <v>18.125</v>
      </c>
      <c r="D243" s="178">
        <f t="shared" si="13"/>
        <v>0</v>
      </c>
      <c r="E243" s="192">
        <v>60</v>
      </c>
      <c r="F243" s="231"/>
      <c r="G243" s="204"/>
      <c r="H243" s="4"/>
      <c r="I243" s="4"/>
      <c r="J243" s="4"/>
      <c r="K243" s="172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79">
        <f>'Données projet'!A222</f>
        <v>0</v>
      </c>
      <c r="B244" s="180">
        <f>'Données projet'!D222</f>
        <v>0</v>
      </c>
      <c r="C244" s="190">
        <v>18.125</v>
      </c>
      <c r="D244" s="178">
        <f t="shared" si="13"/>
        <v>0</v>
      </c>
      <c r="E244" s="192">
        <v>60</v>
      </c>
      <c r="F244" s="231"/>
      <c r="G244" s="204"/>
      <c r="H244" s="4"/>
      <c r="I244" s="4"/>
      <c r="J244" s="4"/>
      <c r="K244" s="17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79">
        <f>'Données projet'!A223</f>
        <v>0</v>
      </c>
      <c r="B245" s="180">
        <f>'Données projet'!D223</f>
        <v>0</v>
      </c>
      <c r="C245" s="190">
        <v>18.125</v>
      </c>
      <c r="D245" s="178">
        <f t="shared" si="13"/>
        <v>0</v>
      </c>
      <c r="E245" s="192">
        <v>60</v>
      </c>
      <c r="F245" s="231"/>
      <c r="G245" s="204"/>
      <c r="H245" s="4"/>
      <c r="I245" s="4"/>
      <c r="J245" s="4"/>
      <c r="K245" s="172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79">
        <f>'Données projet'!A224</f>
        <v>0</v>
      </c>
      <c r="B246" s="180">
        <f>'Données projet'!D224</f>
        <v>0</v>
      </c>
      <c r="C246" s="190">
        <v>18.125</v>
      </c>
      <c r="D246" s="178">
        <f t="shared" si="13"/>
        <v>0</v>
      </c>
      <c r="E246" s="192">
        <v>60</v>
      </c>
      <c r="F246" s="231"/>
      <c r="G246" s="205"/>
      <c r="H246" s="4"/>
      <c r="I246" s="4"/>
      <c r="J246" s="4"/>
      <c r="K246" s="172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79">
        <f>'Données projet'!A225</f>
        <v>0</v>
      </c>
      <c r="B247" s="180">
        <f>'Données projet'!D225</f>
        <v>0</v>
      </c>
      <c r="C247" s="190">
        <v>32.1875</v>
      </c>
      <c r="D247" s="178">
        <f t="shared" si="13"/>
        <v>0</v>
      </c>
      <c r="E247" s="192">
        <v>60</v>
      </c>
      <c r="F247" s="231"/>
      <c r="G247" s="205"/>
      <c r="H247" s="4"/>
      <c r="I247" s="4"/>
      <c r="J247" s="4"/>
      <c r="K247" s="172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79">
        <f>'Données projet'!A226</f>
        <v>0</v>
      </c>
      <c r="B248" s="180">
        <f>'Données projet'!D226</f>
        <v>0</v>
      </c>
      <c r="C248" s="190">
        <v>32.1875</v>
      </c>
      <c r="D248" s="178">
        <f t="shared" si="13"/>
        <v>0</v>
      </c>
      <c r="E248" s="192">
        <v>60</v>
      </c>
      <c r="F248" s="231"/>
      <c r="G248" s="205"/>
      <c r="H248" s="4"/>
      <c r="I248" s="4"/>
      <c r="J248" s="4"/>
      <c r="K248" s="172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79">
        <f>'Données projet'!A227</f>
        <v>0</v>
      </c>
      <c r="B249" s="180">
        <f>'Données projet'!D227</f>
        <v>0</v>
      </c>
      <c r="C249" s="192">
        <v>32.1875</v>
      </c>
      <c r="D249" s="178">
        <f t="shared" si="13"/>
        <v>0</v>
      </c>
      <c r="E249" s="192">
        <v>60</v>
      </c>
      <c r="F249" s="231"/>
      <c r="G249" s="205"/>
      <c r="H249" s="4"/>
      <c r="I249" s="4"/>
      <c r="J249" s="4"/>
      <c r="K249" s="172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79">
        <f>'Données projet'!A228</f>
        <v>0</v>
      </c>
      <c r="B250" s="180">
        <f>'Données projet'!D228</f>
        <v>0</v>
      </c>
      <c r="C250" s="192">
        <v>32.1875</v>
      </c>
      <c r="D250" s="178">
        <f t="shared" si="13"/>
        <v>0</v>
      </c>
      <c r="E250" s="192">
        <v>60</v>
      </c>
      <c r="F250" s="231"/>
      <c r="G250" s="205"/>
      <c r="H250" s="4"/>
      <c r="I250" s="4"/>
      <c r="J250" s="4"/>
      <c r="K250" s="172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79">
        <f>'Données projet'!A229</f>
        <v>0</v>
      </c>
      <c r="B251" s="180">
        <f>'Données projet'!D229</f>
        <v>0</v>
      </c>
      <c r="C251" s="192">
        <v>32.1875</v>
      </c>
      <c r="D251" s="178">
        <f t="shared" si="13"/>
        <v>0</v>
      </c>
      <c r="E251" s="192">
        <v>60</v>
      </c>
      <c r="F251" s="231"/>
      <c r="G251" s="205"/>
      <c r="H251" s="4"/>
      <c r="I251" s="4"/>
      <c r="J251" s="4"/>
      <c r="K251" s="172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79">
        <f>'Données projet'!A230</f>
        <v>0</v>
      </c>
      <c r="B252" s="180">
        <f>'Données projet'!D230</f>
        <v>0</v>
      </c>
      <c r="C252" s="192">
        <v>32.1875</v>
      </c>
      <c r="D252" s="178">
        <f t="shared" si="13"/>
        <v>0</v>
      </c>
      <c r="E252" s="192">
        <v>60</v>
      </c>
      <c r="F252" s="231"/>
      <c r="G252" s="205"/>
      <c r="H252" s="4"/>
      <c r="I252" s="4"/>
      <c r="J252" s="4"/>
      <c r="K252" s="172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79">
        <f>'Données projet'!A231</f>
        <v>0</v>
      </c>
      <c r="B253" s="180">
        <f>'Données projet'!D231</f>
        <v>0</v>
      </c>
      <c r="C253" s="192">
        <v>32</v>
      </c>
      <c r="D253" s="178">
        <f t="shared" si="13"/>
        <v>0</v>
      </c>
      <c r="E253" s="192">
        <v>60</v>
      </c>
      <c r="F253" s="231"/>
      <c r="G253" s="205"/>
      <c r="H253" s="4"/>
      <c r="I253" s="4"/>
      <c r="J253" s="4"/>
      <c r="K253" s="172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79">
        <f>'Données projet'!A232</f>
        <v>0</v>
      </c>
      <c r="B254" s="180">
        <f>'Données projet'!D232</f>
        <v>0</v>
      </c>
      <c r="C254" s="192"/>
      <c r="D254" s="178">
        <f t="shared" si="13"/>
        <v>0</v>
      </c>
      <c r="E254" s="192"/>
      <c r="F254" s="231"/>
      <c r="G254" s="205"/>
      <c r="H254" s="4"/>
      <c r="I254" s="4"/>
      <c r="J254" s="4"/>
      <c r="K254" s="172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79">
        <f>'Données projet'!A233</f>
        <v>0</v>
      </c>
      <c r="B255" s="180">
        <f>'Données projet'!D233</f>
        <v>0</v>
      </c>
      <c r="C255" s="192"/>
      <c r="D255" s="178">
        <f t="shared" si="13"/>
        <v>0</v>
      </c>
      <c r="E255" s="192"/>
      <c r="F255" s="231"/>
      <c r="G255" s="205"/>
      <c r="H255" s="4"/>
      <c r="I255" s="4"/>
      <c r="J255" s="4"/>
      <c r="K255" s="172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79">
        <f>'Données projet'!A234</f>
        <v>0</v>
      </c>
      <c r="B256" s="180">
        <f>'Données projet'!D234</f>
        <v>0</v>
      </c>
      <c r="C256" s="192"/>
      <c r="D256" s="178">
        <f t="shared" si="13"/>
        <v>0</v>
      </c>
      <c r="E256" s="192"/>
      <c r="F256" s="231"/>
      <c r="G256" s="205"/>
      <c r="H256" s="4"/>
      <c r="I256" s="4"/>
      <c r="J256" s="4"/>
      <c r="K256" s="172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79">
        <f>'Données projet'!A235</f>
        <v>0</v>
      </c>
      <c r="B257" s="180">
        <f>'Données projet'!D235</f>
        <v>0</v>
      </c>
      <c r="C257" s="192"/>
      <c r="D257" s="178">
        <f t="shared" si="13"/>
        <v>0</v>
      </c>
      <c r="E257" s="192"/>
      <c r="F257" s="231"/>
      <c r="G257" s="205"/>
      <c r="H257" s="4"/>
      <c r="I257" s="4"/>
      <c r="J257" s="4"/>
      <c r="K257" s="172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79">
        <f>'Données projet'!A236</f>
        <v>0</v>
      </c>
      <c r="B258" s="180">
        <f>'Données projet'!D236</f>
        <v>0</v>
      </c>
      <c r="C258" s="192"/>
      <c r="D258" s="178">
        <f t="shared" si="13"/>
        <v>0</v>
      </c>
      <c r="E258" s="192"/>
      <c r="F258" s="231"/>
      <c r="G258" s="205"/>
      <c r="H258" s="4"/>
      <c r="I258" s="4"/>
      <c r="J258" s="4"/>
      <c r="K258" s="172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79">
        <f>'Données projet'!A237</f>
        <v>0</v>
      </c>
      <c r="B259" s="180">
        <f>'Données projet'!D237</f>
        <v>0</v>
      </c>
      <c r="C259" s="192"/>
      <c r="D259" s="178">
        <f t="shared" si="13"/>
        <v>0</v>
      </c>
      <c r="E259" s="192"/>
      <c r="F259" s="231"/>
      <c r="G259" s="205"/>
      <c r="H259" s="4"/>
      <c r="I259" s="4"/>
      <c r="J259" s="4"/>
      <c r="K259" s="172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2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2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31</v>
      </c>
      <c r="B262" s="173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2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2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51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0"/>
      <c r="G264" s="205"/>
      <c r="H264" s="4"/>
      <c r="I264" s="4"/>
      <c r="J264" s="4"/>
      <c r="K264" s="172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8" t="s">
        <v>194</v>
      </c>
      <c r="C265" s="197" t="s">
        <v>194</v>
      </c>
      <c r="D265" s="196" t="s">
        <v>194</v>
      </c>
      <c r="E265" s="192"/>
      <c r="F265" s="230"/>
      <c r="G265" s="205"/>
      <c r="H265" s="4"/>
      <c r="I265" s="4"/>
      <c r="J265" s="4"/>
      <c r="K265" s="172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8" t="s">
        <v>194</v>
      </c>
      <c r="C266" s="197" t="s">
        <v>194</v>
      </c>
      <c r="D266" s="196" t="s">
        <v>194</v>
      </c>
      <c r="E266" s="192"/>
      <c r="F266" s="230"/>
      <c r="G266" s="23"/>
      <c r="H266" s="4"/>
      <c r="I266" s="4"/>
      <c r="J266" s="4"/>
      <c r="K266" s="172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8" t="s">
        <v>194</v>
      </c>
      <c r="C267" s="197" t="s">
        <v>194</v>
      </c>
      <c r="D267" s="196" t="s">
        <v>194</v>
      </c>
      <c r="E267" s="192"/>
      <c r="F267" s="230"/>
      <c r="G267" s="23"/>
      <c r="H267" s="4"/>
      <c r="I267" s="4"/>
      <c r="J267" s="4"/>
      <c r="K267" s="172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8" t="s">
        <v>194</v>
      </c>
      <c r="C268" s="197" t="s">
        <v>194</v>
      </c>
      <c r="D268" s="196" t="s">
        <v>194</v>
      </c>
      <c r="E268" s="192"/>
      <c r="F268" s="230"/>
      <c r="G268" s="23"/>
      <c r="H268" s="4"/>
      <c r="I268" s="4"/>
      <c r="J268" s="4"/>
      <c r="K268" s="172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8" t="s">
        <v>194</v>
      </c>
      <c r="C269" s="197"/>
      <c r="D269" s="196" t="s">
        <v>194</v>
      </c>
      <c r="E269" s="192"/>
      <c r="F269" s="230"/>
      <c r="G269" s="23"/>
      <c r="H269" s="4"/>
      <c r="I269" s="4"/>
      <c r="J269" s="4"/>
      <c r="K269" s="172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8" t="s">
        <v>194</v>
      </c>
      <c r="C270" s="197"/>
      <c r="D270" s="196" t="s">
        <v>194</v>
      </c>
      <c r="E270" s="192"/>
      <c r="F270" s="230"/>
      <c r="G270" s="204"/>
      <c r="H270" s="4"/>
      <c r="I270" s="4"/>
      <c r="J270" s="4"/>
      <c r="K270" s="172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79">
        <f>'Données projet'!A244</f>
        <v>0</v>
      </c>
      <c r="B271" s="180">
        <f>'Données projet'!D244</f>
        <v>0</v>
      </c>
      <c r="C271" s="192"/>
      <c r="D271" s="178">
        <f>B271*C271</f>
        <v>0</v>
      </c>
      <c r="E271" s="192"/>
      <c r="F271" s="231"/>
      <c r="G271" s="204"/>
      <c r="H271" s="4"/>
      <c r="I271" s="4"/>
      <c r="J271" s="4"/>
      <c r="K271" s="172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79">
        <f>'Données projet'!A245</f>
        <v>0</v>
      </c>
      <c r="B272" s="180">
        <f>'Données projet'!D245</f>
        <v>0</v>
      </c>
      <c r="C272" s="192"/>
      <c r="D272" s="178">
        <f t="shared" ref="D272:D290" si="14">B272*C272</f>
        <v>0</v>
      </c>
      <c r="E272" s="192"/>
      <c r="F272" s="231"/>
      <c r="G272" s="204"/>
      <c r="H272" s="4"/>
      <c r="I272" s="4"/>
      <c r="J272" s="4"/>
      <c r="K272" s="172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79">
        <f>'Données projet'!A246</f>
        <v>0</v>
      </c>
      <c r="B273" s="180">
        <f>'Données projet'!D246</f>
        <v>0</v>
      </c>
      <c r="C273" s="192"/>
      <c r="D273" s="178">
        <f t="shared" si="14"/>
        <v>0</v>
      </c>
      <c r="E273" s="192"/>
      <c r="F273" s="231"/>
      <c r="G273" s="204"/>
      <c r="H273" s="4"/>
      <c r="I273" s="4"/>
      <c r="J273" s="4"/>
      <c r="K273" s="172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79">
        <f>'Données projet'!A247</f>
        <v>0</v>
      </c>
      <c r="B274" s="180">
        <f>'Données projet'!D247</f>
        <v>0</v>
      </c>
      <c r="C274" s="192"/>
      <c r="D274" s="178">
        <f t="shared" si="14"/>
        <v>0</v>
      </c>
      <c r="E274" s="192"/>
      <c r="F274" s="231"/>
      <c r="G274" s="204"/>
      <c r="H274" s="4"/>
      <c r="I274" s="4"/>
      <c r="J274" s="4"/>
      <c r="K274" s="172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79">
        <f>'Données projet'!A248</f>
        <v>0</v>
      </c>
      <c r="B275" s="180">
        <f>'Données projet'!D248</f>
        <v>0</v>
      </c>
      <c r="C275" s="192"/>
      <c r="D275" s="178">
        <f t="shared" si="14"/>
        <v>0</v>
      </c>
      <c r="E275" s="192"/>
      <c r="F275" s="231"/>
      <c r="G275" s="204"/>
      <c r="H275" s="4"/>
      <c r="I275" s="4"/>
      <c r="J275" s="4"/>
      <c r="K275" s="172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79">
        <f>'Données projet'!A249</f>
        <v>0</v>
      </c>
      <c r="B276" s="180">
        <f>'Données projet'!D249</f>
        <v>0</v>
      </c>
      <c r="C276" s="192"/>
      <c r="D276" s="178">
        <f t="shared" si="14"/>
        <v>0</v>
      </c>
      <c r="E276" s="192"/>
      <c r="F276" s="231"/>
      <c r="G276" s="204"/>
      <c r="H276" s="4"/>
      <c r="I276" s="4"/>
      <c r="J276" s="4"/>
      <c r="K276" s="172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79">
        <f>'Données projet'!A250</f>
        <v>0</v>
      </c>
      <c r="B277" s="180">
        <f>'Données projet'!D250</f>
        <v>0</v>
      </c>
      <c r="C277" s="192"/>
      <c r="D277" s="178">
        <f t="shared" si="14"/>
        <v>0</v>
      </c>
      <c r="E277" s="192"/>
      <c r="F277" s="231"/>
      <c r="G277" s="205"/>
      <c r="H277" s="4"/>
      <c r="I277" s="4"/>
      <c r="J277" s="4"/>
      <c r="K277" s="172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79">
        <f>'Données projet'!A251</f>
        <v>0</v>
      </c>
      <c r="B278" s="180">
        <f>'Données projet'!D251</f>
        <v>0</v>
      </c>
      <c r="C278" s="192"/>
      <c r="D278" s="178">
        <f t="shared" si="14"/>
        <v>0</v>
      </c>
      <c r="E278" s="192"/>
      <c r="F278" s="231"/>
      <c r="G278" s="205"/>
      <c r="H278" s="4"/>
      <c r="I278" s="4"/>
      <c r="J278" s="4"/>
      <c r="K278" s="172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79">
        <f>'Données projet'!A252</f>
        <v>0</v>
      </c>
      <c r="B279" s="180">
        <f>'Données projet'!D252</f>
        <v>0</v>
      </c>
      <c r="C279" s="192"/>
      <c r="D279" s="178">
        <f t="shared" si="14"/>
        <v>0</v>
      </c>
      <c r="E279" s="192"/>
      <c r="F279" s="231"/>
      <c r="G279" s="205"/>
      <c r="H279" s="4"/>
      <c r="I279" s="4"/>
      <c r="J279" s="4"/>
      <c r="K279" s="172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79">
        <f>'Données projet'!A253</f>
        <v>0</v>
      </c>
      <c r="B280" s="180">
        <f>'Données projet'!D253</f>
        <v>0</v>
      </c>
      <c r="C280" s="192"/>
      <c r="D280" s="178">
        <f t="shared" si="14"/>
        <v>0</v>
      </c>
      <c r="E280" s="192"/>
      <c r="F280" s="231"/>
      <c r="G280" s="205"/>
      <c r="H280" s="4"/>
      <c r="I280" s="4"/>
      <c r="J280" s="4"/>
      <c r="K280" s="172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79">
        <f>'Données projet'!A254</f>
        <v>0</v>
      </c>
      <c r="B281" s="180">
        <f>'Données projet'!D254</f>
        <v>0</v>
      </c>
      <c r="C281" s="192"/>
      <c r="D281" s="178">
        <f t="shared" si="14"/>
        <v>0</v>
      </c>
      <c r="E281" s="192"/>
      <c r="F281" s="231"/>
      <c r="G281" s="205"/>
      <c r="H281" s="4"/>
      <c r="I281" s="4"/>
      <c r="J281" s="4"/>
      <c r="K281" s="172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79">
        <f>'Données projet'!A255</f>
        <v>0</v>
      </c>
      <c r="B282" s="180">
        <f>'Données projet'!D255</f>
        <v>0</v>
      </c>
      <c r="C282" s="192"/>
      <c r="D282" s="178">
        <f t="shared" si="14"/>
        <v>0</v>
      </c>
      <c r="E282" s="192"/>
      <c r="F282" s="231"/>
      <c r="G282" s="205"/>
      <c r="H282" s="4"/>
      <c r="I282" s="4"/>
      <c r="J282" s="4"/>
      <c r="K282" s="172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79">
        <f>'Données projet'!A256</f>
        <v>0</v>
      </c>
      <c r="B283" s="180">
        <f>'Données projet'!D256</f>
        <v>0</v>
      </c>
      <c r="C283" s="192"/>
      <c r="D283" s="178">
        <f t="shared" si="14"/>
        <v>0</v>
      </c>
      <c r="E283" s="192"/>
      <c r="F283" s="231"/>
      <c r="G283" s="205"/>
      <c r="H283" s="4"/>
      <c r="I283" s="4"/>
      <c r="J283" s="4"/>
      <c r="K283" s="172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79">
        <f>'Données projet'!A257</f>
        <v>0</v>
      </c>
      <c r="B284" s="180">
        <f>'Données projet'!D257</f>
        <v>0</v>
      </c>
      <c r="C284" s="192"/>
      <c r="D284" s="178">
        <f t="shared" si="14"/>
        <v>0</v>
      </c>
      <c r="E284" s="192"/>
      <c r="F284" s="231"/>
      <c r="G284" s="205"/>
      <c r="H284" s="4"/>
      <c r="I284" s="4"/>
      <c r="J284" s="4"/>
      <c r="K284" s="172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79">
        <f>'Données projet'!A258</f>
        <v>0</v>
      </c>
      <c r="B285" s="180">
        <f>'Données projet'!D258</f>
        <v>0</v>
      </c>
      <c r="C285" s="192"/>
      <c r="D285" s="178">
        <f t="shared" si="14"/>
        <v>0</v>
      </c>
      <c r="E285" s="192"/>
      <c r="F285" s="231"/>
      <c r="G285" s="205"/>
      <c r="H285" s="4"/>
      <c r="I285" s="4"/>
      <c r="J285" s="4"/>
      <c r="K285" s="172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79">
        <f>'Données projet'!A259</f>
        <v>0</v>
      </c>
      <c r="B286" s="180">
        <f>'Données projet'!D259</f>
        <v>0</v>
      </c>
      <c r="C286" s="192"/>
      <c r="D286" s="178">
        <f t="shared" si="14"/>
        <v>0</v>
      </c>
      <c r="E286" s="192"/>
      <c r="F286" s="231"/>
      <c r="G286" s="205"/>
      <c r="H286" s="4"/>
      <c r="I286" s="4"/>
      <c r="J286" s="4"/>
      <c r="K286" s="172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79">
        <f>'Données projet'!A260</f>
        <v>0</v>
      </c>
      <c r="B287" s="180">
        <f>'Données projet'!D260</f>
        <v>0</v>
      </c>
      <c r="C287" s="192"/>
      <c r="D287" s="178">
        <f t="shared" si="14"/>
        <v>0</v>
      </c>
      <c r="E287" s="192"/>
      <c r="F287" s="231"/>
      <c r="G287" s="205"/>
      <c r="H287" s="4"/>
      <c r="I287" s="4"/>
      <c r="J287" s="4"/>
      <c r="K287" s="172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79">
        <f>'Données projet'!A261</f>
        <v>0</v>
      </c>
      <c r="B288" s="180">
        <f>'Données projet'!D261</f>
        <v>0</v>
      </c>
      <c r="C288" s="192"/>
      <c r="D288" s="178">
        <f t="shared" si="14"/>
        <v>0</v>
      </c>
      <c r="E288" s="192"/>
      <c r="F288" s="231"/>
      <c r="G288" s="205"/>
      <c r="H288" s="4"/>
      <c r="I288" s="4"/>
      <c r="J288" s="4"/>
      <c r="K288" s="172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79">
        <f>'Données projet'!A262</f>
        <v>0</v>
      </c>
      <c r="B289" s="180">
        <f>'Données projet'!D262</f>
        <v>0</v>
      </c>
      <c r="C289" s="192"/>
      <c r="D289" s="178">
        <f t="shared" si="14"/>
        <v>0</v>
      </c>
      <c r="E289" s="192"/>
      <c r="F289" s="231"/>
      <c r="G289" s="205"/>
      <c r="H289" s="4"/>
      <c r="I289" s="4"/>
      <c r="J289" s="4"/>
      <c r="K289" s="172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79">
        <f>'Données projet'!A263</f>
        <v>0</v>
      </c>
      <c r="B290" s="180">
        <f>'Données projet'!D263</f>
        <v>0</v>
      </c>
      <c r="C290" s="192"/>
      <c r="D290" s="178">
        <f t="shared" si="14"/>
        <v>0</v>
      </c>
      <c r="E290" s="192"/>
      <c r="F290" s="231"/>
      <c r="G290" s="205"/>
      <c r="H290" s="4"/>
      <c r="I290" s="4"/>
      <c r="J290" s="4"/>
      <c r="K290" s="172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2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2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32</v>
      </c>
      <c r="B293" s="173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2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2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51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0"/>
      <c r="G295" s="205"/>
      <c r="H295" s="4"/>
      <c r="I295" s="4"/>
      <c r="J295" s="4"/>
      <c r="K295" s="172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8" t="s">
        <v>194</v>
      </c>
      <c r="C296" s="197" t="s">
        <v>194</v>
      </c>
      <c r="D296" s="196" t="s">
        <v>194</v>
      </c>
      <c r="E296" s="192"/>
      <c r="F296" s="230"/>
      <c r="G296" s="205"/>
      <c r="H296" s="4"/>
      <c r="I296" s="4"/>
      <c r="J296" s="4"/>
      <c r="K296" s="172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8" t="s">
        <v>194</v>
      </c>
      <c r="C297" s="197" t="s">
        <v>194</v>
      </c>
      <c r="D297" s="196" t="s">
        <v>194</v>
      </c>
      <c r="E297" s="192"/>
      <c r="F297" s="230"/>
      <c r="G297" s="23"/>
      <c r="H297" s="4"/>
      <c r="I297" s="4"/>
      <c r="J297" s="4"/>
      <c r="K297" s="172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8" t="s">
        <v>194</v>
      </c>
      <c r="C298" s="197" t="s">
        <v>194</v>
      </c>
      <c r="D298" s="196" t="s">
        <v>194</v>
      </c>
      <c r="E298" s="192"/>
      <c r="F298" s="230"/>
      <c r="G298" s="23"/>
      <c r="H298" s="4"/>
      <c r="I298" s="4"/>
      <c r="J298" s="4"/>
      <c r="K298" s="172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8" t="s">
        <v>194</v>
      </c>
      <c r="C299" s="197" t="s">
        <v>194</v>
      </c>
      <c r="D299" s="196" t="s">
        <v>194</v>
      </c>
      <c r="E299" s="192"/>
      <c r="F299" s="230"/>
      <c r="G299" s="23"/>
      <c r="H299" s="4"/>
      <c r="I299" s="4"/>
      <c r="J299" s="4"/>
      <c r="K299" s="172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8" t="s">
        <v>194</v>
      </c>
      <c r="C300" s="197" t="s">
        <v>194</v>
      </c>
      <c r="D300" s="196" t="s">
        <v>194</v>
      </c>
      <c r="E300" s="192"/>
      <c r="F300" s="230"/>
      <c r="G300" s="23"/>
      <c r="H300" s="4"/>
      <c r="I300" s="4"/>
      <c r="J300" s="4"/>
      <c r="K300" s="172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8" t="s">
        <v>194</v>
      </c>
      <c r="C301" s="197" t="s">
        <v>194</v>
      </c>
      <c r="D301" s="196" t="s">
        <v>194</v>
      </c>
      <c r="E301" s="192"/>
      <c r="F301" s="230"/>
      <c r="G301" s="204"/>
      <c r="H301" s="4"/>
      <c r="I301" s="4"/>
      <c r="J301" s="4"/>
      <c r="K301" s="172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79">
        <f>'Données projet'!A270</f>
        <v>0</v>
      </c>
      <c r="B302" s="180">
        <f>'Données projet'!D270</f>
        <v>0</v>
      </c>
      <c r="C302" s="190"/>
      <c r="D302" s="181">
        <f>B302*C302</f>
        <v>0</v>
      </c>
      <c r="E302" s="192"/>
      <c r="F302" s="232"/>
      <c r="G302" s="204"/>
      <c r="H302" s="4"/>
      <c r="I302" s="4"/>
      <c r="J302" s="4"/>
      <c r="K302" s="172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79">
        <f>'Données projet'!A271</f>
        <v>0</v>
      </c>
      <c r="B303" s="180">
        <f>'Données projet'!D271</f>
        <v>0</v>
      </c>
      <c r="C303" s="190"/>
      <c r="D303" s="181">
        <f t="shared" ref="D303:D321" si="15">B303*C303</f>
        <v>0</v>
      </c>
      <c r="E303" s="192"/>
      <c r="F303" s="232"/>
      <c r="G303" s="204"/>
      <c r="H303" s="4"/>
      <c r="I303" s="4"/>
      <c r="J303" s="4"/>
      <c r="K303" s="172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79">
        <f>'Données projet'!A272</f>
        <v>0</v>
      </c>
      <c r="B304" s="180">
        <f>'Données projet'!D272</f>
        <v>0</v>
      </c>
      <c r="C304" s="190"/>
      <c r="D304" s="181">
        <f t="shared" si="15"/>
        <v>0</v>
      </c>
      <c r="E304" s="192"/>
      <c r="F304" s="232"/>
      <c r="G304" s="204"/>
      <c r="H304" s="4"/>
      <c r="I304" s="4"/>
      <c r="J304" s="4"/>
      <c r="K304" s="172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79">
        <f>'Données projet'!A273</f>
        <v>0</v>
      </c>
      <c r="B305" s="180">
        <f>'Données projet'!D273</f>
        <v>0</v>
      </c>
      <c r="C305" s="190"/>
      <c r="D305" s="181">
        <f t="shared" si="15"/>
        <v>0</v>
      </c>
      <c r="E305" s="192"/>
      <c r="F305" s="232"/>
      <c r="G305" s="204"/>
      <c r="H305" s="4"/>
      <c r="I305" s="4"/>
      <c r="J305" s="4"/>
      <c r="K305" s="172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79">
        <f>'Données projet'!A274</f>
        <v>0</v>
      </c>
      <c r="B306" s="180">
        <f>'Données projet'!D274</f>
        <v>0</v>
      </c>
      <c r="C306" s="190"/>
      <c r="D306" s="181">
        <f t="shared" si="15"/>
        <v>0</v>
      </c>
      <c r="E306" s="192"/>
      <c r="F306" s="232"/>
      <c r="G306" s="204"/>
      <c r="H306" s="4"/>
      <c r="I306" s="4"/>
      <c r="J306" s="4"/>
      <c r="K306" s="172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79">
        <f>'Données projet'!A275</f>
        <v>0</v>
      </c>
      <c r="B307" s="180">
        <f>'Données projet'!D275</f>
        <v>0</v>
      </c>
      <c r="C307" s="190"/>
      <c r="D307" s="181">
        <f t="shared" si="15"/>
        <v>0</v>
      </c>
      <c r="E307" s="192"/>
      <c r="F307" s="232"/>
      <c r="G307" s="204"/>
      <c r="H307" s="4"/>
      <c r="I307" s="4"/>
      <c r="J307" s="4"/>
      <c r="K307" s="172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79">
        <f>'Données projet'!A276</f>
        <v>0</v>
      </c>
      <c r="B308" s="180">
        <f>'Données projet'!D276</f>
        <v>0</v>
      </c>
      <c r="C308" s="190"/>
      <c r="D308" s="181">
        <f t="shared" si="15"/>
        <v>0</v>
      </c>
      <c r="E308" s="192"/>
      <c r="F308" s="232"/>
      <c r="G308" s="202"/>
      <c r="H308" s="4"/>
      <c r="I308" s="4"/>
      <c r="J308" s="4"/>
      <c r="K308" s="172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79">
        <f>'Données projet'!A277</f>
        <v>0</v>
      </c>
      <c r="B309" s="180">
        <f>'Données projet'!D277</f>
        <v>0</v>
      </c>
      <c r="C309" s="190"/>
      <c r="D309" s="181">
        <f t="shared" si="15"/>
        <v>0</v>
      </c>
      <c r="E309" s="192"/>
      <c r="F309" s="232"/>
      <c r="G309" s="202"/>
      <c r="H309" s="4"/>
      <c r="I309" s="4"/>
      <c r="J309" s="4"/>
      <c r="K309" s="172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79">
        <f>'Données projet'!A278</f>
        <v>0</v>
      </c>
      <c r="B310" s="180">
        <f>'Données projet'!D278</f>
        <v>0</v>
      </c>
      <c r="C310" s="190"/>
      <c r="D310" s="181">
        <f t="shared" si="15"/>
        <v>0</v>
      </c>
      <c r="E310" s="192"/>
      <c r="F310" s="232"/>
      <c r="G310" s="202"/>
      <c r="H310" s="4"/>
      <c r="I310" s="4"/>
      <c r="J310" s="4"/>
      <c r="K310" s="172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79">
        <f>'Données projet'!A279</f>
        <v>0</v>
      </c>
      <c r="B311" s="180">
        <f>'Données projet'!D279</f>
        <v>0</v>
      </c>
      <c r="C311" s="190"/>
      <c r="D311" s="181">
        <f t="shared" si="15"/>
        <v>0</v>
      </c>
      <c r="E311" s="192"/>
      <c r="F311" s="232"/>
      <c r="G311" s="202"/>
      <c r="H311" s="4"/>
      <c r="I311" s="4"/>
      <c r="J311" s="4"/>
      <c r="K311" s="172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79">
        <f>'Données projet'!A280</f>
        <v>0</v>
      </c>
      <c r="B312" s="180">
        <f>'Données projet'!D280</f>
        <v>0</v>
      </c>
      <c r="C312" s="190"/>
      <c r="D312" s="181">
        <f t="shared" si="15"/>
        <v>0</v>
      </c>
      <c r="E312" s="192"/>
      <c r="F312" s="232"/>
      <c r="G312" s="202"/>
      <c r="H312" s="4"/>
      <c r="I312" s="4"/>
      <c r="J312" s="4"/>
      <c r="K312" s="172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79">
        <f>'Données projet'!A281</f>
        <v>0</v>
      </c>
      <c r="B313" s="180">
        <f>'Données projet'!D281</f>
        <v>0</v>
      </c>
      <c r="C313" s="190"/>
      <c r="D313" s="181">
        <f t="shared" si="15"/>
        <v>0</v>
      </c>
      <c r="E313" s="192"/>
      <c r="F313" s="232"/>
      <c r="G313" s="202"/>
      <c r="H313" s="4"/>
      <c r="I313" s="4"/>
      <c r="J313" s="4"/>
      <c r="K313" s="172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79">
        <f>'Données projet'!A282</f>
        <v>0</v>
      </c>
      <c r="B314" s="180">
        <f>'Données projet'!D282</f>
        <v>0</v>
      </c>
      <c r="C314" s="190"/>
      <c r="D314" s="181">
        <f t="shared" si="15"/>
        <v>0</v>
      </c>
      <c r="E314" s="192"/>
      <c r="F314" s="232"/>
      <c r="G314" s="202"/>
      <c r="H314" s="4"/>
      <c r="I314" s="4"/>
      <c r="J314" s="4"/>
      <c r="K314" s="172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79">
        <f>'Données projet'!A283</f>
        <v>0</v>
      </c>
      <c r="B315" s="180">
        <f>'Données projet'!D283</f>
        <v>0</v>
      </c>
      <c r="C315" s="190"/>
      <c r="D315" s="181">
        <f t="shared" si="15"/>
        <v>0</v>
      </c>
      <c r="E315" s="192"/>
      <c r="F315" s="232"/>
      <c r="G315" s="202"/>
      <c r="H315" s="4"/>
      <c r="I315" s="4"/>
      <c r="J315" s="4"/>
      <c r="K315" s="172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79">
        <f>'Données projet'!A284</f>
        <v>0</v>
      </c>
      <c r="B316" s="180">
        <f>'Données projet'!D284</f>
        <v>0</v>
      </c>
      <c r="C316" s="190"/>
      <c r="D316" s="181">
        <f t="shared" si="15"/>
        <v>0</v>
      </c>
      <c r="E316" s="192"/>
      <c r="F316" s="232"/>
      <c r="G316" s="202"/>
      <c r="H316" s="4"/>
      <c r="I316" s="4"/>
      <c r="J316" s="4"/>
      <c r="K316" s="172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79">
        <f>'Données projet'!A285</f>
        <v>0</v>
      </c>
      <c r="B317" s="180">
        <f>'Données projet'!D285</f>
        <v>0</v>
      </c>
      <c r="C317" s="190"/>
      <c r="D317" s="181">
        <f t="shared" si="15"/>
        <v>0</v>
      </c>
      <c r="E317" s="192"/>
      <c r="F317" s="232"/>
      <c r="G317" s="202"/>
      <c r="H317" s="4"/>
      <c r="I317" s="4"/>
      <c r="J317" s="4"/>
      <c r="K317" s="172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79">
        <f>'Données projet'!A286</f>
        <v>0</v>
      </c>
      <c r="B318" s="180">
        <f>'Données projet'!D286</f>
        <v>0</v>
      </c>
      <c r="C318" s="190"/>
      <c r="D318" s="181">
        <f t="shared" si="15"/>
        <v>0</v>
      </c>
      <c r="E318" s="192"/>
      <c r="F318" s="232"/>
      <c r="G318" s="202"/>
      <c r="H318" s="4"/>
      <c r="I318" s="4"/>
      <c r="J318" s="4"/>
      <c r="K318" s="172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79">
        <f>'Données projet'!A287</f>
        <v>0</v>
      </c>
      <c r="B319" s="180">
        <f>'Données projet'!D287</f>
        <v>0</v>
      </c>
      <c r="C319" s="190"/>
      <c r="D319" s="181">
        <f t="shared" si="15"/>
        <v>0</v>
      </c>
      <c r="E319" s="192"/>
      <c r="F319" s="232"/>
      <c r="G319" s="202"/>
      <c r="H319" s="4"/>
      <c r="I319" s="4"/>
      <c r="J319" s="4"/>
      <c r="K319" s="172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79">
        <f>'Données projet'!A288</f>
        <v>0</v>
      </c>
      <c r="B320" s="180">
        <f>'Données projet'!D288</f>
        <v>0</v>
      </c>
      <c r="C320" s="190"/>
      <c r="D320" s="181">
        <f t="shared" si="15"/>
        <v>0</v>
      </c>
      <c r="E320" s="192"/>
      <c r="F320" s="232"/>
      <c r="G320" s="202"/>
      <c r="H320" s="4"/>
      <c r="I320" s="4"/>
      <c r="J320" s="4"/>
      <c r="K320" s="172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79">
        <f>'Données projet'!A289</f>
        <v>0</v>
      </c>
      <c r="B321" s="180">
        <f>'Données projet'!D289</f>
        <v>0</v>
      </c>
      <c r="C321" s="195"/>
      <c r="D321" s="181">
        <f t="shared" si="15"/>
        <v>0</v>
      </c>
      <c r="E321" s="192"/>
      <c r="F321" s="232"/>
      <c r="G321" s="202"/>
      <c r="H321" s="4"/>
      <c r="I321" s="4"/>
      <c r="J321" s="4"/>
      <c r="K321" s="172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2"/>
      <c r="H322" s="4"/>
      <c r="I322" s="4"/>
      <c r="J322" s="4"/>
      <c r="K322" s="172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2"/>
      <c r="H323" s="4"/>
      <c r="I323" s="4"/>
      <c r="J323" s="4"/>
      <c r="K323" s="172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2"/>
      <c r="H324" s="4"/>
      <c r="I324" s="4"/>
      <c r="J324" s="4"/>
      <c r="K324" s="172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2"/>
      <c r="H325" s="4"/>
      <c r="I325" s="4"/>
      <c r="J325" s="4"/>
      <c r="K325" s="172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2"/>
      <c r="H326" s="4"/>
      <c r="I326" s="4"/>
      <c r="J326" s="4"/>
      <c r="K326" s="172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2"/>
      <c r="H327" s="4"/>
      <c r="I327" s="4"/>
      <c r="J327" s="4"/>
      <c r="K327" s="172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5" ma:contentTypeDescription="Create a new document." ma:contentTypeScope="" ma:versionID="a73ee3bb35a9bd7478c61e6e8e2bc4ee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0e87dbacb70e8a9550b50faea6e54f53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C36F45-3712-4F0B-8E21-D3D97DF5FE90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FFDE46BA-C72F-4672-A7BB-48892F4684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ELLENS</cp:lastModifiedBy>
  <cp:revision/>
  <dcterms:created xsi:type="dcterms:W3CDTF">2021-02-01T08:22:39Z</dcterms:created>
  <dcterms:modified xsi:type="dcterms:W3CDTF">2023-12-04T17:35:23Z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535400</vt:r8>
  </property>
  <property fmtid="{D5CDD505-2E9C-101B-9397-08002B2CF9AE}" pid="4" name="MediaServiceImageTags">
    <vt:lpwstr/>
  </property>
</Properties>
</file>