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DLB\ZA - BAUGE EN ANJOU (49) 1 - MILLET Joel\Dossier déposé le 24 10 2023\"/>
    </mc:Choice>
  </mc:AlternateContent>
  <xr:revisionPtr revIDLastSave="0" documentId="13_ncr:1_{02B366EB-0B6A-42C9-9285-048B7A399A95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66" i="2" a="1"/>
  <c r="AH166" i="2" s="1"/>
  <c r="AH90" i="2" a="1"/>
  <c r="AH90" i="2" s="1"/>
  <c r="AH151" i="2" a="1"/>
  <c r="AH151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<sst xmlns="http://schemas.openxmlformats.org/spreadsheetml/2006/main" count="1170" uniqueCount="324">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</sst>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1.9951072854316962</c:v>
                </c:pt>
                <c:pt idx="2">
                  <c:v>2.5667422007919742</c:v>
                </c:pt>
                <c:pt idx="3">
                  <c:v>3.3028222138236161</c:v>
                </c:pt>
                <c:pt idx="4">
                  <c:v>4.2508335717683972</c:v>
                </c:pt>
                <c:pt idx="5">
                  <c:v>5.4720234962282985</c:v>
                </c:pt>
                <c:pt idx="6">
                  <c:v>7.0454010302000478</c:v>
                </c:pt>
                <c:pt idx="7">
                  <c:v>9.0729045949774356</c:v>
                </c:pt>
                <c:pt idx="8">
                  <c:v>11.686077426646891</c:v>
                </c:pt>
                <c:pt idx="9">
                  <c:v>15.054692077283761</c:v>
                </c:pt>
                <c:pt idx="10">
                  <c:v>19.397894567888933</c:v>
                </c:pt>
                <c:pt idx="11">
                  <c:v>24.998606220625785</c:v>
                </c:pt>
                <c:pt idx="12">
                  <c:v>32.222137881090447</c:v>
                </c:pt>
                <c:pt idx="13">
                  <c:v>41.54025167725414</c:v>
                </c:pt>
                <c:pt idx="14">
                  <c:v>53.56226844352517</c:v>
                </c:pt>
                <c:pt idx="15">
                  <c:v>69.075288808613962</c:v>
                </c:pt>
                <c:pt idx="16">
                  <c:v>89.096204237561849</c:v>
                </c:pt>
                <c:pt idx="17">
                  <c:v>114.93896188205872</c:v>
                </c:pt>
                <c:pt idx="18">
                  <c:v>148.30156685454077</c:v>
                </c:pt>
                <c:pt idx="19">
                  <c:v>128.74270297836009</c:v>
                </c:pt>
                <c:pt idx="20">
                  <c:v>146.99966348541213</c:v>
                </c:pt>
                <c:pt idx="21">
                  <c:v>165.20241681232909</c:v>
                </c:pt>
                <c:pt idx="22">
                  <c:v>183.35778156075915</c:v>
                </c:pt>
                <c:pt idx="23">
                  <c:v>201.47111266072736</c:v>
                </c:pt>
                <c:pt idx="24">
                  <c:v>219.54672196983498</c:v>
                </c:pt>
                <c:pt idx="25">
                  <c:v>187.0268148001596</c:v>
                </c:pt>
                <c:pt idx="26">
                  <c:v>203.62487343629971</c:v>
                </c:pt>
                <c:pt idx="27">
                  <c:v>220.19162819449528</c:v>
                </c:pt>
                <c:pt idx="28">
                  <c:v>236.72976621924911</c:v>
                </c:pt>
                <c:pt idx="29">
                  <c:v>253.24156826986064</c:v>
                </c:pt>
                <c:pt idx="30">
                  <c:v>269.72899324208112</c:v>
                </c:pt>
                <c:pt idx="31">
                  <c:v>223.02870207461862</c:v>
                </c:pt>
                <c:pt idx="32">
                  <c:v>236.81560804160608</c:v>
                </c:pt>
                <c:pt idx="33">
                  <c:v>250.58421937612471</c:v>
                </c:pt>
                <c:pt idx="34">
                  <c:v>264.33568316091396</c:v>
                </c:pt>
                <c:pt idx="35">
                  <c:v>278.0710173254069</c:v>
                </c:pt>
                <c:pt idx="36">
                  <c:v>291.79113098496725</c:v>
                </c:pt>
                <c:pt idx="37">
                  <c:v>305.49684075132535</c:v>
                </c:pt>
                <c:pt idx="38">
                  <c:v>319.18888396087686</c:v>
                </c:pt>
                <c:pt idx="39">
                  <c:v>332.86792951319143</c:v>
                </c:pt>
                <c:pt idx="40">
                  <c:v>346.53458683392802</c:v>
                </c:pt>
                <c:pt idx="41">
                  <c:v>292.68819813988773</c:v>
                </c:pt>
                <c:pt idx="42">
                  <c:v>302.80803515574286</c:v>
                </c:pt>
                <c:pt idx="43">
                  <c:v>312.92034803081702</c:v>
                </c:pt>
                <c:pt idx="44">
                  <c:v>323.02541433745813</c:v>
                </c:pt>
                <c:pt idx="45">
                  <c:v>333.12349285380191</c:v>
                </c:pt>
                <c:pt idx="46">
                  <c:v>343.21482537977403</c:v>
                </c:pt>
                <c:pt idx="47">
                  <c:v>353.29963832825234</c:v>
                </c:pt>
                <c:pt idx="48">
                  <c:v>363.37814412498386</c:v>
                </c:pt>
                <c:pt idx="49">
                  <c:v>373.45054244501836</c:v>
                </c:pt>
                <c:pt idx="50">
                  <c:v>383.51702130873815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72.155748931369416</c:v>
                </c:pt>
                <c:pt idx="7">
                  <c:v>94.133673128860323</c:v>
                </c:pt>
                <c:pt idx="8">
                  <c:v>115.98283085356282</c:v>
                </c:pt>
                <c:pt idx="9">
                  <c:v>137.73104312742694</c:v>
                </c:pt>
                <c:pt idx="10">
                  <c:v>159.39654402501074</c:v>
                </c:pt>
                <c:pt idx="11">
                  <c:v>139.70382844505221</c:v>
                </c:pt>
                <c:pt idx="12">
                  <c:v>161.362507950626</c:v>
                </c:pt>
                <c:pt idx="13">
                  <c:v>182.95230030612535</c:v>
                </c:pt>
                <c:pt idx="14">
                  <c:v>204.48248491014036</c:v>
                </c:pt>
                <c:pt idx="15">
                  <c:v>225.96022281826015</c:v>
                </c:pt>
                <c:pt idx="16">
                  <c:v>211.90768212600287</c:v>
                </c:pt>
                <c:pt idx="17">
                  <c:v>231.02975966933766</c:v>
                </c:pt>
                <c:pt idx="18">
                  <c:v>250.11566977871595</c:v>
                </c:pt>
                <c:pt idx="19">
                  <c:v>269.16856029275453</c:v>
                </c:pt>
                <c:pt idx="20">
                  <c:v>288.19109683703851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334.27569654819109</c:v>
                </c:pt>
                <c:pt idx="27">
                  <c:v>347.41603793627536</c:v>
                </c:pt>
                <c:pt idx="28">
                  <c:v>360.54547259299108</c:v>
                </c:pt>
                <c:pt idx="29">
                  <c:v>373.66445368853493</c:v>
                </c:pt>
                <c:pt idx="30">
                  <c:v>386.77339997206712</c:v>
                </c:pt>
                <c:pt idx="31">
                  <c:v>380.60570876556693</c:v>
                </c:pt>
                <c:pt idx="32">
                  <c:v>391.78307456466808</c:v>
                </c:pt>
                <c:pt idx="33">
                  <c:v>402.95352523018465</c:v>
                </c:pt>
                <c:pt idx="34">
                  <c:v>414.1172795224561</c:v>
                </c:pt>
                <c:pt idx="35">
                  <c:v>425.27454344239999</c:v>
                </c:pt>
                <c:pt idx="36">
                  <c:v>421.04322924291415</c:v>
                </c:pt>
                <c:pt idx="37">
                  <c:v>430.2740205592209</c:v>
                </c:pt>
                <c:pt idx="38">
                  <c:v>439.50055712660497</c:v>
                </c:pt>
                <c:pt idx="39">
                  <c:v>448.72294089251392</c:v>
                </c:pt>
                <c:pt idx="40">
                  <c:v>457.94126927057533</c:v>
                </c:pt>
                <c:pt idx="41">
                  <c:v>456.02111397099492</c:v>
                </c:pt>
                <c:pt idx="42">
                  <c:v>465.6201790592072</c:v>
                </c:pt>
                <c:pt idx="43">
                  <c:v>475.2150257772908</c:v>
                </c:pt>
                <c:pt idx="44">
                  <c:v>484.80575132371115</c:v>
                </c:pt>
                <c:pt idx="45">
                  <c:v>494.39244873679655</c:v>
                </c:pt>
                <c:pt idx="46">
                  <c:v>4.7119831685935622E-12</c:v>
                </c:pt>
                <c:pt idx="47">
                  <c:v>4.7119831685935622E-12</c:v>
                </c:pt>
                <c:pt idx="48">
                  <c:v>4.7119831685935622E-12</c:v>
                </c:pt>
                <c:pt idx="49">
                  <c:v>4.7119831685935622E-12</c:v>
                </c:pt>
                <c:pt idx="50">
                  <c:v>4.7119831685935622E-12</c:v>
                </c:pt>
                <c:pt idx="51">
                  <c:v>4.7119831685935622E-12</c:v>
                </c:pt>
                <c:pt idx="52">
                  <c:v>4.7119831685935622E-12</c:v>
                </c:pt>
                <c:pt idx="53">
                  <c:v>4.7119831685935622E-12</c:v>
                </c:pt>
                <c:pt idx="54">
                  <c:v>4.7119831685935622E-12</c:v>
                </c:pt>
                <c:pt idx="55">
                  <c:v>4.7119831685935622E-12</c:v>
                </c:pt>
                <c:pt idx="56">
                  <c:v>4.7119831685935622E-12</c:v>
                </c:pt>
                <c:pt idx="57">
                  <c:v>4.7119831685935622E-12</c:v>
                </c:pt>
                <c:pt idx="58">
                  <c:v>4.7119831685935622E-12</c:v>
                </c:pt>
                <c:pt idx="59">
                  <c:v>4.7119831685935622E-12</c:v>
                </c:pt>
                <c:pt idx="60">
                  <c:v>4.7119831685935622E-12</c:v>
                </c:pt>
                <c:pt idx="61">
                  <c:v>4.7119831685935622E-12</c:v>
                </c:pt>
                <c:pt idx="62">
                  <c:v>4.7119831685935622E-12</c:v>
                </c:pt>
                <c:pt idx="63">
                  <c:v>4.7119831685935622E-12</c:v>
                </c:pt>
                <c:pt idx="64">
                  <c:v>4.7119831685935622E-12</c:v>
                </c:pt>
                <c:pt idx="65">
                  <c:v>4.7119831685935622E-12</c:v>
                </c:pt>
                <c:pt idx="66">
                  <c:v>4.7119831685935622E-12</c:v>
                </c:pt>
                <c:pt idx="67">
                  <c:v>4.7119831685935622E-12</c:v>
                </c:pt>
                <c:pt idx="68">
                  <c:v>4.7119831685935622E-12</c:v>
                </c:pt>
                <c:pt idx="69">
                  <c:v>4.7119831685935622E-12</c:v>
                </c:pt>
                <c:pt idx="70">
                  <c:v>4.7119831685935622E-12</c:v>
                </c:pt>
                <c:pt idx="71">
                  <c:v>4.7119831685935622E-12</c:v>
                </c:pt>
                <c:pt idx="72">
                  <c:v>4.7119831685935622E-12</c:v>
                </c:pt>
                <c:pt idx="73">
                  <c:v>4.7119831685935622E-12</c:v>
                </c:pt>
                <c:pt idx="74">
                  <c:v>4.7119831685935622E-12</c:v>
                </c:pt>
                <c:pt idx="75">
                  <c:v>4.7119831685935622E-12</c:v>
                </c:pt>
                <c:pt idx="76">
                  <c:v>4.7119831685935622E-12</c:v>
                </c:pt>
                <c:pt idx="77">
                  <c:v>4.7119831685935622E-12</c:v>
                </c:pt>
                <c:pt idx="78">
                  <c:v>4.7119831685935622E-12</c:v>
                </c:pt>
                <c:pt idx="79">
                  <c:v>4.7119831685935622E-12</c:v>
                </c:pt>
                <c:pt idx="80">
                  <c:v>4.7119831685935622E-12</c:v>
                </c:pt>
                <c:pt idx="81">
                  <c:v>4.7119831685935622E-12</c:v>
                </c:pt>
                <c:pt idx="82">
                  <c:v>4.7119831685935622E-12</c:v>
                </c:pt>
                <c:pt idx="83">
                  <c:v>4.7119831685935622E-12</c:v>
                </c:pt>
                <c:pt idx="84">
                  <c:v>4.7119831685935622E-12</c:v>
                </c:pt>
                <c:pt idx="85">
                  <c:v>4.7119831685935622E-12</c:v>
                </c:pt>
                <c:pt idx="86">
                  <c:v>4.7119831685935622E-12</c:v>
                </c:pt>
                <c:pt idx="87">
                  <c:v>4.7119831685935622E-12</c:v>
                </c:pt>
                <c:pt idx="88">
                  <c:v>4.7119831685935622E-12</c:v>
                </c:pt>
                <c:pt idx="89">
                  <c:v>4.7119831685935622E-12</c:v>
                </c:pt>
                <c:pt idx="90">
                  <c:v>4.7119831685935622E-12</c:v>
                </c:pt>
                <c:pt idx="91">
                  <c:v>4.7119831685935622E-12</c:v>
                </c:pt>
                <c:pt idx="92">
                  <c:v>4.7119831685935622E-12</c:v>
                </c:pt>
                <c:pt idx="93">
                  <c:v>4.7119831685935622E-12</c:v>
                </c:pt>
                <c:pt idx="94">
                  <c:v>4.7119831685935622E-12</c:v>
                </c:pt>
                <c:pt idx="95">
                  <c:v>4.7119831685935622E-12</c:v>
                </c:pt>
                <c:pt idx="96">
                  <c:v>4.7119831685935622E-12</c:v>
                </c:pt>
                <c:pt idx="97">
                  <c:v>4.7119831685935622E-12</c:v>
                </c:pt>
                <c:pt idx="98">
                  <c:v>4.7119831685935622E-12</c:v>
                </c:pt>
                <c:pt idx="99">
                  <c:v>4.7119831685935622E-12</c:v>
                </c:pt>
                <c:pt idx="100">
                  <c:v>4.7119831685935622E-12</c:v>
                </c:pt>
                <c:pt idx="101">
                  <c:v>4.7119831685935622E-12</c:v>
                </c:pt>
                <c:pt idx="102">
                  <c:v>4.7119831685935622E-12</c:v>
                </c:pt>
                <c:pt idx="103">
                  <c:v>4.7119831685935622E-12</c:v>
                </c:pt>
                <c:pt idx="104">
                  <c:v>4.7119831685935622E-12</c:v>
                </c:pt>
                <c:pt idx="105">
                  <c:v>4.7119831685935622E-12</c:v>
                </c:pt>
                <c:pt idx="106">
                  <c:v>4.7119831685935622E-12</c:v>
                </c:pt>
                <c:pt idx="107">
                  <c:v>4.7119831685935622E-12</c:v>
                </c:pt>
                <c:pt idx="108">
                  <c:v>4.7119831685935622E-12</c:v>
                </c:pt>
                <c:pt idx="109">
                  <c:v>4.7119831685935622E-12</c:v>
                </c:pt>
                <c:pt idx="110">
                  <c:v>4.7119831685935622E-12</c:v>
                </c:pt>
                <c:pt idx="111">
                  <c:v>4.7119831685935622E-12</c:v>
                </c:pt>
                <c:pt idx="112">
                  <c:v>4.7119831685935622E-12</c:v>
                </c:pt>
                <c:pt idx="113">
                  <c:v>4.7119831685935622E-12</c:v>
                </c:pt>
                <c:pt idx="114">
                  <c:v>4.7119831685935622E-12</c:v>
                </c:pt>
                <c:pt idx="115">
                  <c:v>4.7119831685935622E-12</c:v>
                </c:pt>
                <c:pt idx="116">
                  <c:v>4.7119831685935622E-12</c:v>
                </c:pt>
                <c:pt idx="117">
                  <c:v>4.7119831685935622E-12</c:v>
                </c:pt>
                <c:pt idx="118">
                  <c:v>4.7119831685935622E-12</c:v>
                </c:pt>
                <c:pt idx="119">
                  <c:v>4.7119831685935622E-12</c:v>
                </c:pt>
                <c:pt idx="120">
                  <c:v>4.7119831685935622E-12</c:v>
                </c:pt>
                <c:pt idx="121">
                  <c:v>4.7119831685935622E-12</c:v>
                </c:pt>
                <c:pt idx="122">
                  <c:v>4.7119831685935622E-12</c:v>
                </c:pt>
                <c:pt idx="123">
                  <c:v>4.7119831685935622E-12</c:v>
                </c:pt>
                <c:pt idx="124">
                  <c:v>4.7119831685935622E-12</c:v>
                </c:pt>
                <c:pt idx="125">
                  <c:v>4.7119831685935622E-12</c:v>
                </c:pt>
                <c:pt idx="126">
                  <c:v>4.7119831685935622E-12</c:v>
                </c:pt>
                <c:pt idx="127">
                  <c:v>4.7119831685935622E-12</c:v>
                </c:pt>
                <c:pt idx="128">
                  <c:v>4.7119831685935622E-12</c:v>
                </c:pt>
                <c:pt idx="129">
                  <c:v>4.7119831685935622E-12</c:v>
                </c:pt>
                <c:pt idx="130">
                  <c:v>4.7119831685935622E-12</c:v>
                </c:pt>
                <c:pt idx="131">
                  <c:v>4.7119831685935622E-12</c:v>
                </c:pt>
                <c:pt idx="132">
                  <c:v>4.7119831685935622E-12</c:v>
                </c:pt>
                <c:pt idx="133">
                  <c:v>4.7119831685935622E-12</c:v>
                </c:pt>
                <c:pt idx="134">
                  <c:v>4.7119831685935622E-12</c:v>
                </c:pt>
                <c:pt idx="135">
                  <c:v>4.7119831685935622E-12</c:v>
                </c:pt>
                <c:pt idx="136">
                  <c:v>4.7119831685935622E-12</c:v>
                </c:pt>
                <c:pt idx="137">
                  <c:v>4.7119831685935622E-12</c:v>
                </c:pt>
                <c:pt idx="138">
                  <c:v>4.7119831685935622E-12</c:v>
                </c:pt>
                <c:pt idx="139">
                  <c:v>4.7119831685935622E-12</c:v>
                </c:pt>
                <c:pt idx="140">
                  <c:v>4.7119831685935622E-12</c:v>
                </c:pt>
                <c:pt idx="141">
                  <c:v>4.7119831685935622E-12</c:v>
                </c:pt>
                <c:pt idx="142">
                  <c:v>4.7119831685935622E-12</c:v>
                </c:pt>
                <c:pt idx="143">
                  <c:v>4.7119831685935622E-12</c:v>
                </c:pt>
                <c:pt idx="144">
                  <c:v>4.7119831685935622E-12</c:v>
                </c:pt>
                <c:pt idx="145">
                  <c:v>4.7119831685935622E-12</c:v>
                </c:pt>
                <c:pt idx="146">
                  <c:v>4.7119831685935622E-12</c:v>
                </c:pt>
                <c:pt idx="147">
                  <c:v>4.7119831685935622E-12</c:v>
                </c:pt>
                <c:pt idx="148">
                  <c:v>4.7119831685935622E-12</c:v>
                </c:pt>
                <c:pt idx="149">
                  <c:v>4.7119831685935622E-12</c:v>
                </c:pt>
                <c:pt idx="150">
                  <c:v>4.7119831685935622E-12</c:v>
                </c:pt>
                <c:pt idx="151">
                  <c:v>4.7119831685935622E-12</c:v>
                </c:pt>
                <c:pt idx="152">
                  <c:v>4.7119831685935622E-12</c:v>
                </c:pt>
                <c:pt idx="153">
                  <c:v>4.7119831685935622E-12</c:v>
                </c:pt>
                <c:pt idx="154">
                  <c:v>4.7119831685935622E-12</c:v>
                </c:pt>
                <c:pt idx="155">
                  <c:v>4.7119831685935622E-12</c:v>
                </c:pt>
                <c:pt idx="156">
                  <c:v>4.7119831685935622E-12</c:v>
                </c:pt>
                <c:pt idx="157">
                  <c:v>4.7119831685935622E-12</c:v>
                </c:pt>
                <c:pt idx="158">
                  <c:v>4.7119831685935622E-12</c:v>
                </c:pt>
                <c:pt idx="159">
                  <c:v>4.7119831685935622E-12</c:v>
                </c:pt>
                <c:pt idx="160">
                  <c:v>4.7119831685935622E-12</c:v>
                </c:pt>
                <c:pt idx="161">
                  <c:v>4.7119831685935622E-12</c:v>
                </c:pt>
                <c:pt idx="162">
                  <c:v>4.7119831685935622E-12</c:v>
                </c:pt>
                <c:pt idx="163">
                  <c:v>4.7119831685935622E-12</c:v>
                </c:pt>
                <c:pt idx="164">
                  <c:v>4.7119831685935622E-12</c:v>
                </c:pt>
                <c:pt idx="165">
                  <c:v>4.7119831685935622E-12</c:v>
                </c:pt>
                <c:pt idx="166">
                  <c:v>4.7119831685935622E-12</c:v>
                </c:pt>
                <c:pt idx="167">
                  <c:v>4.7119831685935622E-12</c:v>
                </c:pt>
                <c:pt idx="168">
                  <c:v>4.7119831685935622E-12</c:v>
                </c:pt>
                <c:pt idx="169">
                  <c:v>4.7119831685935622E-12</c:v>
                </c:pt>
                <c:pt idx="170">
                  <c:v>4.7119831685935622E-12</c:v>
                </c:pt>
                <c:pt idx="171">
                  <c:v>4.7119831685935622E-12</c:v>
                </c:pt>
                <c:pt idx="172">
                  <c:v>4.7119831685935622E-12</c:v>
                </c:pt>
                <c:pt idx="173">
                  <c:v>4.7119831685935622E-12</c:v>
                </c:pt>
                <c:pt idx="174">
                  <c:v>4.7119831685935622E-12</c:v>
                </c:pt>
                <c:pt idx="175">
                  <c:v>4.7119831685935622E-12</c:v>
                </c:pt>
                <c:pt idx="176">
                  <c:v>4.7119831685935622E-12</c:v>
                </c:pt>
                <c:pt idx="177">
                  <c:v>4.7119831685935622E-12</c:v>
                </c:pt>
                <c:pt idx="178">
                  <c:v>4.7119831685935622E-12</c:v>
                </c:pt>
                <c:pt idx="179">
                  <c:v>4.7119831685935622E-12</c:v>
                </c:pt>
                <c:pt idx="180">
                  <c:v>4.7119831685935622E-12</c:v>
                </c:pt>
                <c:pt idx="181">
                  <c:v>4.7119831685935622E-12</c:v>
                </c:pt>
                <c:pt idx="182">
                  <c:v>4.7119831685935622E-12</c:v>
                </c:pt>
                <c:pt idx="183">
                  <c:v>4.7119831685935622E-12</c:v>
                </c:pt>
                <c:pt idx="184">
                  <c:v>4.7119831685935622E-12</c:v>
                </c:pt>
                <c:pt idx="185">
                  <c:v>4.7119831685935622E-12</c:v>
                </c:pt>
                <c:pt idx="186">
                  <c:v>4.7119831685935622E-12</c:v>
                </c:pt>
                <c:pt idx="187">
                  <c:v>4.7119831685935622E-12</c:v>
                </c:pt>
                <c:pt idx="188">
                  <c:v>4.7119831685935622E-12</c:v>
                </c:pt>
                <c:pt idx="189">
                  <c:v>4.7119831685935622E-12</c:v>
                </c:pt>
                <c:pt idx="190">
                  <c:v>4.7119831685935622E-12</c:v>
                </c:pt>
                <c:pt idx="191">
                  <c:v>4.7119831685935622E-12</c:v>
                </c:pt>
                <c:pt idx="192">
                  <c:v>4.7119831685935622E-12</c:v>
                </c:pt>
                <c:pt idx="193">
                  <c:v>4.7119831685935622E-12</c:v>
                </c:pt>
                <c:pt idx="194">
                  <c:v>4.7119831685935622E-12</c:v>
                </c:pt>
                <c:pt idx="195">
                  <c:v>4.7119831685935622E-12</c:v>
                </c:pt>
                <c:pt idx="196">
                  <c:v>4.7119831685935622E-12</c:v>
                </c:pt>
                <c:pt idx="197">
                  <c:v>4.7119831685935622E-12</c:v>
                </c:pt>
                <c:pt idx="198">
                  <c:v>4.7119831685935622E-12</c:v>
                </c:pt>
                <c:pt idx="199">
                  <c:v>4.7119831685935622E-12</c:v>
                </c:pt>
                <c:pt idx="200">
                  <c:v>4.7119831685935622E-12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D43" sqref="D4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0.81</v>
      </c>
      <c r="D9" s="36">
        <f t="shared" ref="D9:D18" si="0">C9*$C$5</f>
        <v>1.4580000000000002</v>
      </c>
      <c r="E9" s="37">
        <v>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44</v>
      </c>
      <c r="C10" s="35">
        <v>0.19</v>
      </c>
      <c r="D10" s="36">
        <f t="shared" si="0"/>
        <v>0.34200000000000003</v>
      </c>
      <c r="E10" s="37">
        <v>45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1.8000000000000003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18</v>
      </c>
      <c r="B36" s="63">
        <v>111</v>
      </c>
      <c r="C36" s="63">
        <v>1</v>
      </c>
      <c r="D36" s="63">
        <v>29</v>
      </c>
      <c r="E36" s="54"/>
      <c r="F36" s="54"/>
      <c r="G36" s="54">
        <v>1</v>
      </c>
      <c r="H36" s="54"/>
      <c r="I36" s="52">
        <f>IFERROR(B36/A36,"")</f>
        <v>6.166666666666667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24</v>
      </c>
      <c r="B37" s="63">
        <v>166</v>
      </c>
      <c r="C37" s="63">
        <v>2</v>
      </c>
      <c r="D37" s="63">
        <v>38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14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205</v>
      </c>
      <c r="C38" s="63">
        <v>3</v>
      </c>
      <c r="D38" s="63">
        <v>47</v>
      </c>
      <c r="E38" s="54">
        <v>0.4</v>
      </c>
      <c r="F38" s="54"/>
      <c r="G38" s="54">
        <v>0.6</v>
      </c>
      <c r="H38" s="54"/>
      <c r="I38" s="56">
        <f t="shared" si="1"/>
        <v>12.833333333333334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265</v>
      </c>
      <c r="C39" s="63">
        <v>4</v>
      </c>
      <c r="D39" s="63">
        <v>50</v>
      </c>
      <c r="E39" s="54">
        <v>0.4</v>
      </c>
      <c r="F39" s="54">
        <v>0.4</v>
      </c>
      <c r="G39" s="54">
        <v>0.2</v>
      </c>
      <c r="H39" s="54"/>
      <c r="I39" s="52">
        <f t="shared" si="1"/>
        <v>10.7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50</v>
      </c>
      <c r="B40" s="63">
        <v>294</v>
      </c>
      <c r="C40" s="63">
        <v>5</v>
      </c>
      <c r="D40" s="63">
        <v>294</v>
      </c>
      <c r="E40" s="54">
        <v>0.6</v>
      </c>
      <c r="F40" s="54">
        <v>0.3</v>
      </c>
      <c r="G40" s="54">
        <v>0.1</v>
      </c>
      <c r="H40" s="54"/>
      <c r="I40" s="52">
        <f t="shared" si="1"/>
        <v>7.9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Robinier faux-acacia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5</v>
      </c>
      <c r="B62" s="63">
        <v>28</v>
      </c>
      <c r="C62" s="63">
        <v>1</v>
      </c>
      <c r="D62" s="63">
        <v>4</v>
      </c>
      <c r="E62" s="54"/>
      <c r="F62" s="54"/>
      <c r="G62" s="54">
        <v>1</v>
      </c>
      <c r="H62" s="54"/>
      <c r="I62" s="56">
        <f>IFERROR(B62/A62,"")</f>
        <v>5.6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10</v>
      </c>
      <c r="B63" s="63">
        <v>79</v>
      </c>
      <c r="C63" s="63">
        <v>2</v>
      </c>
      <c r="D63" s="63">
        <v>21</v>
      </c>
      <c r="E63" s="54"/>
      <c r="F63" s="54"/>
      <c r="G63" s="54">
        <v>1</v>
      </c>
      <c r="H63" s="54"/>
      <c r="I63" s="52">
        <f>IF(A63&lt;&gt;0,(B63-(B62-D62))/(A63-A62),"")</f>
        <v>11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15</v>
      </c>
      <c r="B64" s="63">
        <v>113</v>
      </c>
      <c r="C64" s="63">
        <v>3</v>
      </c>
      <c r="D64" s="63">
        <v>17</v>
      </c>
      <c r="E64" s="54">
        <v>0.3</v>
      </c>
      <c r="F64" s="54"/>
      <c r="G64" s="54">
        <v>0.7</v>
      </c>
      <c r="H64" s="54"/>
      <c r="I64" s="52">
        <f>IF(A64&lt;&gt;0,(B64-(B63-D63))/(A64-A63),"")</f>
        <v>11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20</v>
      </c>
      <c r="B65" s="63">
        <v>145</v>
      </c>
      <c r="C65" s="63">
        <v>4</v>
      </c>
      <c r="D65" s="63">
        <v>14</v>
      </c>
      <c r="E65" s="54">
        <v>0.5</v>
      </c>
      <c r="F65" s="54"/>
      <c r="G65" s="54">
        <v>0.5</v>
      </c>
      <c r="H65" s="54"/>
      <c r="I65" s="52">
        <f>IF(A65&lt;&gt;0,(B65-(B64-D64))/(A65-A64),"")</f>
        <v>9.8000000000000007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25</v>
      </c>
      <c r="B66" s="63">
        <v>173</v>
      </c>
      <c r="C66" s="63">
        <v>5</v>
      </c>
      <c r="D66" s="63">
        <v>11</v>
      </c>
      <c r="E66" s="54">
        <v>0.6</v>
      </c>
      <c r="F66" s="54"/>
      <c r="G66" s="54">
        <v>0.4</v>
      </c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30</v>
      </c>
      <c r="B67" s="63">
        <v>196</v>
      </c>
      <c r="C67" s="63">
        <v>6</v>
      </c>
      <c r="D67" s="63">
        <v>9</v>
      </c>
      <c r="E67" s="54">
        <v>0.8</v>
      </c>
      <c r="F67" s="54"/>
      <c r="G67" s="54">
        <v>0.2</v>
      </c>
      <c r="H67" s="54"/>
      <c r="I67" s="52">
        <f t="shared" si="2"/>
        <v>6.8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35</v>
      </c>
      <c r="B68" s="63">
        <v>216</v>
      </c>
      <c r="C68" s="63">
        <v>7</v>
      </c>
      <c r="D68" s="63">
        <v>7</v>
      </c>
      <c r="E68" s="54">
        <v>0.9</v>
      </c>
      <c r="F68" s="54"/>
      <c r="G68" s="54">
        <v>0.1</v>
      </c>
      <c r="H68" s="54"/>
      <c r="I68" s="52">
        <f t="shared" si="2"/>
        <v>5.8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40</v>
      </c>
      <c r="B69" s="53">
        <v>233</v>
      </c>
      <c r="C69" s="53">
        <v>8</v>
      </c>
      <c r="D69" s="53">
        <v>6</v>
      </c>
      <c r="E69" s="54">
        <v>0.9</v>
      </c>
      <c r="F69" s="54"/>
      <c r="G69" s="54">
        <v>0.1</v>
      </c>
      <c r="H69" s="54"/>
      <c r="I69" s="52">
        <f t="shared" si="2"/>
        <v>4.8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45</v>
      </c>
      <c r="B70" s="53">
        <v>252</v>
      </c>
      <c r="C70" s="53">
        <v>9</v>
      </c>
      <c r="D70" s="53">
        <v>252</v>
      </c>
      <c r="E70" s="54">
        <v>0.9</v>
      </c>
      <c r="F70" s="54"/>
      <c r="G70" s="54">
        <v>0.1</v>
      </c>
      <c r="H70" s="54"/>
      <c r="I70" s="52">
        <f t="shared" si="2"/>
        <v>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18" sqref="F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Robinier faux-acacia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150.6643110947133</v>
      </c>
      <c r="T3" s="62">
        <f>IF('Données projet'!E9&gt;30,$R$33-$H$33,LOOKUP('Données projet'!$E$9,$A$3:$A$203,R3:R203)-LOOKUP('Données projet'!$E$9,$A$3:$A$203,$H$3:$H$203))</f>
        <v>231.70571415193996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249.70045432150511</v>
      </c>
      <c r="AO3" s="62">
        <f>IF('Données projet'!E10&gt;30,$AM$33-$H$33,LOOKUP('Données projet'!$E$10,$A$3:$A$203,AM3:AM203)-LOOKUP('Données projet'!$E$10,$A$3:$A$203,$H$3:$H$203))</f>
        <v>348.75012088192597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6.166666666666667</v>
      </c>
      <c r="N4" s="14">
        <f>IF('Données projet'!$A$36&gt;35,N3+M4-V3,IF(A4&lt;'Données projet'!$A$36,$K$205^A4,IF(A4='Données projet'!$A$36,'Données projet'!$B$36,N3+M4-V3)))</f>
        <v>1.2990595333015609</v>
      </c>
      <c r="O4" s="14">
        <f>N4*VLOOKUP('Données projet'!$B$9,Paramètres!$A$1:$I$89,3,0)*VLOOKUP('Données projet'!$B$9,Paramètres!$A$1:$I$89,5,0)</f>
        <v>0.7768376009143334</v>
      </c>
      <c r="P4" s="14">
        <f>EXP(-1.0587+0.8836*LN(O4)+0.284)</f>
        <v>0.36867854383113818</v>
      </c>
      <c r="Q4" s="22">
        <f t="shared" ref="Q4:Q34" si="2">(O4+P4)*0.475*44/12</f>
        <v>1.9951072854316962</v>
      </c>
      <c r="R4" s="62">
        <f t="shared" si="0"/>
        <v>295.328440618765</v>
      </c>
      <c r="S4" s="62">
        <f ca="1">AVERAGE(OFFSET($R$3,0,0,'Données projet'!$E$9+1,1))-AVERAGE(OFFSET($H$3,0,0,'Données projet'!$E$9+1,1))</f>
        <v>150.6643110947133</v>
      </c>
      <c r="T4" s="62">
        <f>$T$3</f>
        <v>231.70571415193996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5.6</v>
      </c>
      <c r="AI4" s="14">
        <f>IF('Données projet'!$A$62&gt;35,AI3+AH4-AQ3,IF(A4&lt;'Données projet'!$A$62,$AF$205^A4,IF(A4='Données projet'!$A$62,'Données projet'!$B$62,AI3+AH4-AQ3)))</f>
        <v>1.9472943612303364</v>
      </c>
      <c r="AJ4" s="14">
        <f>AI4*VLOOKUP('Données projet'!$B$10,Paramètres!$A$1:$I$89,3,0)*VLOOKUP('Données projet'!$B$10,Paramètres!$A$1:$I$89,5,0)</f>
        <v>1.7619119380412083</v>
      </c>
      <c r="AK4" s="14">
        <f>EXP(-1.0587+0.8836*LN(AJ4)+0.284)</f>
        <v>0.76015770586189668</v>
      </c>
      <c r="AL4" s="22">
        <f t="shared" ref="AL4:AL67" si="4">(AJ4+AK4)*0.475*44/12</f>
        <v>4.3926046297979076</v>
      </c>
      <c r="AM4" s="62">
        <f t="shared" ref="AM4:AM67" si="5">AL4+(AD4+AE4)*44/12</f>
        <v>297.72593796313123</v>
      </c>
      <c r="AN4" s="62">
        <f ca="1">AVERAGE(OFFSET($AM$3,0,0,'Données projet'!$E$10+1,1))-AVERAGE(OFFSET($H$3,0,0,'Données projet'!$E$10+1,1))</f>
        <v>249.70045432150511</v>
      </c>
      <c r="AO4" s="62">
        <f>$AO$3</f>
        <v>348.75012088192597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6.166666666666667</v>
      </c>
      <c r="N5" s="14">
        <f>IF('Données projet'!$A$36&gt;35,N4+M5-V4,IF(A5&lt;'Données projet'!$A$36,$K$205^A5,IF(A5='Données projet'!$A$36,'Données projet'!$B$36,N4+M5-V4)))</f>
        <v>1.6875556710616693</v>
      </c>
      <c r="O5" s="14">
        <f>N5*VLOOKUP('Données projet'!$B$9,Paramètres!$A$1:$I$89,3,0)*VLOOKUP('Données projet'!$B$9,Paramètres!$A$1:$I$89,5,0)</f>
        <v>1.0091582912948782</v>
      </c>
      <c r="P5" s="14">
        <f t="shared" ref="P5:P68" si="33">EXP(-1.0587+0.8836*LN(O5)+0.284)</f>
        <v>0.46456928810721226</v>
      </c>
      <c r="Q5" s="22">
        <f t="shared" si="2"/>
        <v>2.5667422007919742</v>
      </c>
      <c r="R5" s="62">
        <f t="shared" si="0"/>
        <v>295.90007553412528</v>
      </c>
      <c r="S5" s="62">
        <f ca="1">AVERAGE(OFFSET($R$3,0,0,'Données projet'!$E$9+1,1))-AVERAGE(OFFSET($H$3,0,0,'Données projet'!$E$9+1,1))</f>
        <v>150.6643110947133</v>
      </c>
      <c r="T5" s="62">
        <f t="shared" ref="T5:T68" si="34">$T$3</f>
        <v>231.70571415193996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5.6</v>
      </c>
      <c r="AI5" s="14">
        <f>IF('Données projet'!$A$62&gt;35,AI4+AH5-AQ4,IF(A5&lt;'Données projet'!$A$62,$AF$205^A5,IF(A5='Données projet'!$A$62,'Données projet'!$B$62,AI4+AH5-AQ4)))</f>
        <v>3.7919553292794639</v>
      </c>
      <c r="AJ5" s="14">
        <f>AI5*VLOOKUP('Données projet'!$B$10,Paramètres!$A$1:$I$89,3,0)*VLOOKUP('Données projet'!$B$10,Paramètres!$A$1:$I$89,5,0)</f>
        <v>3.4309611819320587</v>
      </c>
      <c r="AK5" s="14">
        <f t="shared" ref="AK5:AK68" si="35">EXP(-1.0587+0.8836*LN(AJ5)+0.284)</f>
        <v>1.3697631223860498</v>
      </c>
      <c r="AL5" s="22">
        <f t="shared" si="4"/>
        <v>8.3612614966873711</v>
      </c>
      <c r="AM5" s="62">
        <f t="shared" si="5"/>
        <v>301.69459483002066</v>
      </c>
      <c r="AN5" s="62">
        <f ca="1">AVERAGE(OFFSET($AM$3,0,0,'Données projet'!$E$10+1,1))-AVERAGE(OFFSET($H$3,0,0,'Données projet'!$E$10+1,1))</f>
        <v>249.70045432150511</v>
      </c>
      <c r="AO5" s="62">
        <f t="shared" ref="AO5:AO68" si="36">$AO$3</f>
        <v>348.75012088192597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6.166666666666667</v>
      </c>
      <c r="N6" s="14">
        <f>IF('Données projet'!$A$36&gt;35,N5+M6-V5,IF(A6&lt;'Données projet'!$A$36,$K$205^A6,IF(A6='Données projet'!$A$36,'Données projet'!$B$36,N5+M6-V5)))</f>
        <v>2.1922352824697744</v>
      </c>
      <c r="O6" s="14">
        <f>N6*VLOOKUP('Données projet'!$B$9,Paramètres!$A$1:$I$89,3,0)*VLOOKUP('Données projet'!$B$9,Paramètres!$A$1:$I$89,5,0)</f>
        <v>1.3109566989169252</v>
      </c>
      <c r="P6" s="14">
        <f t="shared" si="33"/>
        <v>0.58540055303921845</v>
      </c>
      <c r="Q6" s="22">
        <f t="shared" si="2"/>
        <v>3.3028222138236161</v>
      </c>
      <c r="R6" s="62">
        <f t="shared" si="0"/>
        <v>296.63615554715693</v>
      </c>
      <c r="S6" s="62">
        <f ca="1">AVERAGE(OFFSET($R$3,0,0,'Données projet'!$E$9+1,1))-AVERAGE(OFFSET($H$3,0,0,'Données projet'!$E$9+1,1))</f>
        <v>150.6643110947133</v>
      </c>
      <c r="T6" s="62">
        <f t="shared" si="34"/>
        <v>231.70571415193996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5.6</v>
      </c>
      <c r="AI6" s="14">
        <f>IF('Données projet'!$A$62&gt;35,AI5+AH6-AQ5,IF(A6&lt;'Données projet'!$A$62,$AF$205^A6,IF(A6='Données projet'!$A$62,'Données projet'!$B$62,AI5+AH6-AQ5)))</f>
        <v>7.3840532307432234</v>
      </c>
      <c r="AJ6" s="14">
        <f>AI6*VLOOKUP('Données projet'!$B$10,Paramètres!$A$1:$I$89,3,0)*VLOOKUP('Données projet'!$B$10,Paramètres!$A$1:$I$89,5,0)</f>
        <v>6.6810913631764679</v>
      </c>
      <c r="AK6" s="14">
        <f t="shared" si="35"/>
        <v>2.4682391521919964</v>
      </c>
      <c r="AL6" s="22">
        <f t="shared" si="4"/>
        <v>15.935083980933408</v>
      </c>
      <c r="AM6" s="62">
        <f t="shared" si="5"/>
        <v>309.26841731426674</v>
      </c>
      <c r="AN6" s="62">
        <f ca="1">AVERAGE(OFFSET($AM$3,0,0,'Données projet'!$E$10+1,1))-AVERAGE(OFFSET($H$3,0,0,'Données projet'!$E$10+1,1))</f>
        <v>249.70045432150511</v>
      </c>
      <c r="AO6" s="62">
        <f t="shared" si="36"/>
        <v>348.75012088192597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6.166666666666667</v>
      </c>
      <c r="N7" s="14">
        <f>IF('Données projet'!$A$36&gt;35,N6+M7-V6,IF(A7&lt;'Données projet'!$A$36,$K$205^A7,IF(A7='Données projet'!$A$36,'Données projet'!$B$36,N6+M7-V6)))</f>
        <v>2.8478441429324008</v>
      </c>
      <c r="O7" s="14">
        <f>N7*VLOOKUP('Données projet'!$B$9,Paramètres!$A$1:$I$89,3,0)*VLOOKUP('Données projet'!$B$9,Paramètres!$A$1:$I$89,5,0)</f>
        <v>1.703010797473576</v>
      </c>
      <c r="P7" s="14">
        <f t="shared" si="33"/>
        <v>0.73765919588626938</v>
      </c>
      <c r="Q7" s="22">
        <f t="shared" si="2"/>
        <v>4.2508335717683972</v>
      </c>
      <c r="R7" s="62">
        <f t="shared" si="0"/>
        <v>297.58416690510171</v>
      </c>
      <c r="S7" s="62">
        <f ca="1">AVERAGE(OFFSET($R$3,0,0,'Données projet'!$E$9+1,1))-AVERAGE(OFFSET($H$3,0,0,'Données projet'!$E$9+1,1))</f>
        <v>150.6643110947133</v>
      </c>
      <c r="T7" s="62">
        <f t="shared" si="34"/>
        <v>231.70571415193996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5.6</v>
      </c>
      <c r="AI7" s="14">
        <f>IF('Données projet'!$A$62&gt;35,AI6+AH7-AQ6,IF(A7&lt;'Données projet'!$A$62,$AF$205^A7,IF(A7='Données projet'!$A$62,'Données projet'!$B$62,AI6+AH7-AQ6)))</f>
        <v>14.378925219250927</v>
      </c>
      <c r="AJ7" s="14">
        <f>AI7*VLOOKUP('Données projet'!$B$10,Paramètres!$A$1:$I$89,3,0)*VLOOKUP('Données projet'!$B$10,Paramètres!$A$1:$I$89,5,0)</f>
        <v>13.010051538378239</v>
      </c>
      <c r="AK7" s="14">
        <f t="shared" si="35"/>
        <v>4.4476336184326453</v>
      </c>
      <c r="AL7" s="22">
        <f t="shared" si="4"/>
        <v>30.405468314778947</v>
      </c>
      <c r="AM7" s="62">
        <f t="shared" si="5"/>
        <v>323.73880164811226</v>
      </c>
      <c r="AN7" s="62">
        <f ca="1">AVERAGE(OFFSET($AM$3,0,0,'Données projet'!$E$10+1,1))-AVERAGE(OFFSET($H$3,0,0,'Données projet'!$E$10+1,1))</f>
        <v>249.70045432150511</v>
      </c>
      <c r="AO7" s="62">
        <f t="shared" si="36"/>
        <v>348.75012088192597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6.166666666666667</v>
      </c>
      <c r="N8" s="14">
        <f>IF('Données projet'!$A$36&gt;35,N7+M8-V7,IF(A8&lt;'Données projet'!$A$36,$K$205^A8,IF(A8='Données projet'!$A$36,'Données projet'!$B$36,N7+M8-V7)))</f>
        <v>3.6995190832333482</v>
      </c>
      <c r="O8" s="14">
        <f>N8*VLOOKUP('Données projet'!$B$9,Paramètres!$A$1:$I$89,3,0)*VLOOKUP('Données projet'!$B$9,Paramètres!$A$1:$I$89,5,0)</f>
        <v>2.2123124117735422</v>
      </c>
      <c r="P8" s="14">
        <f t="shared" si="33"/>
        <v>0.92951926070203594</v>
      </c>
      <c r="Q8" s="22">
        <f t="shared" si="2"/>
        <v>5.4720234962282985</v>
      </c>
      <c r="R8" s="62">
        <f t="shared" si="0"/>
        <v>298.80535682956162</v>
      </c>
      <c r="S8" s="62">
        <f ca="1">AVERAGE(OFFSET($R$3,0,0,'Données projet'!$E$9+1,1))-AVERAGE(OFFSET($H$3,0,0,'Données projet'!$E$9+1,1))</f>
        <v>150.6643110947133</v>
      </c>
      <c r="T8" s="62">
        <f t="shared" si="34"/>
        <v>231.70571415193996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>
        <f>VLOOKUP(A8,'Données projet'!$A$61:$I$81,2,0)</f>
        <v>28</v>
      </c>
      <c r="AG8" s="13">
        <f>VLOOKUP(A8,'Données projet'!$A$61:$I$81,9,0)</f>
        <v>5.6</v>
      </c>
      <c r="AH8" s="13">
        <f t="array" ref="AH8">INDEX(AG:AG,MIN(IF(ISNUMBER(AG8:AG204),ROW(AG8:AG204),"")))</f>
        <v>5.6</v>
      </c>
      <c r="AI8" s="14">
        <f>IF('Données projet'!$A$62&gt;35,AI7+AH8-AQ7,IF(A8&lt;'Données projet'!$A$62,$AF$205^A8,IF(A8='Données projet'!$A$62,'Données projet'!$B$62,AI7+AH8-AQ7)))</f>
        <v>28</v>
      </c>
      <c r="AJ8" s="14">
        <f>AI8*VLOOKUP('Données projet'!$B$10,Paramètres!$A$1:$I$89,3,0)*VLOOKUP('Données projet'!$B$10,Paramètres!$A$1:$I$89,5,0)</f>
        <v>25.334399999999999</v>
      </c>
      <c r="AK8" s="14">
        <f t="shared" si="35"/>
        <v>8.0143955200794572</v>
      </c>
      <c r="AL8" s="22">
        <f t="shared" si="4"/>
        <v>58.082485530805052</v>
      </c>
      <c r="AM8" s="62">
        <f t="shared" si="5"/>
        <v>351.41581886413837</v>
      </c>
      <c r="AN8" s="62">
        <f ca="1">AVERAGE(OFFSET($AM$3,0,0,'Données projet'!$E$10+1,1))-AVERAGE(OFFSET($H$3,0,0,'Données projet'!$E$10+1,1))</f>
        <v>249.70045432150511</v>
      </c>
      <c r="AO8" s="62">
        <f t="shared" si="36"/>
        <v>348.75012088192597</v>
      </c>
      <c r="AP8" s="16">
        <f>IF(ISNA(VLOOKUP(A8,'Données projet'!$A$61:$I$81,3,0)),0,VLOOKUP(A8,'Données projet'!$A$61:$I$81,3,0))</f>
        <v>1</v>
      </c>
      <c r="AQ8" s="16">
        <f>IF(ISNA(VLOOKUP(A8,'Données projet'!$A$61:$I$81,4,0)),0,VLOOKUP(A8,'Données projet'!$A$61:$I$81,4,0))</f>
        <v>4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1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3.4148126093398208</v>
      </c>
      <c r="AX8" s="23">
        <f t="shared" si="6"/>
        <v>3.4148126093398208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6.166666666666667</v>
      </c>
      <c r="N9" s="14">
        <f>IF('Données projet'!$A$36&gt;35,N8+M9-V8,IF(A9&lt;'Données projet'!$A$36,$K$205^A9,IF(A9='Données projet'!$A$36,'Données projet'!$B$36,N8+M9-V8)))</f>
        <v>4.805895533705332</v>
      </c>
      <c r="O9" s="14">
        <f>N9*VLOOKUP('Données projet'!$B$9,Paramètres!$A$1:$I$89,3,0)*VLOOKUP('Données projet'!$B$9,Paramètres!$A$1:$I$89,5,0)</f>
        <v>2.8739255291557888</v>
      </c>
      <c r="P9" s="14">
        <f t="shared" si="33"/>
        <v>1.1712808039734253</v>
      </c>
      <c r="Q9" s="22">
        <f t="shared" si="2"/>
        <v>7.0454010302000478</v>
      </c>
      <c r="R9" s="62">
        <f t="shared" si="0"/>
        <v>300.37873436353334</v>
      </c>
      <c r="S9" s="62">
        <f ca="1">AVERAGE(OFFSET($R$3,0,0,'Données projet'!$E$9+1,1))-AVERAGE(OFFSET($H$3,0,0,'Données projet'!$E$9+1,1))</f>
        <v>150.6643110947133</v>
      </c>
      <c r="T9" s="62">
        <f t="shared" si="34"/>
        <v>231.70571415193996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11</v>
      </c>
      <c r="AI9" s="14">
        <f>IF('Données projet'!$A$62&gt;35,AI8+AH9-AQ8,IF(A9&lt;'Données projet'!$A$62,$AF$205^A9,IF(A9='Données projet'!$A$62,'Données projet'!$B$62,AI8+AH9-AQ8)))</f>
        <v>35</v>
      </c>
      <c r="AJ9" s="14">
        <f>AI9*VLOOKUP('Données projet'!$B$10,Paramètres!$A$1:$I$89,3,0)*VLOOKUP('Données projet'!$B$10,Paramètres!$A$1:$I$89,5,0)</f>
        <v>31.667999999999996</v>
      </c>
      <c r="AK9" s="14">
        <f t="shared" si="35"/>
        <v>9.7611381424130652</v>
      </c>
      <c r="AL9" s="22">
        <f t="shared" si="4"/>
        <v>72.155748931369416</v>
      </c>
      <c r="AM9" s="62">
        <f t="shared" si="5"/>
        <v>365.48908226470274</v>
      </c>
      <c r="AN9" s="62">
        <f ca="1">AVERAGE(OFFSET($AM$3,0,0,'Données projet'!$E$10+1,1))-AVERAGE(OFFSET($H$3,0,0,'Données projet'!$E$10+1,1))</f>
        <v>249.70045432150511</v>
      </c>
      <c r="AO9" s="62">
        <f t="shared" si="36"/>
        <v>348.75012088192597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2.4146371525455161</v>
      </c>
      <c r="AX9" s="23">
        <f t="shared" si="6"/>
        <v>2.4146371525455161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6.166666666666667</v>
      </c>
      <c r="N10" s="14">
        <f>IF('Données projet'!$A$36&gt;35,N9+M10-V9,IF(A10&lt;'Données projet'!$A$36,$K$205^A10,IF(A10='Données projet'!$A$36,'Données projet'!$B$36,N9+M10-V9)))</f>
        <v>6.243144409111304</v>
      </c>
      <c r="O10" s="14">
        <f>N10*VLOOKUP('Données projet'!$B$9,Paramètres!$A$1:$I$89,3,0)*VLOOKUP('Données projet'!$B$9,Paramètres!$A$1:$I$89,5,0)</f>
        <v>3.7334003566485601</v>
      </c>
      <c r="P10" s="14">
        <f t="shared" si="33"/>
        <v>1.4759228557786761</v>
      </c>
      <c r="Q10" s="22">
        <f t="shared" si="2"/>
        <v>9.0729045949774356</v>
      </c>
      <c r="R10" s="62">
        <f t="shared" si="0"/>
        <v>302.40623792831076</v>
      </c>
      <c r="S10" s="62">
        <f ca="1">AVERAGE(OFFSET($R$3,0,0,'Données projet'!$E$9+1,1))-AVERAGE(OFFSET($H$3,0,0,'Données projet'!$E$9+1,1))</f>
        <v>150.6643110947133</v>
      </c>
      <c r="T10" s="62">
        <f t="shared" si="34"/>
        <v>231.70571415193996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11</v>
      </c>
      <c r="AI10" s="14">
        <f>IF('Données projet'!$A$62&gt;35,AI9+AH10-AQ9,IF(A10&lt;'Données projet'!$A$62,$AF$205^A10,IF(A10='Données projet'!$A$62,'Données projet'!$B$62,AI9+AH10-AQ9)))</f>
        <v>46</v>
      </c>
      <c r="AJ10" s="14">
        <f>AI10*VLOOKUP('Données projet'!$B$10,Paramètres!$A$1:$I$89,3,0)*VLOOKUP('Données projet'!$B$10,Paramètres!$A$1:$I$89,5,0)</f>
        <v>41.620800000000003</v>
      </c>
      <c r="AK10" s="14">
        <f t="shared" si="35"/>
        <v>12.427241987862391</v>
      </c>
      <c r="AL10" s="22">
        <f t="shared" si="4"/>
        <v>94.133673128860323</v>
      </c>
      <c r="AM10" s="62">
        <f t="shared" si="5"/>
        <v>387.46700646219364</v>
      </c>
      <c r="AN10" s="62">
        <f ca="1">AVERAGE(OFFSET($AM$3,0,0,'Données projet'!$E$10+1,1))-AVERAGE(OFFSET($H$3,0,0,'Données projet'!$E$10+1,1))</f>
        <v>249.70045432150511</v>
      </c>
      <c r="AO10" s="62">
        <f t="shared" si="36"/>
        <v>348.75012088192597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1.7074063046699106</v>
      </c>
      <c r="AX10" s="23">
        <f t="shared" si="6"/>
        <v>1.7074063046699106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6.166666666666667</v>
      </c>
      <c r="N11" s="14">
        <f>IF('Données projet'!$A$36&gt;35,N10+M11-V10,IF(A11&lt;'Données projet'!$A$36,$K$205^A11,IF(A11='Données projet'!$A$36,'Données projet'!$B$36,N10+M11-V10)))</f>
        <v>8.1102162624343812</v>
      </c>
      <c r="O11" s="14">
        <f>N11*VLOOKUP('Données projet'!$B$9,Paramètres!$A$1:$I$89,3,0)*VLOOKUP('Données projet'!$B$9,Paramètres!$A$1:$I$89,5,0)</f>
        <v>4.8499093249357603</v>
      </c>
      <c r="P11" s="14">
        <f t="shared" si="33"/>
        <v>1.8598002023256139</v>
      </c>
      <c r="Q11" s="22">
        <f t="shared" si="2"/>
        <v>11.686077426646891</v>
      </c>
      <c r="R11" s="62">
        <f t="shared" si="0"/>
        <v>305.01941075998019</v>
      </c>
      <c r="S11" s="62">
        <f ca="1">AVERAGE(OFFSET($R$3,0,0,'Données projet'!$E$9+1,1))-AVERAGE(OFFSET($H$3,0,0,'Données projet'!$E$9+1,1))</f>
        <v>150.6643110947133</v>
      </c>
      <c r="T11" s="62">
        <f t="shared" si="34"/>
        <v>231.70571415193996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11</v>
      </c>
      <c r="AI11" s="14">
        <f>IF('Données projet'!$A$62&gt;35,AI10+AH11-AQ10,IF(A11&lt;'Données projet'!$A$62,$AF$205^A11,IF(A11='Données projet'!$A$62,'Données projet'!$B$62,AI10+AH11-AQ10)))</f>
        <v>57</v>
      </c>
      <c r="AJ11" s="14">
        <f>AI11*VLOOKUP('Données projet'!$B$10,Paramètres!$A$1:$I$89,3,0)*VLOOKUP('Données projet'!$B$10,Paramètres!$A$1:$I$89,5,0)</f>
        <v>51.573599999999992</v>
      </c>
      <c r="AK11" s="14">
        <f t="shared" si="35"/>
        <v>15.019412930275323</v>
      </c>
      <c r="AL11" s="22">
        <f t="shared" si="4"/>
        <v>115.98283085356282</v>
      </c>
      <c r="AM11" s="62">
        <f t="shared" si="5"/>
        <v>409.31616418689612</v>
      </c>
      <c r="AN11" s="62">
        <f ca="1">AVERAGE(OFFSET($AM$3,0,0,'Données projet'!$E$10+1,1))-AVERAGE(OFFSET($H$3,0,0,'Données projet'!$E$10+1,1))</f>
        <v>249.70045432150511</v>
      </c>
      <c r="AO11" s="62">
        <f t="shared" si="36"/>
        <v>348.75012088192597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1.2073185762727583</v>
      </c>
      <c r="AX11" s="23">
        <f t="shared" si="6"/>
        <v>1.2073185762727583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6.166666666666667</v>
      </c>
      <c r="N12" s="14">
        <f>IF('Données projet'!$A$36&gt;35,N11+M12-V11,IF(A12&lt;'Données projet'!$A$36,$K$205^A12,IF(A12='Données projet'!$A$36,'Données projet'!$B$36,N11+M12-V11)))</f>
        <v>10.535653752852737</v>
      </c>
      <c r="O12" s="14">
        <f>N12*VLOOKUP('Données projet'!$B$9,Paramètres!$A$1:$I$89,3,0)*VLOOKUP('Données projet'!$B$9,Paramètres!$A$1:$I$89,5,0)</f>
        <v>6.3003209442059376</v>
      </c>
      <c r="P12" s="14">
        <f t="shared" si="33"/>
        <v>2.3435213968182298</v>
      </c>
      <c r="Q12" s="22">
        <f t="shared" si="2"/>
        <v>15.054692077283761</v>
      </c>
      <c r="R12" s="62">
        <f t="shared" si="0"/>
        <v>308.38802541061705</v>
      </c>
      <c r="S12" s="62">
        <f ca="1">AVERAGE(OFFSET($R$3,0,0,'Données projet'!$E$9+1,1))-AVERAGE(OFFSET($H$3,0,0,'Données projet'!$E$9+1,1))</f>
        <v>150.6643110947133</v>
      </c>
      <c r="T12" s="62">
        <f t="shared" si="34"/>
        <v>231.70571415193996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11</v>
      </c>
      <c r="AI12" s="14">
        <f>IF('Données projet'!$A$62&gt;35,AI11+AH12-AQ11,IF(A12&lt;'Données projet'!$A$62,$AF$205^A12,IF(A12='Données projet'!$A$62,'Données projet'!$B$62,AI11+AH12-AQ11)))</f>
        <v>68</v>
      </c>
      <c r="AJ12" s="14">
        <f>AI12*VLOOKUP('Données projet'!$B$10,Paramètres!$A$1:$I$89,3,0)*VLOOKUP('Données projet'!$B$10,Paramètres!$A$1:$I$89,5,0)</f>
        <v>61.526399999999995</v>
      </c>
      <c r="AK12" s="14">
        <f t="shared" si="35"/>
        <v>17.553624762159014</v>
      </c>
      <c r="AL12" s="22">
        <f t="shared" si="4"/>
        <v>137.73104312742694</v>
      </c>
      <c r="AM12" s="62">
        <f t="shared" si="5"/>
        <v>431.06437646076029</v>
      </c>
      <c r="AN12" s="62">
        <f ca="1">AVERAGE(OFFSET($AM$3,0,0,'Données projet'!$E$10+1,1))-AVERAGE(OFFSET($H$3,0,0,'Données projet'!$E$10+1,1))</f>
        <v>249.70045432150511</v>
      </c>
      <c r="AO12" s="62">
        <f t="shared" si="36"/>
        <v>348.75012088192597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0.85370315233495542</v>
      </c>
      <c r="AX12" s="23">
        <f t="shared" si="6"/>
        <v>0.85370315233495542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6.166666666666667</v>
      </c>
      <c r="N13" s="14">
        <f>IF('Données projet'!$A$36&gt;35,N12+M13-V12,IF(A13&lt;'Données projet'!$A$36,$K$205^A13,IF(A13='Données projet'!$A$36,'Données projet'!$B$36,N12+M13-V12)))</f>
        <v>13.686441447207715</v>
      </c>
      <c r="O13" s="14">
        <f>N13*VLOOKUP('Données projet'!$B$9,Paramètres!$A$1:$I$89,3,0)*VLOOKUP('Données projet'!$B$9,Paramètres!$A$1:$I$89,5,0)</f>
        <v>8.1844919854302152</v>
      </c>
      <c r="P13" s="14">
        <f t="shared" si="33"/>
        <v>2.9530551348887908</v>
      </c>
      <c r="Q13" s="22">
        <f t="shared" si="2"/>
        <v>19.397894567888933</v>
      </c>
      <c r="R13" s="62">
        <f t="shared" si="0"/>
        <v>312.73122790122227</v>
      </c>
      <c r="S13" s="62">
        <f ca="1">AVERAGE(OFFSET($R$3,0,0,'Données projet'!$E$9+1,1))-AVERAGE(OFFSET($H$3,0,0,'Données projet'!$E$9+1,1))</f>
        <v>150.6643110947133</v>
      </c>
      <c r="T13" s="62">
        <f t="shared" si="34"/>
        <v>231.70571415193996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>
        <f>VLOOKUP(A13,'Données projet'!$A$61:$I$81,2,0)</f>
        <v>79</v>
      </c>
      <c r="AG13" s="13">
        <f>VLOOKUP(A13,'Données projet'!$A$61:$I$81,9,0)</f>
        <v>11</v>
      </c>
      <c r="AH13" s="13">
        <f t="array" ref="AH13">INDEX(AG:AG,MIN(IF(ISNUMBER(AG13:AG209),ROW(AG13:AG209),"")))</f>
        <v>11</v>
      </c>
      <c r="AI13" s="14">
        <f>IF('Données projet'!$A$62&gt;35,AI12+AH13-AQ12,IF(A13&lt;'Données projet'!$A$62,$AF$205^A13,IF(A13='Données projet'!$A$62,'Données projet'!$B$62,AI12+AH13-AQ12)))</f>
        <v>79</v>
      </c>
      <c r="AJ13" s="14">
        <f>AI13*VLOOKUP('Données projet'!$B$10,Paramètres!$A$1:$I$89,3,0)*VLOOKUP('Données projet'!$B$10,Paramètres!$A$1:$I$89,5,0)</f>
        <v>71.479200000000006</v>
      </c>
      <c r="AK13" s="14">
        <f t="shared" si="35"/>
        <v>20.040346808618612</v>
      </c>
      <c r="AL13" s="22">
        <f t="shared" si="4"/>
        <v>159.39654402501074</v>
      </c>
      <c r="AM13" s="62">
        <f t="shared" si="5"/>
        <v>452.72987735834408</v>
      </c>
      <c r="AN13" s="62">
        <f ca="1">AVERAGE(OFFSET($AM$3,0,0,'Données projet'!$E$10+1,1))-AVERAGE(OFFSET($H$3,0,0,'Données projet'!$E$10+1,1))</f>
        <v>249.70045432150511</v>
      </c>
      <c r="AO13" s="62">
        <f t="shared" si="36"/>
        <v>348.75012088192597</v>
      </c>
      <c r="AP13" s="16">
        <f>IF(ISNA(VLOOKUP(A13,'Données projet'!$A$61:$I$81,3,0)),0,VLOOKUP(A13,'Données projet'!$A$61:$I$81,3,0))</f>
        <v>2</v>
      </c>
      <c r="AQ13" s="16">
        <f>IF(ISNA(VLOOKUP(A13,'Données projet'!$A$61:$I$81,4,0)),0,VLOOKUP(A13,'Données projet'!$A$61:$I$81,4,0))</f>
        <v>21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1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18.531425487170438</v>
      </c>
      <c r="AX13" s="23">
        <f t="shared" si="6"/>
        <v>18.531425487170438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6.166666666666667</v>
      </c>
      <c r="N14" s="14">
        <f>IF('Données projet'!$A$36&gt;35,N13+M14-V13,IF(A14&lt;'Données projet'!$A$36,$K$205^A14,IF(A14='Données projet'!$A$36,'Données projet'!$B$36,N13+M14-V13)))</f>
        <v>17.779502238968792</v>
      </c>
      <c r="O14" s="14">
        <f>N14*VLOOKUP('Données projet'!$B$9,Paramètres!$A$1:$I$89,3,0)*VLOOKUP('Données projet'!$B$9,Paramètres!$A$1:$I$89,5,0)</f>
        <v>10.632142338903337</v>
      </c>
      <c r="P14" s="14">
        <f t="shared" si="33"/>
        <v>3.7211243906425677</v>
      </c>
      <c r="Q14" s="22">
        <f t="shared" si="2"/>
        <v>24.998606220625785</v>
      </c>
      <c r="R14" s="62">
        <f t="shared" si="0"/>
        <v>318.3319395539591</v>
      </c>
      <c r="S14" s="62">
        <f ca="1">AVERAGE(OFFSET($R$3,0,0,'Données projet'!$E$9+1,1))-AVERAGE(OFFSET($H$3,0,0,'Données projet'!$E$9+1,1))</f>
        <v>150.6643110947133</v>
      </c>
      <c r="T14" s="62">
        <f t="shared" si="34"/>
        <v>231.70571415193996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11</v>
      </c>
      <c r="AI14" s="14">
        <f>IF('Données projet'!$A$62&gt;35,AI13+AH14-AQ13,IF(A14&lt;'Données projet'!$A$62,$AF$205^A14,IF(A14='Données projet'!$A$62,'Données projet'!$B$62,AI13+AH14-AQ13)))</f>
        <v>69</v>
      </c>
      <c r="AJ14" s="14">
        <f>AI14*VLOOKUP('Données projet'!$B$10,Paramètres!$A$1:$I$89,3,0)*VLOOKUP('Données projet'!$B$10,Paramètres!$A$1:$I$89,5,0)</f>
        <v>62.431199999999997</v>
      </c>
      <c r="AK14" s="14">
        <f t="shared" si="35"/>
        <v>17.781524466058684</v>
      </c>
      <c r="AL14" s="22">
        <f t="shared" si="4"/>
        <v>139.70382844505221</v>
      </c>
      <c r="AM14" s="62">
        <f t="shared" si="5"/>
        <v>433.03716177838555</v>
      </c>
      <c r="AN14" s="62">
        <f ca="1">AVERAGE(OFFSET($AM$3,0,0,'Données projet'!$E$10+1,1))-AVERAGE(OFFSET($H$3,0,0,'Données projet'!$E$10+1,1))</f>
        <v>249.70045432150511</v>
      </c>
      <c r="AO14" s="62">
        <f t="shared" si="36"/>
        <v>348.75012088192597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13.103696627031438</v>
      </c>
      <c r="AX14" s="23">
        <f t="shared" si="6"/>
        <v>13.103696627031438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6.166666666666667</v>
      </c>
      <c r="N15" s="14">
        <f>IF('Données projet'!$A$36&gt;35,N14+M15-V14,IF(A15&lt;'Données projet'!$A$36,$K$205^A15,IF(A15='Données projet'!$A$36,'Données projet'!$B$36,N14+M15-V14)))</f>
        <v>23.096631880888861</v>
      </c>
      <c r="O15" s="14">
        <f>N15*VLOOKUP('Données projet'!$B$9,Paramètres!$A$1:$I$89,3,0)*VLOOKUP('Données projet'!$B$9,Paramètres!$A$1:$I$89,5,0)</f>
        <v>13.811785864771538</v>
      </c>
      <c r="P15" s="14">
        <f t="shared" si="33"/>
        <v>4.6889631578641264</v>
      </c>
      <c r="Q15" s="22">
        <f t="shared" si="2"/>
        <v>32.222137881090447</v>
      </c>
      <c r="R15" s="62">
        <f t="shared" si="0"/>
        <v>325.55547121442373</v>
      </c>
      <c r="S15" s="62">
        <f ca="1">AVERAGE(OFFSET($R$3,0,0,'Données projet'!$E$9+1,1))-AVERAGE(OFFSET($H$3,0,0,'Données projet'!$E$9+1,1))</f>
        <v>150.6643110947133</v>
      </c>
      <c r="T15" s="62">
        <f t="shared" si="34"/>
        <v>231.70571415193996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11</v>
      </c>
      <c r="AI15" s="14">
        <f>IF('Données projet'!$A$62&gt;35,AI14+AH15-AQ14,IF(A15&lt;'Données projet'!$A$62,$AF$205^A15,IF(A15='Données projet'!$A$62,'Données projet'!$B$62,AI14+AH15-AQ14)))</f>
        <v>80</v>
      </c>
      <c r="AJ15" s="14">
        <f>AI15*VLOOKUP('Données projet'!$B$10,Paramètres!$A$1:$I$89,3,0)*VLOOKUP('Données projet'!$B$10,Paramètres!$A$1:$I$89,5,0)</f>
        <v>72.384</v>
      </c>
      <c r="AK15" s="14">
        <f t="shared" si="35"/>
        <v>20.264329923804397</v>
      </c>
      <c r="AL15" s="22">
        <f t="shared" si="4"/>
        <v>161.362507950626</v>
      </c>
      <c r="AM15" s="62">
        <f t="shared" si="5"/>
        <v>454.69584128395934</v>
      </c>
      <c r="AN15" s="62">
        <f ca="1">AVERAGE(OFFSET($AM$3,0,0,'Données projet'!$E$10+1,1))-AVERAGE(OFFSET($H$3,0,0,'Données projet'!$E$10+1,1))</f>
        <v>249.70045432150511</v>
      </c>
      <c r="AO15" s="62">
        <f t="shared" si="36"/>
        <v>348.75012088192597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9.2657127435852207</v>
      </c>
      <c r="AX15" s="23">
        <f t="shared" si="6"/>
        <v>9.2657127435852207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6.166666666666667</v>
      </c>
      <c r="N16" s="14">
        <f>IF('Données projet'!$A$36&gt;35,N15+M16-V15,IF(A16&lt;'Données projet'!$A$36,$K$205^A16,IF(A16='Données projet'!$A$36,'Données projet'!$B$36,N15+M16-V15)))</f>
        <v>30.003899832025432</v>
      </c>
      <c r="O16" s="14">
        <f>N16*VLOOKUP('Données projet'!$B$9,Paramètres!$A$1:$I$89,3,0)*VLOOKUP('Données projet'!$B$9,Paramètres!$A$1:$I$89,5,0)</f>
        <v>17.942332099551209</v>
      </c>
      <c r="P16" s="14">
        <f t="shared" si="33"/>
        <v>5.9085301074846619</v>
      </c>
      <c r="Q16" s="22">
        <f t="shared" si="2"/>
        <v>41.54025167725414</v>
      </c>
      <c r="R16" s="62">
        <f t="shared" si="0"/>
        <v>334.87358501058748</v>
      </c>
      <c r="S16" s="62">
        <f ca="1">AVERAGE(OFFSET($R$3,0,0,'Données projet'!$E$9+1,1))-AVERAGE(OFFSET($H$3,0,0,'Données projet'!$E$9+1,1))</f>
        <v>150.6643110947133</v>
      </c>
      <c r="T16" s="62">
        <f t="shared" si="34"/>
        <v>231.70571415193996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11</v>
      </c>
      <c r="AI16" s="14">
        <f>IF('Données projet'!$A$62&gt;35,AI15+AH16-AQ15,IF(A16&lt;'Données projet'!$A$62,$AF$205^A16,IF(A16='Données projet'!$A$62,'Données projet'!$B$62,AI15+AH16-AQ15)))</f>
        <v>91</v>
      </c>
      <c r="AJ16" s="14">
        <f>AI16*VLOOKUP('Données projet'!$B$10,Paramètres!$A$1:$I$89,3,0)*VLOOKUP('Données projet'!$B$10,Paramètres!$A$1:$I$89,5,0)</f>
        <v>82.336799999999997</v>
      </c>
      <c r="AK16" s="14">
        <f t="shared" si="35"/>
        <v>22.707582950885364</v>
      </c>
      <c r="AL16" s="22">
        <f t="shared" si="4"/>
        <v>182.95230030612535</v>
      </c>
      <c r="AM16" s="62">
        <f t="shared" si="5"/>
        <v>476.28563363945864</v>
      </c>
      <c r="AN16" s="62">
        <f ca="1">AVERAGE(OFFSET($AM$3,0,0,'Données projet'!$E$10+1,1))-AVERAGE(OFFSET($H$3,0,0,'Données projet'!$E$10+1,1))</f>
        <v>249.70045432150511</v>
      </c>
      <c r="AO16" s="62">
        <f t="shared" si="36"/>
        <v>348.75012088192597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6.5518483135157197</v>
      </c>
      <c r="AX16" s="23">
        <f t="shared" si="6"/>
        <v>6.5518483135157197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6.166666666666667</v>
      </c>
      <c r="N17" s="14">
        <f>IF('Données projet'!$A$36&gt;35,N16+M17-V16,IF(A17&lt;'Données projet'!$A$36,$K$205^A17,IF(A17='Données projet'!$A$36,'Données projet'!$B$36,N16+M17-V16)))</f>
        <v>38.976852113017742</v>
      </c>
      <c r="O17" s="14">
        <f>N17*VLOOKUP('Données projet'!$B$9,Paramètres!$A$1:$I$89,3,0)*VLOOKUP('Données projet'!$B$9,Paramètres!$A$1:$I$89,5,0)</f>
        <v>23.308157563584611</v>
      </c>
      <c r="P17" s="14">
        <f t="shared" si="33"/>
        <v>7.4452980020757735</v>
      </c>
      <c r="Q17" s="22">
        <f t="shared" si="2"/>
        <v>53.56226844352517</v>
      </c>
      <c r="R17" s="62">
        <f t="shared" si="0"/>
        <v>346.89560177685848</v>
      </c>
      <c r="S17" s="62">
        <f ca="1">AVERAGE(OFFSET($R$3,0,0,'Données projet'!$E$9+1,1))-AVERAGE(OFFSET($H$3,0,0,'Données projet'!$E$9+1,1))</f>
        <v>150.6643110947133</v>
      </c>
      <c r="T17" s="62">
        <f t="shared" si="34"/>
        <v>231.70571415193996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11</v>
      </c>
      <c r="AI17" s="14">
        <f>IF('Données projet'!$A$62&gt;35,AI16+AH17-AQ16,IF(A17&lt;'Données projet'!$A$62,$AF$205^A17,IF(A17='Données projet'!$A$62,'Données projet'!$B$62,AI16+AH17-AQ16)))</f>
        <v>102</v>
      </c>
      <c r="AJ17" s="14">
        <f>AI17*VLOOKUP('Données projet'!$B$10,Paramètres!$A$1:$I$89,3,0)*VLOOKUP('Données projet'!$B$10,Paramètres!$A$1:$I$89,5,0)</f>
        <v>92.289599999999993</v>
      </c>
      <c r="AK17" s="14">
        <f t="shared" si="35"/>
        <v>25.116611431659546</v>
      </c>
      <c r="AL17" s="22">
        <f t="shared" si="4"/>
        <v>204.48248491014036</v>
      </c>
      <c r="AM17" s="62">
        <f t="shared" si="5"/>
        <v>497.8158182434737</v>
      </c>
      <c r="AN17" s="62">
        <f ca="1">AVERAGE(OFFSET($AM$3,0,0,'Données projet'!$E$10+1,1))-AVERAGE(OFFSET($H$3,0,0,'Données projet'!$E$10+1,1))</f>
        <v>249.70045432150511</v>
      </c>
      <c r="AO17" s="62">
        <f t="shared" si="36"/>
        <v>348.75012088192597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4.6328563717926103</v>
      </c>
      <c r="AX17" s="23">
        <f t="shared" si="6"/>
        <v>4.6328563717926103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6.166666666666667</v>
      </c>
      <c r="N18" s="14">
        <f>IF('Données projet'!$A$36&gt;35,N17+M18-V17,IF(A18&lt;'Données projet'!$A$36,$K$205^A18,IF(A18='Données projet'!$A$36,'Données projet'!$B$36,N17+M18-V17)))</f>
        <v>50.633251315500786</v>
      </c>
      <c r="O18" s="14">
        <f>N18*VLOOKUP('Données projet'!$B$9,Paramètres!$A$1:$I$89,3,0)*VLOOKUP('Données projet'!$B$9,Paramètres!$A$1:$I$89,5,0)</f>
        <v>30.278684286669471</v>
      </c>
      <c r="P18" s="14">
        <f t="shared" si="33"/>
        <v>9.3817686177978814</v>
      </c>
      <c r="Q18" s="22">
        <f t="shared" si="2"/>
        <v>69.075288808613962</v>
      </c>
      <c r="R18" s="62">
        <f t="shared" si="0"/>
        <v>362.40862214194726</v>
      </c>
      <c r="S18" s="62">
        <f ca="1">AVERAGE(OFFSET($R$3,0,0,'Données projet'!$E$9+1,1))-AVERAGE(OFFSET($H$3,0,0,'Données projet'!$E$9+1,1))</f>
        <v>150.6643110947133</v>
      </c>
      <c r="T18" s="62">
        <f t="shared" si="34"/>
        <v>231.70571415193996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113</v>
      </c>
      <c r="AG18" s="13">
        <f>VLOOKUP(A18,'Données projet'!$A$61:$I$81,9,0)</f>
        <v>11</v>
      </c>
      <c r="AH18" s="13">
        <f t="array" ref="AH18">INDEX(AG:AG,MIN(IF(ISNUMBER(AG18:AG214),ROW(AG18:AG214),"")))</f>
        <v>11</v>
      </c>
      <c r="AI18" s="14">
        <f>IF('Données projet'!$A$62&gt;35,AI17+AH18-AQ17,IF(A18&lt;'Données projet'!$A$62,$AF$205^A18,IF(A18='Données projet'!$A$62,'Données projet'!$B$62,AI17+AH18-AQ17)))</f>
        <v>113</v>
      </c>
      <c r="AJ18" s="14">
        <f>AI18*VLOOKUP('Données projet'!$B$10,Paramètres!$A$1:$I$89,3,0)*VLOOKUP('Données projet'!$B$10,Paramètres!$A$1:$I$89,5,0)</f>
        <v>102.24239999999999</v>
      </c>
      <c r="AK18" s="14">
        <f t="shared" si="35"/>
        <v>27.495526976991481</v>
      </c>
      <c r="AL18" s="22">
        <f t="shared" si="4"/>
        <v>225.96022281826015</v>
      </c>
      <c r="AM18" s="62">
        <f t="shared" si="5"/>
        <v>519.29355615159352</v>
      </c>
      <c r="AN18" s="62">
        <f ca="1">AVERAGE(OFFSET($AM$3,0,0,'Données projet'!$E$10+1,1))-AVERAGE(OFFSET($H$3,0,0,'Données projet'!$E$10+1,1))</f>
        <v>249.70045432150511</v>
      </c>
      <c r="AO18" s="62">
        <f t="shared" si="36"/>
        <v>348.75012088192597</v>
      </c>
      <c r="AP18" s="16">
        <f>IF(ISNA(VLOOKUP(A18,'Données projet'!$A$61:$I$81,3,0)),0,VLOOKUP(A18,'Données projet'!$A$61:$I$81,3,0))</f>
        <v>3</v>
      </c>
      <c r="AQ18" s="16">
        <f>IF(ISNA(VLOOKUP(A18,'Données projet'!$A$61:$I$81,4,0)),0,VLOOKUP(A18,'Données projet'!$A$61:$I$81,4,0))</f>
        <v>17</v>
      </c>
      <c r="AR18" s="17">
        <f>IF(ISNA(VLOOKUP(A18,'Données projet'!$A$61:$I$81,5,0)),0%,VLOOKUP(A18,'Données projet'!$A$61:$I$81,5,0)*VLOOKUP('Données projet'!$B$10,Paramètres!$A$1:$I$89,7,0))</f>
        <v>0.09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0.7</v>
      </c>
      <c r="AU18" s="23">
        <f>EXP(-LN(2)/35)*AU17+(1-EXP(-LN(2)/35))/(LN(2)/35)*AQ18*AR18*VLOOKUP('Données projet'!$B$10,Paramètres!$A$1:$I$89,3,0)*0.475*44/12</f>
        <v>1.5303512870841622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13.434991669543827</v>
      </c>
      <c r="AX18" s="23">
        <f t="shared" si="6"/>
        <v>14.965342956627989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6.166666666666667</v>
      </c>
      <c r="N19" s="14">
        <f>IF('Données projet'!$A$36&gt;35,N18+M19-V18,IF(A19&lt;'Données projet'!$A$36,$K$205^A19,IF(A19='Données projet'!$A$36,'Données projet'!$B$36,N18+M19-V18)))</f>
        <v>65.775607823455104</v>
      </c>
      <c r="O19" s="14">
        <f>N19*VLOOKUP('Données projet'!$B$9,Paramètres!$A$1:$I$89,3,0)*VLOOKUP('Données projet'!$B$9,Paramètres!$A$1:$I$89,5,0)</f>
        <v>39.333813478426158</v>
      </c>
      <c r="P19" s="14">
        <f t="shared" si="33"/>
        <v>11.821901873283993</v>
      </c>
      <c r="Q19" s="22">
        <f t="shared" si="2"/>
        <v>89.096204237561849</v>
      </c>
      <c r="R19" s="62">
        <f t="shared" si="0"/>
        <v>382.42953757089515</v>
      </c>
      <c r="S19" s="62">
        <f ca="1">AVERAGE(OFFSET($R$3,0,0,'Données projet'!$E$9+1,1))-AVERAGE(OFFSET($H$3,0,0,'Données projet'!$E$9+1,1))</f>
        <v>150.6643110947133</v>
      </c>
      <c r="T19" s="62">
        <f t="shared" si="34"/>
        <v>231.70571415193996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9.8000000000000007</v>
      </c>
      <c r="AI19" s="14">
        <f>IF('Données projet'!$A$62&gt;35,AI18+AH19-AQ18,IF(A19&lt;'Données projet'!$A$62,$AF$205^A19,IF(A19='Données projet'!$A$62,'Données projet'!$B$62,AI18+AH19-AQ18)))</f>
        <v>105.8</v>
      </c>
      <c r="AJ19" s="14">
        <f>AI19*VLOOKUP('Données projet'!$B$10,Paramètres!$A$1:$I$89,3,0)*VLOOKUP('Données projet'!$B$10,Paramètres!$A$1:$I$89,5,0)</f>
        <v>95.72784</v>
      </c>
      <c r="AK19" s="14">
        <f t="shared" si="35"/>
        <v>25.941642560384413</v>
      </c>
      <c r="AL19" s="22">
        <f t="shared" si="4"/>
        <v>211.90768212600287</v>
      </c>
      <c r="AM19" s="62">
        <f t="shared" si="5"/>
        <v>505.24101545933615</v>
      </c>
      <c r="AN19" s="62">
        <f ca="1">AVERAGE(OFFSET($AM$3,0,0,'Données projet'!$E$10+1,1))-AVERAGE(OFFSET($H$3,0,0,'Données projet'!$E$10+1,1))</f>
        <v>249.70045432150511</v>
      </c>
      <c r="AO19" s="62">
        <f t="shared" si="36"/>
        <v>348.75012088192597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1.5003420317665592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9.499973714719216</v>
      </c>
      <c r="AX19" s="23">
        <f t="shared" si="6"/>
        <v>11.000315746485775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6.166666666666667</v>
      </c>
      <c r="N20" s="14">
        <f>IF('Données projet'!$A$36&gt;35,N19+M20-V19,IF(A20&lt;'Données projet'!$A$36,$K$205^A20,IF(A20='Données projet'!$A$36,'Données projet'!$B$36,N19+M20-V19)))</f>
        <v>85.44643040176409</v>
      </c>
      <c r="O20" s="14">
        <f>N20*VLOOKUP('Données projet'!$B$9,Paramètres!$A$1:$I$89,3,0)*VLOOKUP('Données projet'!$B$9,Paramètres!$A$1:$I$89,5,0)</f>
        <v>51.096965380254936</v>
      </c>
      <c r="P20" s="14">
        <f t="shared" si="33"/>
        <v>14.896696944372083</v>
      </c>
      <c r="Q20" s="22">
        <f t="shared" si="2"/>
        <v>114.93896188205872</v>
      </c>
      <c r="R20" s="62">
        <f t="shared" si="0"/>
        <v>408.27229521539203</v>
      </c>
      <c r="S20" s="62">
        <f ca="1">AVERAGE(OFFSET($R$3,0,0,'Données projet'!$E$9+1,1))-AVERAGE(OFFSET($H$3,0,0,'Données projet'!$E$9+1,1))</f>
        <v>150.6643110947133</v>
      </c>
      <c r="T20" s="62">
        <f t="shared" si="34"/>
        <v>231.70571415193996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9.8000000000000007</v>
      </c>
      <c r="AI20" s="14">
        <f>IF('Données projet'!$A$62&gt;35,AI19+AH20-AQ19,IF(A20&lt;'Données projet'!$A$62,$AF$205^A20,IF(A20='Données projet'!$A$62,'Données projet'!$B$62,AI19+AH20-AQ19)))</f>
        <v>115.6</v>
      </c>
      <c r="AJ20" s="14">
        <f>AI20*VLOOKUP('Données projet'!$B$10,Paramètres!$A$1:$I$89,3,0)*VLOOKUP('Données projet'!$B$10,Paramètres!$A$1:$I$89,5,0)</f>
        <v>104.59487999999999</v>
      </c>
      <c r="AK20" s="14">
        <f t="shared" si="35"/>
        <v>28.053785838854211</v>
      </c>
      <c r="AL20" s="22">
        <f t="shared" si="4"/>
        <v>231.02975966933766</v>
      </c>
      <c r="AM20" s="62">
        <f t="shared" si="5"/>
        <v>524.36309300267101</v>
      </c>
      <c r="AN20" s="62">
        <f ca="1">AVERAGE(OFFSET($AM$3,0,0,'Données projet'!$E$10+1,1))-AVERAGE(OFFSET($H$3,0,0,'Données projet'!$E$10+1,1))</f>
        <v>249.70045432150511</v>
      </c>
      <c r="AO20" s="62">
        <f t="shared" si="36"/>
        <v>348.75012088192597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1.470921239641896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6.7174958347719143</v>
      </c>
      <c r="AX20" s="23">
        <f t="shared" si="6"/>
        <v>8.1884170744138096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111</v>
      </c>
      <c r="L21" s="13">
        <f>VLOOKUP(A21,'Données projet'!$A$35:$I$55,9,0)</f>
        <v>6.166666666666667</v>
      </c>
      <c r="M21" s="13">
        <f t="array" ref="M21">INDEX(L:L,MIN(IF(ISNUMBER(L21:L217),ROW(L21:L217),"")))</f>
        <v>6.166666666666667</v>
      </c>
      <c r="N21" s="14">
        <f>IF('Données projet'!$A$36&gt;35,N20+M21-V20,IF(A21&lt;'Données projet'!$A$36,$K$205^A21,IF(A21='Données projet'!$A$36,'Données projet'!$B$36,N20+M21-V20)))</f>
        <v>111</v>
      </c>
      <c r="O21" s="14">
        <f>N21*VLOOKUP('Données projet'!$B$9,Paramètres!$A$1:$I$89,3,0)*VLOOKUP('Données projet'!$B$9,Paramètres!$A$1:$I$89,5,0)</f>
        <v>66.378</v>
      </c>
      <c r="P21" s="14">
        <f t="shared" si="33"/>
        <v>18.771224988253085</v>
      </c>
      <c r="Q21" s="22">
        <f t="shared" si="2"/>
        <v>148.30156685454077</v>
      </c>
      <c r="R21" s="62">
        <f t="shared" si="0"/>
        <v>441.63490018787411</v>
      </c>
      <c r="S21" s="62">
        <f ca="1">AVERAGE(OFFSET($R$3,0,0,'Données projet'!$E$9+1,1))-AVERAGE(OFFSET($H$3,0,0,'Données projet'!$E$9+1,1))</f>
        <v>150.6643110947133</v>
      </c>
      <c r="T21" s="62">
        <f t="shared" si="34"/>
        <v>231.70571415193996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29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1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19.635172503703973</v>
      </c>
      <c r="AC21" s="24">
        <f t="shared" si="3"/>
        <v>19.635172503703973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9.8000000000000007</v>
      </c>
      <c r="AI21" s="14">
        <f>IF('Données projet'!$A$62&gt;35,AI20+AH21-AQ20,IF(A21&lt;'Données projet'!$A$62,$AF$205^A21,IF(A21='Données projet'!$A$62,'Données projet'!$B$62,AI20+AH21-AQ20)))</f>
        <v>125.39999999999999</v>
      </c>
      <c r="AJ21" s="14">
        <f>AI21*VLOOKUP('Données projet'!$B$10,Paramètres!$A$1:$I$89,3,0)*VLOOKUP('Données projet'!$B$10,Paramètres!$A$1:$I$89,5,0)</f>
        <v>113.46191999999998</v>
      </c>
      <c r="AK21" s="14">
        <f t="shared" si="35"/>
        <v>30.145163126535493</v>
      </c>
      <c r="AL21" s="22">
        <f t="shared" si="4"/>
        <v>250.11566977871595</v>
      </c>
      <c r="AM21" s="62">
        <f t="shared" si="5"/>
        <v>543.44900311204924</v>
      </c>
      <c r="AN21" s="62">
        <f ca="1">AVERAGE(OFFSET($AM$3,0,0,'Données projet'!$E$10+1,1))-AVERAGE(OFFSET($H$3,0,0,'Données projet'!$E$10+1,1))</f>
        <v>249.70045432150511</v>
      </c>
      <c r="AO21" s="62">
        <f t="shared" si="36"/>
        <v>348.75012088192597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1.4420773713058861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4.7499868573596089</v>
      </c>
      <c r="AX21" s="23">
        <f t="shared" si="6"/>
        <v>6.1920642286654948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14</v>
      </c>
      <c r="N22" s="14">
        <f>IF('Données projet'!$A$36&gt;35,N21+M22-V21,IF(A22&lt;'Données projet'!$A$36,$K$205^A22,IF(A22='Données projet'!$A$36,'Données projet'!$B$36,N21+M22-V21)))</f>
        <v>96</v>
      </c>
      <c r="O22" s="14">
        <f>N22*VLOOKUP('Données projet'!$B$9,Paramètres!$A$1:$I$89,3,0)*VLOOKUP('Données projet'!$B$9,Paramètres!$A$1:$I$89,5,0)</f>
        <v>57.408000000000008</v>
      </c>
      <c r="P22" s="14">
        <f t="shared" si="33"/>
        <v>16.511255298579947</v>
      </c>
      <c r="Q22" s="22">
        <f t="shared" si="2"/>
        <v>128.74270297836009</v>
      </c>
      <c r="R22" s="62">
        <f t="shared" si="0"/>
        <v>422.07603631169343</v>
      </c>
      <c r="S22" s="62">
        <f ca="1">AVERAGE(OFFSET($R$3,0,0,'Données projet'!$E$9+1,1))-AVERAGE(OFFSET($H$3,0,0,'Données projet'!$E$9+1,1))</f>
        <v>150.6643110947133</v>
      </c>
      <c r="T22" s="62">
        <f t="shared" si="34"/>
        <v>231.70571415193996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13.88416362713672</v>
      </c>
      <c r="AC22" s="24">
        <f t="shared" si="3"/>
        <v>13.88416362713672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9.8000000000000007</v>
      </c>
      <c r="AI22" s="14">
        <f>IF('Données projet'!$A$62&gt;35,AI21+AH22-AQ21,IF(A22&lt;'Données projet'!$A$62,$AF$205^A22,IF(A22='Données projet'!$A$62,'Données projet'!$B$62,AI21+AH22-AQ21)))</f>
        <v>135.19999999999999</v>
      </c>
      <c r="AJ22" s="14">
        <f>AI22*VLOOKUP('Données projet'!$B$10,Paramètres!$A$1:$I$89,3,0)*VLOOKUP('Données projet'!$B$10,Paramètres!$A$1:$I$89,5,0)</f>
        <v>122.32895999999998</v>
      </c>
      <c r="AK22" s="14">
        <f t="shared" si="35"/>
        <v>32.217581794883031</v>
      </c>
      <c r="AL22" s="22">
        <f t="shared" si="4"/>
        <v>269.16856029275453</v>
      </c>
      <c r="AM22" s="62">
        <f t="shared" si="5"/>
        <v>562.50189362608785</v>
      </c>
      <c r="AN22" s="62">
        <f ca="1">AVERAGE(OFFSET($AM$3,0,0,'Données projet'!$E$10+1,1))-AVERAGE(OFFSET($H$3,0,0,'Données projet'!$E$10+1,1))</f>
        <v>249.70045432150511</v>
      </c>
      <c r="AO22" s="62">
        <f t="shared" si="36"/>
        <v>348.75012088192597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1.4137991136349228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3.3587479173859576</v>
      </c>
      <c r="AX22" s="23">
        <f t="shared" si="6"/>
        <v>4.7725470310208804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14</v>
      </c>
      <c r="N23" s="14">
        <f>IF('Données projet'!$A$36&gt;35,N22+M23-V22,IF(A23&lt;'Données projet'!$A$36,$K$205^A23,IF(A23='Données projet'!$A$36,'Données projet'!$B$36,N22+M23-V22)))</f>
        <v>110</v>
      </c>
      <c r="O23" s="14">
        <f>N23*VLOOKUP('Données projet'!$B$9,Paramètres!$A$1:$I$89,3,0)*VLOOKUP('Données projet'!$B$9,Paramètres!$A$1:$I$89,5,0)</f>
        <v>65.78</v>
      </c>
      <c r="P23" s="14">
        <f t="shared" si="33"/>
        <v>18.621720661480644</v>
      </c>
      <c r="Q23" s="22">
        <f t="shared" si="2"/>
        <v>146.99966348541213</v>
      </c>
      <c r="R23" s="62">
        <f t="shared" si="0"/>
        <v>440.33299681874541</v>
      </c>
      <c r="S23" s="62">
        <f ca="1">AVERAGE(OFFSET($R$3,0,0,'Données projet'!$E$9+1,1))-AVERAGE(OFFSET($H$3,0,0,'Données projet'!$E$9+1,1))</f>
        <v>150.6643110947133</v>
      </c>
      <c r="T23" s="62">
        <f t="shared" si="34"/>
        <v>231.70571415193996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9.8175862518519867</v>
      </c>
      <c r="AC23" s="24">
        <f t="shared" si="3"/>
        <v>9.8175862518519867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145</v>
      </c>
      <c r="AG23" s="13">
        <f>VLOOKUP(A23,'Données projet'!$A$61:$I$81,9,0)</f>
        <v>9.8000000000000007</v>
      </c>
      <c r="AH23" s="13">
        <f t="array" ref="AH23">INDEX(AG:AG,MIN(IF(ISNUMBER(AG23:AG219),ROW(AG23:AG219),"")))</f>
        <v>9.8000000000000007</v>
      </c>
      <c r="AI23" s="14">
        <f>IF('Données projet'!$A$62&gt;35,AI22+AH23-AQ22,IF(A23&lt;'Données projet'!$A$62,$AF$205^A23,IF(A23='Données projet'!$A$62,'Données projet'!$B$62,AI22+AH23-AQ22)))</f>
        <v>145</v>
      </c>
      <c r="AJ23" s="14">
        <f>AI23*VLOOKUP('Données projet'!$B$10,Paramètres!$A$1:$I$89,3,0)*VLOOKUP('Données projet'!$B$10,Paramètres!$A$1:$I$89,5,0)</f>
        <v>131.196</v>
      </c>
      <c r="AK23" s="14">
        <f t="shared" si="35"/>
        <v>34.272572346624997</v>
      </c>
      <c r="AL23" s="22">
        <f t="shared" si="4"/>
        <v>288.19109683703851</v>
      </c>
      <c r="AM23" s="62">
        <f t="shared" si="5"/>
        <v>581.52443017037183</v>
      </c>
      <c r="AN23" s="62">
        <f ca="1">AVERAGE(OFFSET($AM$3,0,0,'Données projet'!$E$10+1,1))-AVERAGE(OFFSET($H$3,0,0,'Données projet'!$E$10+1,1))</f>
        <v>249.70045432150511</v>
      </c>
      <c r="AO23" s="62">
        <f t="shared" si="36"/>
        <v>348.75012088192597</v>
      </c>
      <c r="AP23" s="16">
        <f>IF(ISNA(VLOOKUP(A23,'Données projet'!$A$61:$I$81,3,0)),0,VLOOKUP(A23,'Données projet'!$A$61:$I$81,3,0))</f>
        <v>4</v>
      </c>
      <c r="AQ23" s="16">
        <f>IF(ISNA(VLOOKUP(A23,'Données projet'!$A$61:$I$81,4,0)),0,VLOOKUP(A23,'Données projet'!$A$61:$I$81,4,0))</f>
        <v>14</v>
      </c>
      <c r="AR23" s="17">
        <f>IF(ISNA(VLOOKUP(A23,'Données projet'!$A$61:$I$81,5,0)),0%,VLOOKUP(A23,'Données projet'!$A$61:$I$81,5,0)*VLOOKUP('Données projet'!$B$10,Paramètres!$A$1:$I$89,7,0))</f>
        <v>0.15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0.5</v>
      </c>
      <c r="AU23" s="23">
        <f>EXP(-LN(2)/35)*AU22+(1-EXP(-LN(2)/35))/(LN(2)/35)*AQ23*AR23*VLOOKUP('Données projet'!$B$10,Paramètres!$A$1:$I$89,3,0)*0.475*44/12</f>
        <v>3.4865575340918209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8.3509154950244913</v>
      </c>
      <c r="AX23" s="23">
        <f t="shared" si="6"/>
        <v>11.837473029116312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14</v>
      </c>
      <c r="N24" s="14">
        <f>IF('Données projet'!$A$36&gt;35,N23+M24-V23,IF(A24&lt;'Données projet'!$A$36,$K$205^A24,IF(A24='Données projet'!$A$36,'Données projet'!$B$36,N23+M24-V23)))</f>
        <v>124</v>
      </c>
      <c r="O24" s="14">
        <f>N24*VLOOKUP('Données projet'!$B$9,Paramètres!$A$1:$I$89,3,0)*VLOOKUP('Données projet'!$B$9,Paramètres!$A$1:$I$89,5,0)</f>
        <v>74.152000000000001</v>
      </c>
      <c r="P24" s="14">
        <f t="shared" si="33"/>
        <v>20.701062284590879</v>
      </c>
      <c r="Q24" s="22">
        <f t="shared" si="2"/>
        <v>165.20241681232909</v>
      </c>
      <c r="R24" s="62">
        <f t="shared" si="0"/>
        <v>458.5357501456624</v>
      </c>
      <c r="S24" s="62">
        <f ca="1">AVERAGE(OFFSET($R$3,0,0,'Données projet'!$E$9+1,1))-AVERAGE(OFFSET($H$3,0,0,'Données projet'!$E$9+1,1))</f>
        <v>150.6643110947133</v>
      </c>
      <c r="T24" s="62">
        <f t="shared" si="34"/>
        <v>231.70571415193996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6.9420818135683602</v>
      </c>
      <c r="AC24" s="24">
        <f t="shared" si="3"/>
        <v>6.9420818135683602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8.4</v>
      </c>
      <c r="AI24" s="14">
        <f>IF('Données projet'!$A$62&gt;35,AI23+AH24-AQ23,IF(A24&lt;'Données projet'!$A$62,$AF$205^A24,IF(A24='Données projet'!$A$62,'Données projet'!$B$62,AI23+AH24-AQ23)))</f>
        <v>139.4</v>
      </c>
      <c r="AJ24" s="14">
        <f>AI24*VLOOKUP('Données projet'!$B$10,Paramètres!$A$1:$I$89,3,0)*VLOOKUP('Données projet'!$B$10,Paramètres!$A$1:$I$89,5,0)</f>
        <v>126.12912000000001</v>
      </c>
      <c r="AK24" s="14">
        <f t="shared" si="35"/>
        <v>33.100345121748241</v>
      </c>
      <c r="AL24" s="22">
        <f t="shared" si="4"/>
        <v>277.32465175371152</v>
      </c>
      <c r="AM24" s="62">
        <f t="shared" si="5"/>
        <v>570.65798508704484</v>
      </c>
      <c r="AN24" s="62">
        <f ca="1">AVERAGE(OFFSET($AM$3,0,0,'Données projet'!$E$10+1,1))-AVERAGE(OFFSET($H$3,0,0,'Données projet'!$E$10+1,1))</f>
        <v>249.70045432150511</v>
      </c>
      <c r="AO24" s="62">
        <f t="shared" si="36"/>
        <v>348.75012088192597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3.4181882674383925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5.9049889756476324</v>
      </c>
      <c r="AX24" s="23">
        <f t="shared" si="6"/>
        <v>9.3231772430860254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14</v>
      </c>
      <c r="N25" s="14">
        <f>IF('Données projet'!$A$36&gt;35,N24+M25-V24,IF(A25&lt;'Données projet'!$A$36,$K$205^A25,IF(A25='Données projet'!$A$36,'Données projet'!$B$36,N24+M25-V24)))</f>
        <v>138</v>
      </c>
      <c r="O25" s="14">
        <f>N25*VLOOKUP('Données projet'!$B$9,Paramètres!$A$1:$I$89,3,0)*VLOOKUP('Données projet'!$B$9,Paramètres!$A$1:$I$89,5,0)</f>
        <v>82.524000000000001</v>
      </c>
      <c r="P25" s="14">
        <f t="shared" si="33"/>
        <v>22.753195154502869</v>
      </c>
      <c r="Q25" s="22">
        <f t="shared" si="2"/>
        <v>183.35778156075915</v>
      </c>
      <c r="R25" s="62">
        <f t="shared" si="0"/>
        <v>476.69111489409249</v>
      </c>
      <c r="S25" s="62">
        <f ca="1">AVERAGE(OFFSET($R$3,0,0,'Données projet'!$E$9+1,1))-AVERAGE(OFFSET($H$3,0,0,'Données projet'!$E$9+1,1))</f>
        <v>150.6643110947133</v>
      </c>
      <c r="T25" s="62">
        <f t="shared" si="34"/>
        <v>231.70571415193996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4.9087931259259934</v>
      </c>
      <c r="AC25" s="24">
        <f t="shared" si="3"/>
        <v>4.9087931259259934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8.4</v>
      </c>
      <c r="AI25" s="14">
        <f>IF('Données projet'!$A$62&gt;35,AI24+AH25-AQ24,IF(A25&lt;'Données projet'!$A$62,$AF$205^A25,IF(A25='Données projet'!$A$62,'Données projet'!$B$62,AI24+AH25-AQ24)))</f>
        <v>147.80000000000001</v>
      </c>
      <c r="AJ25" s="14">
        <f>AI25*VLOOKUP('Données projet'!$B$10,Paramètres!$A$1:$I$89,3,0)*VLOOKUP('Données projet'!$B$10,Paramètres!$A$1:$I$89,5,0)</f>
        <v>133.72944000000001</v>
      </c>
      <c r="AK25" s="14">
        <f t="shared" si="35"/>
        <v>34.856699711744326</v>
      </c>
      <c r="AL25" s="22">
        <f t="shared" si="4"/>
        <v>293.62085999795471</v>
      </c>
      <c r="AM25" s="62">
        <f t="shared" si="5"/>
        <v>586.95419333128802</v>
      </c>
      <c r="AN25" s="62">
        <f ca="1">AVERAGE(OFFSET($AM$3,0,0,'Données projet'!$E$10+1,1))-AVERAGE(OFFSET($H$3,0,0,'Données projet'!$E$10+1,1))</f>
        <v>249.70045432150511</v>
      </c>
      <c r="AO25" s="62">
        <f t="shared" si="36"/>
        <v>348.75012088192597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3.3511596804029029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4.1754577475122456</v>
      </c>
      <c r="AX25" s="23">
        <f t="shared" si="6"/>
        <v>7.5266174279151485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14</v>
      </c>
      <c r="N26" s="14">
        <f>IF('Données projet'!$A$36&gt;35,N25+M26-V25,IF(A26&lt;'Données projet'!$A$36,$K$205^A26,IF(A26='Données projet'!$A$36,'Données projet'!$B$36,N25+M26-V25)))</f>
        <v>152</v>
      </c>
      <c r="O26" s="14">
        <f>N26*VLOOKUP('Données projet'!$B$9,Paramètres!$A$1:$I$89,3,0)*VLOOKUP('Données projet'!$B$9,Paramètres!$A$1:$I$89,5,0)</f>
        <v>90.896000000000001</v>
      </c>
      <c r="P26" s="14">
        <f t="shared" si="33"/>
        <v>24.781193872187952</v>
      </c>
      <c r="Q26" s="22">
        <f t="shared" si="2"/>
        <v>201.47111266072736</v>
      </c>
      <c r="R26" s="62">
        <f t="shared" si="0"/>
        <v>494.80444599406064</v>
      </c>
      <c r="S26" s="62">
        <f ca="1">AVERAGE(OFFSET($R$3,0,0,'Données projet'!$E$9+1,1))-AVERAGE(OFFSET($H$3,0,0,'Données projet'!$E$9+1,1))</f>
        <v>150.6643110947133</v>
      </c>
      <c r="T26" s="62">
        <f t="shared" si="34"/>
        <v>231.70571415193996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3.4710409067841801</v>
      </c>
      <c r="AC26" s="24">
        <f t="shared" si="3"/>
        <v>3.4710409067841801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8.4</v>
      </c>
      <c r="AI26" s="14">
        <f>IF('Données projet'!$A$62&gt;35,AI25+AH26-AQ25,IF(A26&lt;'Données projet'!$A$62,$AF$205^A26,IF(A26='Données projet'!$A$62,'Données projet'!$B$62,AI25+AH26-AQ25)))</f>
        <v>156.20000000000002</v>
      </c>
      <c r="AJ26" s="14">
        <f>AI26*VLOOKUP('Données projet'!$B$10,Paramètres!$A$1:$I$89,3,0)*VLOOKUP('Données projet'!$B$10,Paramètres!$A$1:$I$89,5,0)</f>
        <v>141.32976000000002</v>
      </c>
      <c r="AK26" s="14">
        <f t="shared" si="35"/>
        <v>36.601467030988793</v>
      </c>
      <c r="AL26" s="22">
        <f t="shared" si="4"/>
        <v>309.89688707897216</v>
      </c>
      <c r="AM26" s="62">
        <f t="shared" si="5"/>
        <v>603.23022041230547</v>
      </c>
      <c r="AN26" s="62">
        <f ca="1">AVERAGE(OFFSET($AM$3,0,0,'Données projet'!$E$10+1,1))-AVERAGE(OFFSET($H$3,0,0,'Données projet'!$E$10+1,1))</f>
        <v>249.70045432150511</v>
      </c>
      <c r="AO26" s="62">
        <f t="shared" si="36"/>
        <v>348.75012088192597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3.2854454830757782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2.9524944878238162</v>
      </c>
      <c r="AX26" s="23">
        <f t="shared" si="6"/>
        <v>6.2379399708995944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166</v>
      </c>
      <c r="L27" s="13">
        <f>VLOOKUP(A27,'Données projet'!$A$35:$I$55,9,0)</f>
        <v>14</v>
      </c>
      <c r="M27" s="13">
        <f t="array" ref="M27">INDEX(L:L,MIN(IF(ISNUMBER(L27:L223),ROW(L27:L223),"")))</f>
        <v>14</v>
      </c>
      <c r="N27" s="14">
        <f>IF('Données projet'!$A$36&gt;35,N26+M27-V26,IF(A27&lt;'Données projet'!$A$36,$K$205^A27,IF(A27='Données projet'!$A$36,'Données projet'!$B$36,N26+M27-V26)))</f>
        <v>166</v>
      </c>
      <c r="O27" s="14">
        <f>N27*VLOOKUP('Données projet'!$B$9,Paramètres!$A$1:$I$89,3,0)*VLOOKUP('Données projet'!$B$9,Paramètres!$A$1:$I$89,5,0)</f>
        <v>99.268000000000001</v>
      </c>
      <c r="P27" s="14">
        <f t="shared" si="33"/>
        <v>26.78753414535981</v>
      </c>
      <c r="Q27" s="22">
        <f t="shared" si="2"/>
        <v>219.54672196983498</v>
      </c>
      <c r="R27" s="62">
        <f t="shared" si="0"/>
        <v>512.88005530316832</v>
      </c>
      <c r="S27" s="62">
        <f ca="1">AVERAGE(OFFSET($R$3,0,0,'Données projet'!$E$9+1,1))-AVERAGE(OFFSET($H$3,0,0,'Données projet'!$E$9+1,1))</f>
        <v>150.6643110947133</v>
      </c>
      <c r="T27" s="62">
        <f t="shared" si="34"/>
        <v>231.70571415193996</v>
      </c>
      <c r="U27" s="16">
        <f>IF(ISNA(VLOOKUP(A27,'Données projet'!$A$35:$I$55,3,0)),0,VLOOKUP(A27,'Données projet'!$A$35:$I$55,3,0))</f>
        <v>2</v>
      </c>
      <c r="V27" s="16">
        <f>IF(ISNA(VLOOKUP(A27,'Données projet'!$A$35:$I$55,4,0)),0,VLOOKUP(A27,'Données projet'!$A$35:$I$55,4,0))</f>
        <v>38</v>
      </c>
      <c r="W27" s="17">
        <f>IF(ISNA(VLOOKUP(A27,'Données projet'!$A$35:$I$55,5,0)),0%,VLOOKUP(A27,'Données projet'!$A$35:$I$55,5,0)*VLOOKUP('Données projet'!$B$9,Paramètres!$A$1:$I$89,7,0))</f>
        <v>9.0000000000000011E-2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0.8</v>
      </c>
      <c r="Z27" s="23">
        <f>EXP(-LN(2)/35)*Z26+(1-EXP(-LN(2)/35))/(LN(2)/35)*V27*W27*VLOOKUP('Données projet'!$B$9,Paramètres!$A$1:$I$89,3,0)*0.475*44/12</f>
        <v>2.7130365616867302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23.037473946156126</v>
      </c>
      <c r="AC27" s="24">
        <f t="shared" si="3"/>
        <v>25.750510507842858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8.4</v>
      </c>
      <c r="AI27" s="14">
        <f>IF('Données projet'!$A$62&gt;35,AI26+AH27-AQ26,IF(A27&lt;'Données projet'!$A$62,$AF$205^A27,IF(A27='Données projet'!$A$62,'Données projet'!$B$62,AI26+AH27-AQ26)))</f>
        <v>164.60000000000002</v>
      </c>
      <c r="AJ27" s="14">
        <f>AI27*VLOOKUP('Données projet'!$B$10,Paramètres!$A$1:$I$89,3,0)*VLOOKUP('Données projet'!$B$10,Paramètres!$A$1:$I$89,5,0)</f>
        <v>148.93008</v>
      </c>
      <c r="AK27" s="14">
        <f t="shared" si="35"/>
        <v>38.335341256889777</v>
      </c>
      <c r="AL27" s="22">
        <f t="shared" si="4"/>
        <v>326.1539420224164</v>
      </c>
      <c r="AM27" s="62">
        <f t="shared" si="5"/>
        <v>619.48727535574972</v>
      </c>
      <c r="AN27" s="62">
        <f ca="1">AVERAGE(OFFSET($AM$3,0,0,'Données projet'!$E$10+1,1))-AVERAGE(OFFSET($H$3,0,0,'Données projet'!$E$10+1,1))</f>
        <v>249.70045432150511</v>
      </c>
      <c r="AO27" s="62">
        <f t="shared" si="36"/>
        <v>348.75012088192597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3.2210199010765357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2.0877288737561228</v>
      </c>
      <c r="AX27" s="23">
        <f t="shared" si="6"/>
        <v>5.3087487748326581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12.833333333333334</v>
      </c>
      <c r="N28" s="14">
        <f>IF('Données projet'!$A$36&gt;35,N27+M28-V27,IF(A28&lt;'Données projet'!$A$36,$K$205^A28,IF(A28='Données projet'!$A$36,'Données projet'!$B$36,N27+M28-V27)))</f>
        <v>140.83333333333334</v>
      </c>
      <c r="O28" s="14">
        <f>N28*VLOOKUP('Données projet'!$B$9,Paramètres!$A$1:$I$89,3,0)*VLOOKUP('Données projet'!$B$9,Paramètres!$A$1:$I$89,5,0)</f>
        <v>84.218333333333348</v>
      </c>
      <c r="P28" s="14">
        <f t="shared" si="33"/>
        <v>23.165483776806148</v>
      </c>
      <c r="Q28" s="22">
        <f t="shared" si="2"/>
        <v>187.0268148001596</v>
      </c>
      <c r="R28" s="62">
        <f t="shared" si="0"/>
        <v>480.36014813349288</v>
      </c>
      <c r="S28" s="62">
        <f ca="1">AVERAGE(OFFSET($R$3,0,0,'Données projet'!$E$9+1,1))-AVERAGE(OFFSET($H$3,0,0,'Données projet'!$E$9+1,1))</f>
        <v>150.6643110947133</v>
      </c>
      <c r="T28" s="62">
        <f t="shared" si="34"/>
        <v>231.70571415193996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2.6598355695009595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16.28995404873541</v>
      </c>
      <c r="AC28" s="24">
        <f t="shared" si="3"/>
        <v>18.94978961823637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173</v>
      </c>
      <c r="AG28" s="13">
        <f>VLOOKUP(A28,'Données projet'!$A$61:$I$81,9,0)</f>
        <v>8.4</v>
      </c>
      <c r="AH28" s="13">
        <f t="array" ref="AH28">INDEX(AG:AG,MIN(IF(ISNUMBER(AG28:AG224),ROW(AG28:AG224),"")))</f>
        <v>8.4</v>
      </c>
      <c r="AI28" s="14">
        <f>IF('Données projet'!$A$62&gt;35,AI27+AH28-AQ27,IF(A28&lt;'Données projet'!$A$62,$AF$205^A28,IF(A28='Données projet'!$A$62,'Données projet'!$B$62,AI27+AH28-AQ27)))</f>
        <v>173.00000000000003</v>
      </c>
      <c r="AJ28" s="14">
        <f>AI28*VLOOKUP('Données projet'!$B$10,Paramètres!$A$1:$I$89,3,0)*VLOOKUP('Données projet'!$B$10,Paramètres!$A$1:$I$89,5,0)</f>
        <v>156.53040000000001</v>
      </c>
      <c r="AK28" s="14">
        <f t="shared" si="35"/>
        <v>40.058941713182037</v>
      </c>
      <c r="AL28" s="22">
        <f t="shared" si="4"/>
        <v>342.39310348379212</v>
      </c>
      <c r="AM28" s="62">
        <f t="shared" si="5"/>
        <v>635.72643681712543</v>
      </c>
      <c r="AN28" s="62">
        <f ca="1">AVERAGE(OFFSET($AM$3,0,0,'Données projet'!$E$10+1,1))-AVERAGE(OFFSET($H$3,0,0,'Données projet'!$E$10+1,1))</f>
        <v>249.70045432150511</v>
      </c>
      <c r="AO28" s="62">
        <f t="shared" si="36"/>
        <v>348.75012088192597</v>
      </c>
      <c r="AP28" s="16">
        <f>IF(ISNA(VLOOKUP(A28,'Données projet'!$A$61:$I$81,3,0)),0,VLOOKUP(A28,'Données projet'!$A$61:$I$81,3,0))</f>
        <v>5</v>
      </c>
      <c r="AQ28" s="16">
        <f>IF(ISNA(VLOOKUP(A28,'Données projet'!$A$61:$I$81,4,0)),0,VLOOKUP(A28,'Données projet'!$A$61:$I$81,4,0))</f>
        <v>11</v>
      </c>
      <c r="AR28" s="17">
        <f>IF(ISNA(VLOOKUP(A28,'Données projet'!$A$61:$I$81,5,0)),0%,VLOOKUP(A28,'Données projet'!$A$61:$I$81,5,0)*VLOOKUP('Données projet'!$B$10,Paramètres!$A$1:$I$89,7,0))</f>
        <v>0.18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0.4</v>
      </c>
      <c r="AU28" s="23">
        <f>EXP(-LN(2)/35)*AU27+(1-EXP(-LN(2)/35))/(LN(2)/35)*AQ28*AR28*VLOOKUP('Données projet'!$B$10,Paramètres!$A$1:$I$89,3,0)*0.475*44/12</f>
        <v>5.1383122722593715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5.232541114185711</v>
      </c>
      <c r="AX28" s="23">
        <f t="shared" si="6"/>
        <v>10.370853386445082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12.833333333333334</v>
      </c>
      <c r="N29" s="14">
        <f>IF('Données projet'!$A$36&gt;35,N28+M29-V28,IF(A29&lt;'Données projet'!$A$36,$K$205^A29,IF(A29='Données projet'!$A$36,'Données projet'!$B$36,N28+M29-V28)))</f>
        <v>153.66666666666669</v>
      </c>
      <c r="O29" s="14">
        <f>N29*VLOOKUP('Données projet'!$B$9,Paramètres!$A$1:$I$89,3,0)*VLOOKUP('Données projet'!$B$9,Paramètres!$A$1:$I$89,5,0)</f>
        <v>91.892666666666685</v>
      </c>
      <c r="P29" s="14">
        <f t="shared" si="33"/>
        <v>25.021136263266175</v>
      </c>
      <c r="Q29" s="22">
        <f t="shared" si="2"/>
        <v>203.62487343629971</v>
      </c>
      <c r="R29" s="62">
        <f t="shared" si="0"/>
        <v>496.95820676963302</v>
      </c>
      <c r="S29" s="62">
        <f ca="1">AVERAGE(OFFSET($R$3,0,0,'Données projet'!$E$9+1,1))-AVERAGE(OFFSET($H$3,0,0,'Données projet'!$E$9+1,1))</f>
        <v>150.6643110947133</v>
      </c>
      <c r="T29" s="62">
        <f t="shared" si="34"/>
        <v>231.70571415193996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2.6076778163225502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11.518736973078065</v>
      </c>
      <c r="AC29" s="24">
        <f t="shared" si="3"/>
        <v>14.126414789400615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6.8</v>
      </c>
      <c r="AI29" s="14">
        <f>IF('Données projet'!$A$62&gt;35,AI28+AH29-AQ28,IF(A29&lt;'Données projet'!$A$62,$AF$205^A29,IF(A29='Données projet'!$A$62,'Données projet'!$B$62,AI28+AH29-AQ28)))</f>
        <v>168.80000000000004</v>
      </c>
      <c r="AJ29" s="14">
        <f>AI29*VLOOKUP('Données projet'!$B$10,Paramètres!$A$1:$I$89,3,0)*VLOOKUP('Données projet'!$B$10,Paramètres!$A$1:$I$89,5,0)</f>
        <v>152.73024000000001</v>
      </c>
      <c r="AK29" s="14">
        <f t="shared" si="35"/>
        <v>39.198389597047516</v>
      </c>
      <c r="AL29" s="22">
        <f t="shared" si="4"/>
        <v>334.27569654819109</v>
      </c>
      <c r="AM29" s="62">
        <f t="shared" si="5"/>
        <v>627.60902988152441</v>
      </c>
      <c r="AN29" s="62">
        <f ca="1">AVERAGE(OFFSET($AM$3,0,0,'Données projet'!$E$10+1,1))-AVERAGE(OFFSET($H$3,0,0,'Données projet'!$E$10+1,1))</f>
        <v>249.70045432150511</v>
      </c>
      <c r="AO29" s="62">
        <f t="shared" si="36"/>
        <v>348.75012088192597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5.0375531026613887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3.6999653046781296</v>
      </c>
      <c r="AX29" s="23">
        <f t="shared" si="6"/>
        <v>8.7375184073395182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12.833333333333334</v>
      </c>
      <c r="N30" s="14">
        <f>IF('Données projet'!$A$36&gt;35,N29+M30-V29,IF(A30&lt;'Données projet'!$A$36,$K$205^A30,IF(A30='Données projet'!$A$36,'Données projet'!$B$36,N29+M30-V29)))</f>
        <v>166.50000000000003</v>
      </c>
      <c r="O30" s="14">
        <f>N30*VLOOKUP('Données projet'!$B$9,Paramètres!$A$1:$I$89,3,0)*VLOOKUP('Données projet'!$B$9,Paramètres!$A$1:$I$89,5,0)</f>
        <v>99.567000000000021</v>
      </c>
      <c r="P30" s="14">
        <f t="shared" si="33"/>
        <v>26.858815231289142</v>
      </c>
      <c r="Q30" s="22">
        <f t="shared" si="2"/>
        <v>220.19162819449528</v>
      </c>
      <c r="R30" s="62">
        <f t="shared" si="0"/>
        <v>513.52496152782862</v>
      </c>
      <c r="S30" s="62">
        <f ca="1">AVERAGE(OFFSET($R$3,0,0,'Données projet'!$E$9+1,1))-AVERAGE(OFFSET($H$3,0,0,'Données projet'!$E$9+1,1))</f>
        <v>150.6643110947133</v>
      </c>
      <c r="T30" s="62">
        <f t="shared" si="34"/>
        <v>231.70571415193996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2.5565428448708816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8.1449770243677069</v>
      </c>
      <c r="AC30" s="24">
        <f t="shared" si="3"/>
        <v>10.701519869238588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6.8</v>
      </c>
      <c r="AI30" s="14">
        <f>IF('Données projet'!$A$62&gt;35,AI29+AH30-AQ29,IF(A30&lt;'Données projet'!$A$62,$AF$205^A30,IF(A30='Données projet'!$A$62,'Données projet'!$B$62,AI29+AH30-AQ29)))</f>
        <v>175.60000000000005</v>
      </c>
      <c r="AJ30" s="14">
        <f>AI30*VLOOKUP('Données projet'!$B$10,Paramètres!$A$1:$I$89,3,0)*VLOOKUP('Données projet'!$B$10,Paramètres!$A$1:$I$89,5,0)</f>
        <v>158.88288000000006</v>
      </c>
      <c r="AK30" s="14">
        <f t="shared" si="35"/>
        <v>40.590443217000178</v>
      </c>
      <c r="AL30" s="22">
        <f t="shared" si="4"/>
        <v>347.41603793627536</v>
      </c>
      <c r="AM30" s="62">
        <f t="shared" si="5"/>
        <v>640.74937126960867</v>
      </c>
      <c r="AN30" s="62">
        <f ca="1">AVERAGE(OFFSET($AM$3,0,0,'Données projet'!$E$10+1,1))-AVERAGE(OFFSET($H$3,0,0,'Données projet'!$E$10+1,1))</f>
        <v>249.70045432150511</v>
      </c>
      <c r="AO30" s="62">
        <f t="shared" si="36"/>
        <v>348.75012088192597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4.9387697589221968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2.6162705570928559</v>
      </c>
      <c r="AX30" s="23">
        <f t="shared" si="6"/>
        <v>7.5550403160150523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12.833333333333334</v>
      </c>
      <c r="N31" s="14">
        <f>IF('Données projet'!$A$36&gt;35,N30+M31-V30,IF(A31&lt;'Données projet'!$A$36,$K$205^A31,IF(A31='Données projet'!$A$36,'Données projet'!$B$36,N30+M31-V30)))</f>
        <v>179.33333333333337</v>
      </c>
      <c r="O31" s="14">
        <f>N31*VLOOKUP('Données projet'!$B$9,Paramètres!$A$1:$I$89,3,0)*VLOOKUP('Données projet'!$B$9,Paramètres!$A$1:$I$89,5,0)</f>
        <v>107.24133333333336</v>
      </c>
      <c r="P31" s="14">
        <f t="shared" si="33"/>
        <v>28.680063538962813</v>
      </c>
      <c r="Q31" s="22">
        <f t="shared" si="2"/>
        <v>236.72976621924911</v>
      </c>
      <c r="R31" s="62">
        <f t="shared" si="0"/>
        <v>530.06309955258246</v>
      </c>
      <c r="S31" s="62">
        <f ca="1">AVERAGE(OFFSET($R$3,0,0,'Données projet'!$E$9+1,1))-AVERAGE(OFFSET($H$3,0,0,'Données projet'!$E$9+1,1))</f>
        <v>150.6643110947133</v>
      </c>
      <c r="T31" s="62">
        <f t="shared" si="34"/>
        <v>231.70571415193996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2.5064105990201271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5.7593684865390333</v>
      </c>
      <c r="AC31" s="24">
        <f t="shared" si="3"/>
        <v>8.26577908555916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6.8</v>
      </c>
      <c r="AI31" s="14">
        <f>IF('Données projet'!$A$62&gt;35,AI30+AH31-AQ30,IF(A31&lt;'Données projet'!$A$62,$AF$205^A31,IF(A31='Données projet'!$A$62,'Données projet'!$B$62,AI30+AH31-AQ30)))</f>
        <v>182.40000000000006</v>
      </c>
      <c r="AJ31" s="14">
        <f>AI31*VLOOKUP('Données projet'!$B$10,Paramètres!$A$1:$I$89,3,0)*VLOOKUP('Données projet'!$B$10,Paramètres!$A$1:$I$89,5,0)</f>
        <v>165.03552000000005</v>
      </c>
      <c r="AK31" s="14">
        <f t="shared" si="35"/>
        <v>41.976234598846517</v>
      </c>
      <c r="AL31" s="22">
        <f t="shared" si="4"/>
        <v>360.54547259299108</v>
      </c>
      <c r="AM31" s="62">
        <f t="shared" si="5"/>
        <v>653.87880592632439</v>
      </c>
      <c r="AN31" s="62">
        <f ca="1">AVERAGE(OFFSET($AM$3,0,0,'Données projet'!$E$10+1,1))-AVERAGE(OFFSET($H$3,0,0,'Données projet'!$E$10+1,1))</f>
        <v>249.70045432150511</v>
      </c>
      <c r="AO31" s="62">
        <f t="shared" si="36"/>
        <v>348.75012088192597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4.84192349630184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1.849982652339065</v>
      </c>
      <c r="AX31" s="23">
        <f t="shared" si="6"/>
        <v>6.6919061486409053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12.833333333333334</v>
      </c>
      <c r="N32" s="14">
        <f>IF('Données projet'!$A$36&gt;35,N31+M32-V31,IF(A32&lt;'Données projet'!$A$36,$K$205^A32,IF(A32='Données projet'!$A$36,'Données projet'!$B$36,N31+M32-V31)))</f>
        <v>192.16666666666671</v>
      </c>
      <c r="O32" s="14">
        <f>N32*VLOOKUP('Données projet'!$B$9,Paramètres!$A$1:$I$89,3,0)*VLOOKUP('Données projet'!$B$9,Paramètres!$A$1:$I$89,5,0)</f>
        <v>114.9156666666667</v>
      </c>
      <c r="P32" s="14">
        <f t="shared" si="33"/>
        <v>30.486190713157598</v>
      </c>
      <c r="Q32" s="22">
        <f t="shared" si="2"/>
        <v>253.24156826986064</v>
      </c>
      <c r="R32" s="62">
        <f t="shared" si="0"/>
        <v>546.57490160319389</v>
      </c>
      <c r="S32" s="62">
        <f ca="1">AVERAGE(OFFSET($R$3,0,0,'Données projet'!$E$9+1,1))-AVERAGE(OFFSET($H$3,0,0,'Données projet'!$E$9+1,1))</f>
        <v>150.6643110947133</v>
      </c>
      <c r="T32" s="62">
        <f t="shared" si="34"/>
        <v>231.70571415193996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2.4572614159328552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4.0724885121838543</v>
      </c>
      <c r="AC32" s="24">
        <f t="shared" si="3"/>
        <v>6.5297499281167095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6.8</v>
      </c>
      <c r="AI32" s="14">
        <f>IF('Données projet'!$A$62&gt;35,AI31+AH32-AQ31,IF(A32&lt;'Données projet'!$A$62,$AF$205^A32,IF(A32='Données projet'!$A$62,'Données projet'!$B$62,AI31+AH32-AQ31)))</f>
        <v>189.20000000000007</v>
      </c>
      <c r="AJ32" s="14">
        <f>AI32*VLOOKUP('Données projet'!$B$10,Paramètres!$A$1:$I$89,3,0)*VLOOKUP('Données projet'!$B$10,Paramètres!$A$1:$I$89,5,0)</f>
        <v>171.18816000000007</v>
      </c>
      <c r="AK32" s="14">
        <f t="shared" si="35"/>
        <v>43.356023936000852</v>
      </c>
      <c r="AL32" s="22">
        <f t="shared" si="4"/>
        <v>373.66445368853493</v>
      </c>
      <c r="AM32" s="62">
        <f t="shared" si="5"/>
        <v>666.99778702186825</v>
      </c>
      <c r="AN32" s="62">
        <f ca="1">AVERAGE(OFFSET($AM$3,0,0,'Données projet'!$E$10+1,1))-AVERAGE(OFFSET($H$3,0,0,'Données projet'!$E$10+1,1))</f>
        <v>249.70045432150511</v>
      </c>
      <c r="AO32" s="62">
        <f t="shared" si="36"/>
        <v>348.75012088192597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4.7469763298210816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1.3081352785464282</v>
      </c>
      <c r="AX32" s="23">
        <f t="shared" si="6"/>
        <v>6.0551116083675094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205</v>
      </c>
      <c r="L33" s="13">
        <f>VLOOKUP(A33,'Données projet'!$A$35:$I$55,9,0)</f>
        <v>12.833333333333334</v>
      </c>
      <c r="M33" s="13">
        <f t="array" ref="M33">INDEX(L:L,MIN(IF(ISNUMBER(L33:L229),ROW(L33:L229),"")))</f>
        <v>12.833333333333334</v>
      </c>
      <c r="N33" s="14">
        <f>IF('Données projet'!$A$36&gt;35,N32+M33-V32,IF(A33&lt;'Données projet'!$A$36,$K$205^A33,IF(A33='Données projet'!$A$36,'Données projet'!$B$36,N32+M33-V32)))</f>
        <v>205.00000000000006</v>
      </c>
      <c r="O33" s="14">
        <f>N33*VLOOKUP('Données projet'!$B$9,Paramètres!$A$1:$I$89,3,0)*VLOOKUP('Données projet'!$B$9,Paramètres!$A$1:$I$89,5,0)</f>
        <v>122.59000000000003</v>
      </c>
      <c r="P33" s="14">
        <f t="shared" si="33"/>
        <v>32.278321478706822</v>
      </c>
      <c r="Q33" s="22">
        <f t="shared" si="2"/>
        <v>269.72899324208112</v>
      </c>
      <c r="R33" s="62">
        <f t="shared" si="0"/>
        <v>563.06232657541443</v>
      </c>
      <c r="S33" s="62">
        <f ca="1">AVERAGE(OFFSET($R$3,0,0,'Données projet'!$E$9+1,1))-AVERAGE(OFFSET($H$3,0,0,'Données projet'!$E$9+1,1))</f>
        <v>150.6643110947133</v>
      </c>
      <c r="T33" s="62">
        <f t="shared" si="34"/>
        <v>231.70571415193996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47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0.6</v>
      </c>
      <c r="Z33" s="23">
        <f>EXP(-LN(2)/35)*Z32+(1-EXP(-LN(2)/35))/(LN(2)/35)*V33*W33*VLOOKUP('Données projet'!$B$9,Paramètres!$A$1:$I$89,3,0)*0.475*44/12</f>
        <v>9.1202717235729533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21.973196815836829</v>
      </c>
      <c r="AC33" s="24">
        <f t="shared" si="3"/>
        <v>31.093468539409784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196</v>
      </c>
      <c r="AG33" s="13">
        <f>VLOOKUP(A33,'Données projet'!$A$61:$I$81,9,0)</f>
        <v>6.8</v>
      </c>
      <c r="AH33" s="13">
        <f t="array" ref="AH33">INDEX(AG:AG,MIN(IF(ISNUMBER(AG33:AG229),ROW(AG33:AG229),"")))</f>
        <v>6.8</v>
      </c>
      <c r="AI33" s="14">
        <f>IF('Données projet'!$A$62&gt;35,AI32+AH33-AQ32,IF(A33&lt;'Données projet'!$A$62,$AF$205^A33,IF(A33='Données projet'!$A$62,'Données projet'!$B$62,AI32+AH33-AQ32)))</f>
        <v>196.00000000000009</v>
      </c>
      <c r="AJ33" s="14">
        <f>AI33*VLOOKUP('Données projet'!$B$10,Paramètres!$A$1:$I$89,3,0)*VLOOKUP('Données projet'!$B$10,Paramètres!$A$1:$I$89,5,0)</f>
        <v>177.34080000000006</v>
      </c>
      <c r="AK33" s="14">
        <f t="shared" si="35"/>
        <v>44.730051658603102</v>
      </c>
      <c r="AL33" s="22">
        <f t="shared" si="4"/>
        <v>386.77339997206712</v>
      </c>
      <c r="AM33" s="62">
        <f t="shared" si="5"/>
        <v>680.10673330540044</v>
      </c>
      <c r="AN33" s="62">
        <f ca="1">AVERAGE(OFFSET($AM$3,0,0,'Données projet'!$E$10+1,1))-AVERAGE(OFFSET($H$3,0,0,'Données projet'!$E$10+1,1))</f>
        <v>249.70045432150511</v>
      </c>
      <c r="AO33" s="62">
        <f t="shared" si="36"/>
        <v>348.75012088192597</v>
      </c>
      <c r="AP33" s="16">
        <f>IF(ISNA(VLOOKUP(A33,'Données projet'!$A$61:$I$81,3,0)),0,VLOOKUP(A33,'Données projet'!$A$61:$I$81,3,0))</f>
        <v>6</v>
      </c>
      <c r="AQ33" s="16">
        <f>IF(ISNA(VLOOKUP(A33,'Données projet'!$A$61:$I$81,4,0)),0,VLOOKUP(A33,'Données projet'!$A$61:$I$81,4,0))</f>
        <v>9</v>
      </c>
      <c r="AR33" s="17">
        <f>IF(ISNA(VLOOKUP(A33,'Données projet'!$A$61:$I$81,5,0)),0%,VLOOKUP(A33,'Données projet'!$A$61:$I$81,5,0)*VLOOKUP('Données projet'!$B$10,Paramètres!$A$1:$I$89,7,0))</f>
        <v>0.24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6.8143869540700095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2.4616570003724521</v>
      </c>
      <c r="AX33" s="23">
        <f t="shared" si="6"/>
        <v>9.2760439544424607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10.7</v>
      </c>
      <c r="N34" s="14">
        <f>IF('Données projet'!$A$36&gt;35,N33+M34-V33,IF(A34&lt;'Données projet'!$A$36,$K$205^A34,IF(A34='Données projet'!$A$36,'Données projet'!$B$36,N33+M34-V33)))</f>
        <v>168.70000000000005</v>
      </c>
      <c r="O34" s="14">
        <f>N34*VLOOKUP('Données projet'!$B$9,Paramètres!$A$1:$I$89,3,0)*VLOOKUP('Données projet'!$B$9,Paramètres!$A$1:$I$89,5,0)</f>
        <v>100.88260000000002</v>
      </c>
      <c r="P34" s="14">
        <f t="shared" si="33"/>
        <v>27.172157172029827</v>
      </c>
      <c r="Q34" s="22">
        <f t="shared" si="2"/>
        <v>223.02870207461862</v>
      </c>
      <c r="R34" s="62">
        <f t="shared" si="0"/>
        <v>516.36203540795191</v>
      </c>
      <c r="S34" s="62">
        <f ca="1">AVERAGE(OFFSET($R$3,0,0,'Données projet'!$E$9+1,1))-AVERAGE(OFFSET($H$3,0,0,'Données projet'!$E$9+1,1))</f>
        <v>150.6643110947133</v>
      </c>
      <c r="T34" s="62">
        <f t="shared" si="34"/>
        <v>231.70571415193996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8.9414287578901561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15.537396472824877</v>
      </c>
      <c r="AC34" s="24">
        <f t="shared" si="3"/>
        <v>24.478825230715032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5.8</v>
      </c>
      <c r="AI34" s="14">
        <f>IF('Données projet'!$A$62&gt;35,AI33+AH34-AQ33,IF(A34&lt;'Données projet'!$A$62,$AF$205^A34,IF(A34='Données projet'!$A$62,'Données projet'!$B$62,AI33+AH34-AQ33)))</f>
        <v>192.8000000000001</v>
      </c>
      <c r="AJ34" s="14">
        <f>AI34*VLOOKUP('Données projet'!$B$10,Paramètres!$A$1:$I$89,3,0)*VLOOKUP('Données projet'!$B$10,Paramètres!$A$1:$I$89,5,0)</f>
        <v>174.4454400000001</v>
      </c>
      <c r="AK34" s="14">
        <f t="shared" si="35"/>
        <v>44.084153549607706</v>
      </c>
      <c r="AL34" s="22">
        <f t="shared" si="4"/>
        <v>380.60570876556693</v>
      </c>
      <c r="AM34" s="62">
        <f t="shared" si="5"/>
        <v>673.93904209890025</v>
      </c>
      <c r="AN34" s="62">
        <f ca="1">AVERAGE(OFFSET($AM$3,0,0,'Données projet'!$E$10+1,1))-AVERAGE(OFFSET($H$3,0,0,'Données projet'!$E$10+1,1))</f>
        <v>249.70045432150511</v>
      </c>
      <c r="AO34" s="62">
        <f t="shared" si="36"/>
        <v>348.75012088192597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6.6807609822663316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1.7406543579186966</v>
      </c>
      <c r="AX34" s="23">
        <f t="shared" si="6"/>
        <v>8.4214153401850282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10.7</v>
      </c>
      <c r="N35" s="14">
        <f>IF('Données projet'!$A$36&gt;35,N34+M35-V34,IF(A35&lt;'Données projet'!$A$36,$K$205^A35,IF(A35='Données projet'!$A$36,'Données projet'!$B$36,N34+M35-V34)))</f>
        <v>179.40000000000003</v>
      </c>
      <c r="O35" s="14">
        <f>N35*VLOOKUP('Données projet'!$B$9,Paramètres!$A$1:$I$89,3,0)*VLOOKUP('Données projet'!$B$9,Paramètres!$A$1:$I$89,5,0)</f>
        <v>107.28120000000003</v>
      </c>
      <c r="P35" s="14">
        <f t="shared" si="33"/>
        <v>28.689484043027395</v>
      </c>
      <c r="Q35" s="22">
        <f t="shared" ref="Q35:Q66" si="53">(O35+P35)*0.475*44/12</f>
        <v>236.81560804160608</v>
      </c>
      <c r="R35" s="62">
        <f t="shared" si="0"/>
        <v>530.14894137493934</v>
      </c>
      <c r="S35" s="62">
        <f ca="1">AVERAGE(OFFSET($R$3,0,0,'Données projet'!$E$9+1,1))-AVERAGE(OFFSET($H$3,0,0,'Données projet'!$E$9+1,1))</f>
        <v>150.6643110947133</v>
      </c>
      <c r="T35" s="62">
        <f t="shared" si="34"/>
        <v>231.70571415193996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8.7660927936809614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10.986598407918416</v>
      </c>
      <c r="AC35" s="24">
        <f t="shared" si="3"/>
        <v>19.752691201599376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5.8</v>
      </c>
      <c r="AI35" s="14">
        <f>IF('Données projet'!$A$62&gt;35,AI34+AH35-AQ34,IF(A35&lt;'Données projet'!$A$62,$AF$205^A35,IF(A35='Données projet'!$A$62,'Données projet'!$B$62,AI34+AH35-AQ34)))</f>
        <v>198.60000000000011</v>
      </c>
      <c r="AJ35" s="14">
        <f>AI35*VLOOKUP('Données projet'!$B$10,Paramètres!$A$1:$I$89,3,0)*VLOOKUP('Données projet'!$B$10,Paramètres!$A$1:$I$89,5,0)</f>
        <v>179.6932800000001</v>
      </c>
      <c r="AK35" s="14">
        <f t="shared" si="35"/>
        <v>45.253939845742352</v>
      </c>
      <c r="AL35" s="22">
        <f t="shared" si="4"/>
        <v>391.78307456466808</v>
      </c>
      <c r="AM35" s="62">
        <f t="shared" si="5"/>
        <v>685.1164078980014</v>
      </c>
      <c r="AN35" s="62">
        <f ca="1">AVERAGE(OFFSET($AM$3,0,0,'Données projet'!$E$10+1,1))-AVERAGE(OFFSET($H$3,0,0,'Données projet'!$E$10+1,1))</f>
        <v>249.70045432150511</v>
      </c>
      <c r="AO35" s="62">
        <f t="shared" si="36"/>
        <v>348.75012088192597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6.5497553342659289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1.2308285001862262</v>
      </c>
      <c r="AX35" s="23">
        <f t="shared" si="6"/>
        <v>7.7805838344521554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10.7</v>
      </c>
      <c r="N36" s="14">
        <f>IF('Données projet'!$A$36&gt;35,N35+M36-V35,IF(A36&lt;'Données projet'!$A$36,$K$205^A36,IF(A36='Données projet'!$A$36,'Données projet'!$B$36,N35+M36-V35)))</f>
        <v>190.10000000000002</v>
      </c>
      <c r="O36" s="14">
        <f>N36*VLOOKUP('Données projet'!$B$9,Paramètres!$A$1:$I$89,3,0)*VLOOKUP('Données projet'!$B$9,Paramètres!$A$1:$I$89,5,0)</f>
        <v>113.67980000000001</v>
      </c>
      <c r="P36" s="14">
        <f t="shared" si="33"/>
        <v>30.19630681882758</v>
      </c>
      <c r="Q36" s="22">
        <f t="shared" si="53"/>
        <v>250.58421937612471</v>
      </c>
      <c r="R36" s="62">
        <f t="shared" si="0"/>
        <v>543.91755270945805</v>
      </c>
      <c r="S36" s="62">
        <f ca="1">AVERAGE(OFFSET($R$3,0,0,'Données projet'!$E$9+1,1))-AVERAGE(OFFSET($H$3,0,0,'Données projet'!$E$9+1,1))</f>
        <v>150.6643110947133</v>
      </c>
      <c r="T36" s="62">
        <f t="shared" si="34"/>
        <v>231.70571415193996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8.5941950607855304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7.7686982364124395</v>
      </c>
      <c r="AC36" s="24">
        <f t="shared" si="3"/>
        <v>16.362893297197971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5.8</v>
      </c>
      <c r="AI36" s="14">
        <f>IF('Données projet'!$A$62&gt;35,AI35+AH36-AQ35,IF(A36&lt;'Données projet'!$A$62,$AF$205^A36,IF(A36='Données projet'!$A$62,'Données projet'!$B$62,AI35+AH36-AQ35)))</f>
        <v>204.40000000000012</v>
      </c>
      <c r="AJ36" s="14">
        <f>AI36*VLOOKUP('Données projet'!$B$10,Paramètres!$A$1:$I$89,3,0)*VLOOKUP('Données projet'!$B$10,Paramètres!$A$1:$I$89,5,0)</f>
        <v>184.9411200000001</v>
      </c>
      <c r="AK36" s="14">
        <f t="shared" si="35"/>
        <v>46.419755730249477</v>
      </c>
      <c r="AL36" s="22">
        <f t="shared" si="4"/>
        <v>402.95352523018465</v>
      </c>
      <c r="AM36" s="62">
        <f t="shared" si="5"/>
        <v>696.28685856351797</v>
      </c>
      <c r="AN36" s="62">
        <f ca="1">AVERAGE(OFFSET($AM$3,0,0,'Données projet'!$E$10+1,1))-AVERAGE(OFFSET($H$3,0,0,'Données projet'!$E$10+1,1))</f>
        <v>249.70045432150511</v>
      </c>
      <c r="AO36" s="62">
        <f t="shared" si="36"/>
        <v>348.75012088192597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6.4213186271172589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0.87032717895934841</v>
      </c>
      <c r="AX36" s="23">
        <f t="shared" si="6"/>
        <v>7.2916458060766072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10.7</v>
      </c>
      <c r="N37" s="14">
        <f>IF('Données projet'!$A$36&gt;35,N36+M37-V36,IF(A37&lt;'Données projet'!$A$36,$K$205^A37,IF(A37='Données projet'!$A$36,'Données projet'!$B$36,N36+M37-V36)))</f>
        <v>200.8</v>
      </c>
      <c r="O37" s="14">
        <f>N37*VLOOKUP('Données projet'!$B$9,Paramètres!$A$1:$I$89,3,0)*VLOOKUP('Données projet'!$B$9,Paramètres!$A$1:$I$89,5,0)</f>
        <v>120.07840000000002</v>
      </c>
      <c r="P37" s="14">
        <f t="shared" si="33"/>
        <v>31.693284111529564</v>
      </c>
      <c r="Q37" s="22">
        <f t="shared" si="53"/>
        <v>264.33568316091396</v>
      </c>
      <c r="R37" s="62">
        <f t="shared" si="0"/>
        <v>557.66901649424722</v>
      </c>
      <c r="S37" s="62">
        <f ca="1">AVERAGE(OFFSET($R$3,0,0,'Données projet'!$E$9+1,1))-AVERAGE(OFFSET($H$3,0,0,'Données projet'!$E$9+1,1))</f>
        <v>150.6643110947133</v>
      </c>
      <c r="T37" s="62">
        <f t="shared" si="34"/>
        <v>231.70571415193996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8.4256681375849141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5.493299203959209</v>
      </c>
      <c r="AC37" s="24">
        <f t="shared" si="3"/>
        <v>13.918967341544123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5.8</v>
      </c>
      <c r="AI37" s="14">
        <f>IF('Données projet'!$A$62&gt;35,AI36+AH37-AQ36,IF(A37&lt;'Données projet'!$A$62,$AF$205^A37,IF(A37='Données projet'!$A$62,'Données projet'!$B$62,AI36+AH37-AQ36)))</f>
        <v>210.20000000000013</v>
      </c>
      <c r="AJ37" s="14">
        <f>AI37*VLOOKUP('Données projet'!$B$10,Paramètres!$A$1:$I$89,3,0)*VLOOKUP('Données projet'!$B$10,Paramètres!$A$1:$I$89,5,0)</f>
        <v>190.18896000000012</v>
      </c>
      <c r="AK37" s="14">
        <f t="shared" si="35"/>
        <v>47.581726807151739</v>
      </c>
      <c r="AL37" s="22">
        <f t="shared" si="4"/>
        <v>414.1172795224561</v>
      </c>
      <c r="AM37" s="62">
        <f t="shared" si="5"/>
        <v>707.45061285578936</v>
      </c>
      <c r="AN37" s="62">
        <f ca="1">AVERAGE(OFFSET($AM$3,0,0,'Données projet'!$E$10+1,1))-AVERAGE(OFFSET($H$3,0,0,'Données projet'!$E$10+1,1))</f>
        <v>249.70045432150511</v>
      </c>
      <c r="AO37" s="62">
        <f t="shared" si="36"/>
        <v>348.75012088192597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6.2954004854571179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0.61541425009311324</v>
      </c>
      <c r="AX37" s="23">
        <f t="shared" si="6"/>
        <v>6.9108147355502307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10.7</v>
      </c>
      <c r="N38" s="14">
        <f>IF('Données projet'!$A$36&gt;35,N37+M38-V37,IF(A38&lt;'Données projet'!$A$36,$K$205^A38,IF(A38='Données projet'!$A$36,'Données projet'!$B$36,N37+M38-V37)))</f>
        <v>211.5</v>
      </c>
      <c r="O38" s="14">
        <f>N38*VLOOKUP('Données projet'!$B$9,Paramètres!$A$1:$I$89,3,0)*VLOOKUP('Données projet'!$B$9,Paramètres!$A$1:$I$89,5,0)</f>
        <v>126.47700000000002</v>
      </c>
      <c r="P38" s="14">
        <f t="shared" si="33"/>
        <v>33.181000378224027</v>
      </c>
      <c r="Q38" s="22">
        <f t="shared" si="53"/>
        <v>278.0710173254069</v>
      </c>
      <c r="R38" s="62">
        <f t="shared" si="0"/>
        <v>571.40435065874021</v>
      </c>
      <c r="S38" s="62">
        <f ca="1">AVERAGE(OFFSET($R$3,0,0,'Données projet'!$E$9+1,1))-AVERAGE(OFFSET($H$3,0,0,'Données projet'!$E$9+1,1))</f>
        <v>150.6643110947133</v>
      </c>
      <c r="T38" s="62">
        <f t="shared" si="34"/>
        <v>231.70571415193996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8.2604459245569881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3.8843491182062202</v>
      </c>
      <c r="AC38" s="24">
        <f t="shared" si="3"/>
        <v>12.144795042763208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216</v>
      </c>
      <c r="AG38" s="13">
        <f>VLOOKUP(A38,'Données projet'!$A$61:$I$81,9,0)</f>
        <v>5.8</v>
      </c>
      <c r="AH38" s="13">
        <f t="array" ref="AH38">INDEX(AG:AG,MIN(IF(ISNUMBER(AG38:AG234),ROW(AG38:AG234),"")))</f>
        <v>5.8</v>
      </c>
      <c r="AI38" s="14">
        <f>IF('Données projet'!$A$62&gt;35,AI37+AH38-AQ37,IF(A38&lt;'Données projet'!$A$62,$AF$205^A38,IF(A38='Données projet'!$A$62,'Données projet'!$B$62,AI37+AH38-AQ37)))</f>
        <v>216.00000000000014</v>
      </c>
      <c r="AJ38" s="14">
        <f>AI38*VLOOKUP('Données projet'!$B$10,Paramètres!$A$1:$I$89,3,0)*VLOOKUP('Données projet'!$B$10,Paramètres!$A$1:$I$89,5,0)</f>
        <v>195.43680000000012</v>
      </c>
      <c r="AK38" s="14">
        <f t="shared" si="35"/>
        <v>48.739971354487892</v>
      </c>
      <c r="AL38" s="22">
        <f t="shared" si="4"/>
        <v>425.27454344239999</v>
      </c>
      <c r="AM38" s="62">
        <f t="shared" si="5"/>
        <v>718.6078767757333</v>
      </c>
      <c r="AN38" s="62">
        <f ca="1">AVERAGE(OFFSET($AM$3,0,0,'Données projet'!$E$10+1,1))-AVERAGE(OFFSET($H$3,0,0,'Données projet'!$E$10+1,1))</f>
        <v>249.70045432150511</v>
      </c>
      <c r="AO38" s="62">
        <f t="shared" si="36"/>
        <v>348.75012088192597</v>
      </c>
      <c r="AP38" s="16">
        <f>IF(ISNA(VLOOKUP(A38,'Données projet'!$A$61:$I$81,3,0)),0,VLOOKUP(A38,'Données projet'!$A$61:$I$81,3,0))</f>
        <v>7</v>
      </c>
      <c r="AQ38" s="16">
        <f>IF(ISNA(VLOOKUP(A38,'Données projet'!$A$61:$I$81,4,0)),0,VLOOKUP(A38,'Données projet'!$A$61:$I$81,4,0))</f>
        <v>7</v>
      </c>
      <c r="AR38" s="17">
        <f>IF(ISNA(VLOOKUP(A38,'Données projet'!$A$61:$I$81,5,0)),0%,VLOOKUP(A38,'Données projet'!$A$61:$I$81,5,0)*VLOOKUP('Données projet'!$B$10,Paramètres!$A$1:$I$89,7,0))</f>
        <v>0.27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0.1</v>
      </c>
      <c r="AU38" s="23">
        <f>EXP(-LN(2)/35)*AU37+(1-EXP(-LN(2)/35))/(LN(2)/35)*AQ38*AR38*VLOOKUP('Données projet'!$B$10,Paramètres!$A$1:$I$89,3,0)*0.475*44/12</f>
        <v>8.062385464621121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1.0327557961141429</v>
      </c>
      <c r="AX38" s="23">
        <f t="shared" si="6"/>
        <v>9.0951412607352644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10.7</v>
      </c>
      <c r="N39" s="14">
        <f>IF('Données projet'!$A$36&gt;35,N38+M39-V38,IF(A39&lt;'Données projet'!$A$36,$K$205^A39,IF(A39='Données projet'!$A$36,'Données projet'!$B$36,N38+M39-V38)))</f>
        <v>222.2</v>
      </c>
      <c r="O39" s="14">
        <f>N39*VLOOKUP('Données projet'!$B$9,Paramètres!$A$1:$I$89,3,0)*VLOOKUP('Données projet'!$B$9,Paramètres!$A$1:$I$89,5,0)</f>
        <v>132.87560000000002</v>
      </c>
      <c r="P39" s="14">
        <f t="shared" si="33"/>
        <v>34.659977599024245</v>
      </c>
      <c r="Q39" s="22">
        <f t="shared" si="53"/>
        <v>291.79113098496725</v>
      </c>
      <c r="R39" s="62">
        <f t="shared" si="0"/>
        <v>585.12446431830062</v>
      </c>
      <c r="S39" s="62">
        <f ca="1">AVERAGE(OFFSET($R$3,0,0,'Données projet'!$E$9+1,1))-AVERAGE(OFFSET($H$3,0,0,'Données projet'!$E$9+1,1))</f>
        <v>150.6643110947133</v>
      </c>
      <c r="T39" s="62">
        <f t="shared" si="34"/>
        <v>231.70571415193996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8.0984636183509409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2.7466496019796049</v>
      </c>
      <c r="AC39" s="24">
        <f t="shared" si="3"/>
        <v>10.845113220330546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4.8</v>
      </c>
      <c r="AI39" s="14">
        <f>IF('Données projet'!$A$62&gt;35,AI38+AH39-AQ38,IF(A39&lt;'Données projet'!$A$62,$AF$205^A39,IF(A39='Données projet'!$A$62,'Données projet'!$B$62,AI38+AH39-AQ38)))</f>
        <v>213.80000000000015</v>
      </c>
      <c r="AJ39" s="14">
        <f>AI39*VLOOKUP('Données projet'!$B$10,Paramètres!$A$1:$I$89,3,0)*VLOOKUP('Données projet'!$B$10,Paramètres!$A$1:$I$89,5,0)</f>
        <v>193.44624000000013</v>
      </c>
      <c r="AK39" s="14">
        <f t="shared" si="35"/>
        <v>48.301068656218547</v>
      </c>
      <c r="AL39" s="22">
        <f t="shared" si="4"/>
        <v>421.04322924291415</v>
      </c>
      <c r="AM39" s="62">
        <f t="shared" si="5"/>
        <v>714.37656257624747</v>
      </c>
      <c r="AN39" s="62">
        <f ca="1">AVERAGE(OFFSET($AM$3,0,0,'Données projet'!$E$10+1,1))-AVERAGE(OFFSET($H$3,0,0,'Données projet'!$E$10+1,1))</f>
        <v>249.70045432150511</v>
      </c>
      <c r="AO39" s="62">
        <f t="shared" si="36"/>
        <v>348.75012088192597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7.9042870032294648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0.73026862674202198</v>
      </c>
      <c r="AX39" s="23">
        <f t="shared" si="6"/>
        <v>8.6345556299714872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10.7</v>
      </c>
      <c r="N40" s="14">
        <f>IF('Données projet'!$A$36&gt;35,N39+M40-V39,IF(A40&lt;'Données projet'!$A$36,$K$205^A40,IF(A40='Données projet'!$A$36,'Données projet'!$B$36,N39+M40-V39)))</f>
        <v>232.89999999999998</v>
      </c>
      <c r="O40" s="14">
        <f>N40*VLOOKUP('Données projet'!$B$9,Paramètres!$A$1:$I$89,3,0)*VLOOKUP('Données projet'!$B$9,Paramètres!$A$1:$I$89,5,0)</f>
        <v>139.27420000000001</v>
      </c>
      <c r="P40" s="14">
        <f t="shared" si="33"/>
        <v>36.130684641909269</v>
      </c>
      <c r="Q40" s="22">
        <f t="shared" si="53"/>
        <v>305.49684075132535</v>
      </c>
      <c r="R40" s="62">
        <f t="shared" si="0"/>
        <v>598.83017408465867</v>
      </c>
      <c r="S40" s="62">
        <f ca="1">AVERAGE(OFFSET($R$3,0,0,'Données projet'!$E$9+1,1))-AVERAGE(OFFSET($H$3,0,0,'Données projet'!$E$9+1,1))</f>
        <v>150.6643110947133</v>
      </c>
      <c r="T40" s="62">
        <f t="shared" si="34"/>
        <v>231.70571415193996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7.9396576863701434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1.9421745591031105</v>
      </c>
      <c r="AC40" s="24">
        <f t="shared" si="3"/>
        <v>9.8818322454732535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4.8</v>
      </c>
      <c r="AI40" s="14">
        <f>IF('Données projet'!$A$62&gt;35,AI39+AH40-AQ39,IF(A40&lt;'Données projet'!$A$62,$AF$205^A40,IF(A40='Données projet'!$A$62,'Données projet'!$B$62,AI39+AH40-AQ39)))</f>
        <v>218.60000000000016</v>
      </c>
      <c r="AJ40" s="14">
        <f>AI40*VLOOKUP('Données projet'!$B$10,Paramètres!$A$1:$I$89,3,0)*VLOOKUP('Données projet'!$B$10,Paramètres!$A$1:$I$89,5,0)</f>
        <v>197.78928000000013</v>
      </c>
      <c r="AK40" s="14">
        <f t="shared" si="35"/>
        <v>49.258004531609984</v>
      </c>
      <c r="AL40" s="22">
        <f t="shared" si="4"/>
        <v>430.2740205592209</v>
      </c>
      <c r="AM40" s="62">
        <f t="shared" si="5"/>
        <v>723.60735389255422</v>
      </c>
      <c r="AN40" s="62">
        <f ca="1">AVERAGE(OFFSET($AM$3,0,0,'Données projet'!$E$10+1,1))-AVERAGE(OFFSET($H$3,0,0,'Données projet'!$E$10+1,1))</f>
        <v>249.70045432150511</v>
      </c>
      <c r="AO40" s="62">
        <f t="shared" si="36"/>
        <v>348.75012088192597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7.7492887562351589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0.51637789805707157</v>
      </c>
      <c r="AX40" s="23">
        <f t="shared" si="6"/>
        <v>8.2656666542922306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10.7</v>
      </c>
      <c r="N41" s="14">
        <f>IF('Données projet'!$A$36&gt;35,N40+M41-V40,IF(A41&lt;'Données projet'!$A$36,$K$205^A41,IF(A41='Données projet'!$A$36,'Données projet'!$B$36,N40+M41-V40)))</f>
        <v>243.59999999999997</v>
      </c>
      <c r="O41" s="14">
        <f>N41*VLOOKUP('Données projet'!$B$9,Paramètres!$A$1:$I$89,3,0)*VLOOKUP('Données projet'!$B$9,Paramètres!$A$1:$I$89,5,0)</f>
        <v>145.6728</v>
      </c>
      <c r="P41" s="14">
        <f t="shared" si="33"/>
        <v>37.593544857919731</v>
      </c>
      <c r="Q41" s="22">
        <f t="shared" si="53"/>
        <v>319.18888396087686</v>
      </c>
      <c r="R41" s="62">
        <f t="shared" si="0"/>
        <v>612.52221729421012</v>
      </c>
      <c r="S41" s="62">
        <f ca="1">AVERAGE(OFFSET($R$3,0,0,'Données projet'!$E$9+1,1))-AVERAGE(OFFSET($H$3,0,0,'Données projet'!$E$9+1,1))</f>
        <v>150.6643110947133</v>
      </c>
      <c r="T41" s="62">
        <f t="shared" si="34"/>
        <v>231.70571415193996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7.7839658418534352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1.3733248009898027</v>
      </c>
      <c r="AC41" s="24">
        <f t="shared" si="3"/>
        <v>9.1572906428432379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4.8</v>
      </c>
      <c r="AI41" s="14">
        <f>IF('Données projet'!$A$62&gt;35,AI40+AH41-AQ40,IF(A41&lt;'Données projet'!$A$62,$AF$205^A41,IF(A41='Données projet'!$A$62,'Données projet'!$B$62,AI40+AH41-AQ40)))</f>
        <v>223.40000000000018</v>
      </c>
      <c r="AJ41" s="14">
        <f>AI41*VLOOKUP('Données projet'!$B$10,Paramètres!$A$1:$I$89,3,0)*VLOOKUP('Données projet'!$B$10,Paramètres!$A$1:$I$89,5,0)</f>
        <v>202.13232000000013</v>
      </c>
      <c r="AK41" s="14">
        <f t="shared" si="35"/>
        <v>50.21249748895967</v>
      </c>
      <c r="AL41" s="22">
        <f t="shared" si="4"/>
        <v>439.50055712660497</v>
      </c>
      <c r="AM41" s="62">
        <f t="shared" si="5"/>
        <v>732.83389045993829</v>
      </c>
      <c r="AN41" s="62">
        <f ca="1">AVERAGE(OFFSET($AM$3,0,0,'Données projet'!$E$10+1,1))-AVERAGE(OFFSET($H$3,0,0,'Données projet'!$E$10+1,1))</f>
        <v>249.70045432150511</v>
      </c>
      <c r="AO41" s="62">
        <f t="shared" si="36"/>
        <v>348.75012088192597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7.5973299303248156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0.3651343133710111</v>
      </c>
      <c r="AX41" s="23">
        <f t="shared" si="6"/>
        <v>7.9624642436958268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10.7</v>
      </c>
      <c r="N42" s="14">
        <f>IF('Données projet'!$A$36&gt;35,N41+M42-V41,IF(A42&lt;'Données projet'!$A$36,$K$205^A42,IF(A42='Données projet'!$A$36,'Données projet'!$B$36,N41+M42-V41)))</f>
        <v>254.29999999999995</v>
      </c>
      <c r="O42" s="14">
        <f>N42*VLOOKUP('Données projet'!$B$9,Paramètres!$A$1:$I$89,3,0)*VLOOKUP('Données projet'!$B$9,Paramètres!$A$1:$I$89,5,0)</f>
        <v>152.07139999999998</v>
      </c>
      <c r="P42" s="14">
        <f t="shared" si="33"/>
        <v>39.048942304224767</v>
      </c>
      <c r="Q42" s="22">
        <f t="shared" si="53"/>
        <v>332.86792951319143</v>
      </c>
      <c r="R42" s="62">
        <f t="shared" si="0"/>
        <v>626.20126284652474</v>
      </c>
      <c r="S42" s="62">
        <f ca="1">AVERAGE(OFFSET($R$3,0,0,'Données projet'!$E$9+1,1))-AVERAGE(OFFSET($H$3,0,0,'Données projet'!$E$9+1,1))</f>
        <v>150.6643110947133</v>
      </c>
      <c r="T42" s="62">
        <f t="shared" si="34"/>
        <v>231.70571415193996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7.6313270194450515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0.97108727955155538</v>
      </c>
      <c r="AC42" s="24">
        <f t="shared" si="3"/>
        <v>8.6024142989966066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4.8</v>
      </c>
      <c r="AI42" s="14">
        <f>IF('Données projet'!$A$62&gt;35,AI41+AH42-AQ41,IF(A42&lt;'Données projet'!$A$62,$AF$205^A42,IF(A42='Données projet'!$A$62,'Données projet'!$B$62,AI41+AH42-AQ41)))</f>
        <v>228.20000000000019</v>
      </c>
      <c r="AJ42" s="14">
        <f>AI42*VLOOKUP('Données projet'!$B$10,Paramètres!$A$1:$I$89,3,0)*VLOOKUP('Données projet'!$B$10,Paramètres!$A$1:$I$89,5,0)</f>
        <v>206.47536000000017</v>
      </c>
      <c r="AK42" s="14">
        <f t="shared" si="35"/>
        <v>51.164606062687312</v>
      </c>
      <c r="AL42" s="22">
        <f t="shared" si="4"/>
        <v>448.72294089251392</v>
      </c>
      <c r="AM42" s="62">
        <f t="shared" si="5"/>
        <v>742.05627422584723</v>
      </c>
      <c r="AN42" s="62">
        <f ca="1">AVERAGE(OFFSET($AM$3,0,0,'Données projet'!$E$10+1,1))-AVERAGE(OFFSET($H$3,0,0,'Données projet'!$E$10+1,1))</f>
        <v>249.70045432150511</v>
      </c>
      <c r="AO42" s="62">
        <f t="shared" si="36"/>
        <v>348.75012088192597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7.4483509243048429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0.25818894902853584</v>
      </c>
      <c r="AX42" s="23">
        <f t="shared" si="6"/>
        <v>7.7065398733333783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265</v>
      </c>
      <c r="L43" s="13">
        <f>VLOOKUP(A43,'Données projet'!$A$35:$I$55,9,0)</f>
        <v>10.7</v>
      </c>
      <c r="M43" s="13">
        <f t="array" ref="M43">INDEX(L:L,MIN(IF(ISNUMBER(L43:L239),ROW(L43:L239),"")))</f>
        <v>10.7</v>
      </c>
      <c r="N43" s="14">
        <f>IF('Données projet'!$A$36&gt;35,N42+M43-V42,IF(A43&lt;'Données projet'!$A$36,$K$205^A43,IF(A43='Données projet'!$A$36,'Données projet'!$B$36,N42+M43-V42)))</f>
        <v>264.99999999999994</v>
      </c>
      <c r="O43" s="14">
        <f>N43*VLOOKUP('Données projet'!$B$9,Paramètres!$A$1:$I$89,3,0)*VLOOKUP('Données projet'!$B$9,Paramètres!$A$1:$I$89,5,0)</f>
        <v>158.46999999999997</v>
      </c>
      <c r="P43" s="14">
        <f t="shared" si="33"/>
        <v>40.497226890293632</v>
      </c>
      <c r="Q43" s="22">
        <f t="shared" si="53"/>
        <v>346.53458683392802</v>
      </c>
      <c r="R43" s="62">
        <f t="shared" si="0"/>
        <v>639.86792016726133</v>
      </c>
      <c r="S43" s="62">
        <f ca="1">AVERAGE(OFFSET($R$3,0,0,'Données projet'!$E$9+1,1))-AVERAGE(OFFSET($H$3,0,0,'Données projet'!$E$9+1,1))</f>
        <v>150.6643110947133</v>
      </c>
      <c r="T43" s="62">
        <f t="shared" si="34"/>
        <v>231.70571415193996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50</v>
      </c>
      <c r="W43" s="17">
        <f>IF(ISNA(VLOOKUP(A43,'Données projet'!$A$35:$I$55,5,0)),0%,VLOOKUP(A43,'Données projet'!$A$35:$I$55,5,0)*VLOOKUP('Données projet'!$B$9,Paramètres!$A$1:$I$89,7,0))</f>
        <v>0.18000000000000002</v>
      </c>
      <c r="X43" s="17">
        <f>IF(ISNA(VLOOKUP(A43,'Données projet'!$A$35:$I$55,6,0)),0%,VLOOKUP(A43,'Données projet'!$A$35:$I$55,6,0)*VLOOKUP('Données projet'!$B$9,Paramètres!$A$1:$I$89,7,0))</f>
        <v>0.18000000000000002</v>
      </c>
      <c r="Y43" s="17">
        <f>IF(ISNA(VLOOKUP(A43,'Données projet'!$A$35:$I$55,7,0)),0%,VLOOKUP(A43,'Données projet'!$A$35:$I$55,7,0))</f>
        <v>0.2</v>
      </c>
      <c r="Z43" s="23">
        <f>EXP(-LN(2)/35)*Z42+(1-EXP(-LN(2)/35))/(LN(2)/35)*V43*W43*VLOOKUP('Données projet'!$B$9,Paramètres!$A$1:$I$89,3,0)*0.475*44/12</f>
        <v>14.621251250419213</v>
      </c>
      <c r="AA43" s="23">
        <f>EXP(-LN(2)/25)*AA42+(1-EXP(-LN(2)/25))/(LN(2)/25)*Calculateur!V43*Calculateur!X43*VLOOKUP('Données projet'!$B$9,Paramètres!$A$1:$I$89,3,0)*0.475*44/12</f>
        <v>7.1114586920931444</v>
      </c>
      <c r="AB43" s="23">
        <f>EXP(-LN(2)/2)*AB42+(1-EXP(-LN(2)/2))/(LN(2)/2)*V43*Y43*VLOOKUP('Données projet'!$B$9,Paramètres!$A$1:$I$89,3,0)*0.475*44/12</f>
        <v>7.4574115397031671</v>
      </c>
      <c r="AC43" s="24">
        <f t="shared" si="3"/>
        <v>29.190121482215524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233</v>
      </c>
      <c r="AG43" s="13">
        <f>VLOOKUP(A43,'Données projet'!$A$61:$I$81,9,0)</f>
        <v>4.8</v>
      </c>
      <c r="AH43" s="13">
        <f t="array" ref="AH43">INDEX(AG:AG,MIN(IF(ISNUMBER(AG43:AG239),ROW(AG43:AG239),"")))</f>
        <v>4.8</v>
      </c>
      <c r="AI43" s="14">
        <f>IF('Données projet'!$A$62&gt;35,AI42+AH43-AQ42,IF(A43&lt;'Données projet'!$A$62,$AF$205^A43,IF(A43='Données projet'!$A$62,'Données projet'!$B$62,AI42+AH43-AQ42)))</f>
        <v>233.0000000000002</v>
      </c>
      <c r="AJ43" s="14">
        <f>AI43*VLOOKUP('Données projet'!$B$10,Paramètres!$A$1:$I$89,3,0)*VLOOKUP('Données projet'!$B$10,Paramètres!$A$1:$I$89,5,0)</f>
        <v>210.81840000000017</v>
      </c>
      <c r="AK43" s="14">
        <f t="shared" si="35"/>
        <v>52.114386184062248</v>
      </c>
      <c r="AL43" s="22">
        <f t="shared" si="4"/>
        <v>457.94126927057533</v>
      </c>
      <c r="AM43" s="62">
        <f t="shared" si="5"/>
        <v>751.27460260390865</v>
      </c>
      <c r="AN43" s="62">
        <f ca="1">AVERAGE(OFFSET($AM$3,0,0,'Données projet'!$E$10+1,1))-AVERAGE(OFFSET($H$3,0,0,'Données projet'!$E$10+1,1))</f>
        <v>249.70045432150511</v>
      </c>
      <c r="AO43" s="62">
        <f t="shared" si="36"/>
        <v>348.75012088192597</v>
      </c>
      <c r="AP43" s="16">
        <f>IF(ISNA(VLOOKUP(A43,'Données projet'!$A$61:$I$81,3,0)),0,VLOOKUP(A43,'Données projet'!$A$61:$I$81,3,0))</f>
        <v>8</v>
      </c>
      <c r="AQ43" s="16">
        <f>IF(ISNA(VLOOKUP(A43,'Données projet'!$A$61:$I$81,4,0)),0,VLOOKUP(A43,'Données projet'!$A$61:$I$81,4,0))</f>
        <v>6</v>
      </c>
      <c r="AR43" s="17">
        <f>IF(ISNA(VLOOKUP(A43,'Données projet'!$A$61:$I$81,5,0)),0%,VLOOKUP(A43,'Données projet'!$A$61:$I$81,5,0)*VLOOKUP('Données projet'!$B$10,Paramètres!$A$1:$I$89,7,0))</f>
        <v>0.27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0.1</v>
      </c>
      <c r="AU43" s="23">
        <f>EXP(-LN(2)/35)*AU42+(1-EXP(-LN(2)/35))/(LN(2)/35)*AQ43*AR43*VLOOKUP('Données projet'!$B$10,Paramètres!$A$1:$I$89,3,0)*0.475*44/12</f>
        <v>8.9226652567549891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0.69478904808647879</v>
      </c>
      <c r="AX43" s="23">
        <f t="shared" si="6"/>
        <v>9.617454304841468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7.9</v>
      </c>
      <c r="N44" s="14">
        <f>IF('Données projet'!$A$36&gt;35,N43+M44-V43,IF(A44&lt;'Données projet'!$A$36,$K$205^A44,IF(A44='Données projet'!$A$36,'Données projet'!$B$36,N43+M44-V43)))</f>
        <v>222.89999999999992</v>
      </c>
      <c r="O44" s="14">
        <f>N44*VLOOKUP('Données projet'!$B$9,Paramètres!$A$1:$I$89,3,0)*VLOOKUP('Données projet'!$B$9,Paramètres!$A$1:$I$89,5,0)</f>
        <v>133.29419999999996</v>
      </c>
      <c r="P44" s="14">
        <f t="shared" si="33"/>
        <v>34.756440080318377</v>
      </c>
      <c r="Q44" s="22">
        <f t="shared" si="53"/>
        <v>292.68819813988773</v>
      </c>
      <c r="R44" s="62">
        <f t="shared" si="0"/>
        <v>586.0215314732211</v>
      </c>
      <c r="S44" s="62">
        <f ca="1">AVERAGE(OFFSET($R$3,0,0,'Données projet'!$E$9+1,1))-AVERAGE(OFFSET($H$3,0,0,'Données projet'!$E$9+1,1))</f>
        <v>150.6643110947133</v>
      </c>
      <c r="T44" s="62">
        <f t="shared" si="34"/>
        <v>231.70571415193996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14.334537431481168</v>
      </c>
      <c r="AA44" s="23">
        <f>EXP(-LN(2)/25)*AA43+(1-EXP(-LN(2)/25))/(LN(2)/25)*Calculateur!V44*Calculateur!X44*VLOOKUP('Données projet'!$B$9,Paramètres!$A$1:$I$89,3,0)*0.475*44/12</f>
        <v>6.9169954801824982</v>
      </c>
      <c r="AB44" s="23">
        <f>EXP(-LN(2)/2)*AB43+(1-EXP(-LN(2)/2))/(LN(2)/2)*V44*Y44*VLOOKUP('Données projet'!$B$9,Paramètres!$A$1:$I$89,3,0)*0.475*44/12</f>
        <v>5.2731862698229222</v>
      </c>
      <c r="AC44" s="24">
        <f t="shared" si="3"/>
        <v>26.524719181486589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</v>
      </c>
      <c r="AI44" s="14">
        <f>IF('Données projet'!$A$62&gt;35,AI43+AH44-AQ43,IF(A44&lt;'Données projet'!$A$62,$AF$205^A44,IF(A44='Données projet'!$A$62,'Données projet'!$B$62,AI43+AH44-AQ43)))</f>
        <v>232.0000000000002</v>
      </c>
      <c r="AJ44" s="14">
        <f>AI44*VLOOKUP('Données projet'!$B$10,Paramètres!$A$1:$I$89,3,0)*VLOOKUP('Données projet'!$B$10,Paramètres!$A$1:$I$89,5,0)</f>
        <v>209.9136000000002</v>
      </c>
      <c r="AK44" s="14">
        <f t="shared" si="35"/>
        <v>51.916704672341361</v>
      </c>
      <c r="AL44" s="22">
        <f t="shared" si="4"/>
        <v>456.02111397099492</v>
      </c>
      <c r="AM44" s="62">
        <f t="shared" si="5"/>
        <v>749.35444730432823</v>
      </c>
      <c r="AN44" s="62">
        <f ca="1">AVERAGE(OFFSET($AM$3,0,0,'Données projet'!$E$10+1,1))-AVERAGE(OFFSET($H$3,0,0,'Données projet'!$E$10+1,1))</f>
        <v>249.70045432150511</v>
      </c>
      <c r="AO44" s="62">
        <f t="shared" si="36"/>
        <v>348.75012088192597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8.7476972333584495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0.49129004739609544</v>
      </c>
      <c r="AX44" s="23">
        <f t="shared" si="6"/>
        <v>9.2389872807545448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7.9</v>
      </c>
      <c r="N45" s="14">
        <f>IF('Données projet'!$A$36&gt;35,N44+M45-V44,IF(A45&lt;'Données projet'!$A$36,$K$205^A45,IF(A45='Données projet'!$A$36,'Données projet'!$B$36,N44+M45-V44)))</f>
        <v>230.79999999999993</v>
      </c>
      <c r="O45" s="14">
        <f>N45*VLOOKUP('Données projet'!$B$9,Paramètres!$A$1:$I$89,3,0)*VLOOKUP('Données projet'!$B$9,Paramètres!$A$1:$I$89,5,0)</f>
        <v>138.01839999999996</v>
      </c>
      <c r="P45" s="14">
        <f t="shared" si="33"/>
        <v>35.84267281669451</v>
      </c>
      <c r="Q45" s="22">
        <f t="shared" si="53"/>
        <v>302.80803515574286</v>
      </c>
      <c r="R45" s="62">
        <f t="shared" si="0"/>
        <v>596.14136848907617</v>
      </c>
      <c r="S45" s="62">
        <f ca="1">AVERAGE(OFFSET($R$3,0,0,'Données projet'!$E$9+1,1))-AVERAGE(OFFSET($H$3,0,0,'Données projet'!$E$9+1,1))</f>
        <v>150.6643110947133</v>
      </c>
      <c r="T45" s="62">
        <f t="shared" si="34"/>
        <v>231.70571415193996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14.053445895654336</v>
      </c>
      <c r="AA45" s="23">
        <f>EXP(-LN(2)/25)*AA44+(1-EXP(-LN(2)/25))/(LN(2)/25)*Calculateur!V45*Calculateur!X45*VLOOKUP('Données projet'!$B$9,Paramètres!$A$1:$I$89,3,0)*0.475*44/12</f>
        <v>6.7278498750279248</v>
      </c>
      <c r="AB45" s="23">
        <f>EXP(-LN(2)/2)*AB44+(1-EXP(-LN(2)/2))/(LN(2)/2)*V45*Y45*VLOOKUP('Données projet'!$B$9,Paramètres!$A$1:$I$89,3,0)*0.475*44/12</f>
        <v>3.728705769851584</v>
      </c>
      <c r="AC45" s="24">
        <f t="shared" si="3"/>
        <v>24.510001540533846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</v>
      </c>
      <c r="AI45" s="14">
        <f>IF('Données projet'!$A$62&gt;35,AI44+AH45-AQ44,IF(A45&lt;'Données projet'!$A$62,$AF$205^A45,IF(A45='Données projet'!$A$62,'Données projet'!$B$62,AI44+AH45-AQ44)))</f>
        <v>237.0000000000002</v>
      </c>
      <c r="AJ45" s="14">
        <f>AI45*VLOOKUP('Données projet'!$B$10,Paramètres!$A$1:$I$89,3,0)*VLOOKUP('Données projet'!$B$10,Paramètres!$A$1:$I$89,5,0)</f>
        <v>214.43760000000015</v>
      </c>
      <c r="AK45" s="14">
        <f t="shared" si="35"/>
        <v>52.904129603372425</v>
      </c>
      <c r="AL45" s="22">
        <f t="shared" si="4"/>
        <v>465.6201790592072</v>
      </c>
      <c r="AM45" s="62">
        <f t="shared" si="5"/>
        <v>758.95351239254046</v>
      </c>
      <c r="AN45" s="62">
        <f ca="1">AVERAGE(OFFSET($AM$3,0,0,'Données projet'!$E$10+1,1))-AVERAGE(OFFSET($H$3,0,0,'Données projet'!$E$10+1,1))</f>
        <v>249.70045432150511</v>
      </c>
      <c r="AO45" s="62">
        <f t="shared" si="36"/>
        <v>348.75012088192597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8.5761602261807592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0.34739452404323945</v>
      </c>
      <c r="AX45" s="23">
        <f t="shared" si="6"/>
        <v>8.9235547502239996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7.9</v>
      </c>
      <c r="N46" s="14">
        <f>IF('Données projet'!$A$36&gt;35,N45+M46-V45,IF(A46&lt;'Données projet'!$A$36,$K$205^A46,IF(A46='Données projet'!$A$36,'Données projet'!$B$36,N45+M46-V45)))</f>
        <v>238.69999999999993</v>
      </c>
      <c r="O46" s="14">
        <f>N46*VLOOKUP('Données projet'!$B$9,Paramètres!$A$1:$I$89,3,0)*VLOOKUP('Données projet'!$B$9,Paramètres!$A$1:$I$89,5,0)</f>
        <v>142.74259999999998</v>
      </c>
      <c r="P46" s="14">
        <f t="shared" si="33"/>
        <v>36.924585472239464</v>
      </c>
      <c r="Q46" s="22">
        <f t="shared" si="53"/>
        <v>312.92034803081702</v>
      </c>
      <c r="R46" s="62">
        <f t="shared" si="0"/>
        <v>606.25368136415034</v>
      </c>
      <c r="S46" s="62">
        <f ca="1">AVERAGE(OFFSET($R$3,0,0,'Données projet'!$E$9+1,1))-AVERAGE(OFFSET($H$3,0,0,'Données projet'!$E$9+1,1))</f>
        <v>150.6643110947133</v>
      </c>
      <c r="T46" s="62">
        <f t="shared" si="34"/>
        <v>231.70571415193996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13.777866393396161</v>
      </c>
      <c r="AA46" s="23">
        <f>EXP(-LN(2)/25)*AA45+(1-EXP(-LN(2)/25))/(LN(2)/25)*Calculateur!V46*Calculateur!X46*VLOOKUP('Données projet'!$B$9,Paramètres!$A$1:$I$89,3,0)*0.475*44/12</f>
        <v>6.543876466393038</v>
      </c>
      <c r="AB46" s="23">
        <f>EXP(-LN(2)/2)*AB45+(1-EXP(-LN(2)/2))/(LN(2)/2)*V46*Y46*VLOOKUP('Données projet'!$B$9,Paramètres!$A$1:$I$89,3,0)*0.475*44/12</f>
        <v>2.6365931349114615</v>
      </c>
      <c r="AC46" s="24">
        <f t="shared" si="3"/>
        <v>22.958335994700661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</v>
      </c>
      <c r="AI46" s="14">
        <f>IF('Données projet'!$A$62&gt;35,AI45+AH46-AQ45,IF(A46&lt;'Données projet'!$A$62,$AF$205^A46,IF(A46='Données projet'!$A$62,'Données projet'!$B$62,AI45+AH46-AQ45)))</f>
        <v>242.0000000000002</v>
      </c>
      <c r="AJ46" s="14">
        <f>AI46*VLOOKUP('Données projet'!$B$10,Paramètres!$A$1:$I$89,3,0)*VLOOKUP('Données projet'!$B$10,Paramètres!$A$1:$I$89,5,0)</f>
        <v>218.96160000000017</v>
      </c>
      <c r="AK46" s="14">
        <f t="shared" si="35"/>
        <v>53.889132503707479</v>
      </c>
      <c r="AL46" s="22">
        <f t="shared" si="4"/>
        <v>475.2150257772908</v>
      </c>
      <c r="AM46" s="62">
        <f t="shared" si="5"/>
        <v>768.54835911062412</v>
      </c>
      <c r="AN46" s="62">
        <f ca="1">AVERAGE(OFFSET($AM$3,0,0,'Données projet'!$E$10+1,1))-AVERAGE(OFFSET($H$3,0,0,'Données projet'!$E$10+1,1))</f>
        <v>249.70045432150511</v>
      </c>
      <c r="AO46" s="62">
        <f t="shared" si="36"/>
        <v>348.75012088192597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8.4079869550865798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0.24564502369804775</v>
      </c>
      <c r="AX46" s="23">
        <f t="shared" si="6"/>
        <v>8.6536319787846274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7.9</v>
      </c>
      <c r="N47" s="14">
        <f>IF('Données projet'!$A$36&gt;35,N46+M47-V46,IF(A47&lt;'Données projet'!$A$36,$K$205^A47,IF(A47='Données projet'!$A$36,'Données projet'!$B$36,N46+M47-V46)))</f>
        <v>246.59999999999994</v>
      </c>
      <c r="O47" s="14">
        <f>N47*VLOOKUP('Données projet'!$B$9,Paramètres!$A$1:$I$89,3,0)*VLOOKUP('Données projet'!$B$9,Paramètres!$A$1:$I$89,5,0)</f>
        <v>147.46679999999998</v>
      </c>
      <c r="P47" s="14">
        <f t="shared" si="33"/>
        <v>38.002337418636273</v>
      </c>
      <c r="Q47" s="22">
        <f t="shared" si="53"/>
        <v>323.02541433745813</v>
      </c>
      <c r="R47" s="62">
        <f t="shared" si="0"/>
        <v>616.35874767079144</v>
      </c>
      <c r="S47" s="62">
        <f ca="1">AVERAGE(OFFSET($R$3,0,0,'Données projet'!$E$9+1,1))-AVERAGE(OFFSET($H$3,0,0,'Données projet'!$E$9+1,1))</f>
        <v>150.6643110947133</v>
      </c>
      <c r="T47" s="62">
        <f t="shared" si="34"/>
        <v>231.70571415193996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13.507690837090369</v>
      </c>
      <c r="AA47" s="23">
        <f>EXP(-LN(2)/25)*AA46+(1-EXP(-LN(2)/25))/(LN(2)/25)*Calculateur!V47*Calculateur!X47*VLOOKUP('Données projet'!$B$9,Paramètres!$A$1:$I$89,3,0)*0.475*44/12</f>
        <v>6.3649338202920136</v>
      </c>
      <c r="AB47" s="23">
        <f>EXP(-LN(2)/2)*AB46+(1-EXP(-LN(2)/2))/(LN(2)/2)*V47*Y47*VLOOKUP('Données projet'!$B$9,Paramètres!$A$1:$I$89,3,0)*0.475*44/12</f>
        <v>1.8643528849257924</v>
      </c>
      <c r="AC47" s="24">
        <f t="shared" si="3"/>
        <v>21.736977542308175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</v>
      </c>
      <c r="AI47" s="14">
        <f>IF('Données projet'!$A$62&gt;35,AI46+AH47-AQ46,IF(A47&lt;'Données projet'!$A$62,$AF$205^A47,IF(A47='Données projet'!$A$62,'Données projet'!$B$62,AI46+AH47-AQ46)))</f>
        <v>247.0000000000002</v>
      </c>
      <c r="AJ47" s="14">
        <f>AI47*VLOOKUP('Données projet'!$B$10,Paramètres!$A$1:$I$89,3,0)*VLOOKUP('Données projet'!$B$10,Paramètres!$A$1:$I$89,5,0)</f>
        <v>223.48560000000018</v>
      </c>
      <c r="AK47" s="14">
        <f t="shared" si="35"/>
        <v>54.87176918107798</v>
      </c>
      <c r="AL47" s="22">
        <f t="shared" si="4"/>
        <v>484.80575132371115</v>
      </c>
      <c r="AM47" s="62">
        <f t="shared" si="5"/>
        <v>778.13908465704446</v>
      </c>
      <c r="AN47" s="62">
        <f ca="1">AVERAGE(OFFSET($AM$3,0,0,'Données projet'!$E$10+1,1))-AVERAGE(OFFSET($H$3,0,0,'Données projet'!$E$10+1,1))</f>
        <v>249.70045432150511</v>
      </c>
      <c r="AO47" s="62">
        <f t="shared" si="36"/>
        <v>348.75012088192597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8.243111459262991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0.17369726202161975</v>
      </c>
      <c r="AX47" s="23">
        <f t="shared" si="6"/>
        <v>8.4168087212846103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7.9</v>
      </c>
      <c r="N48" s="14">
        <f>IF('Données projet'!$A$36&gt;35,N47+M48-V47,IF(A48&lt;'Données projet'!$A$36,$K$205^A48,IF(A48='Données projet'!$A$36,'Données projet'!$B$36,N47+M48-V47)))</f>
        <v>254.49999999999994</v>
      </c>
      <c r="O48" s="14">
        <f>N48*VLOOKUP('Données projet'!$B$9,Paramètres!$A$1:$I$89,3,0)*VLOOKUP('Données projet'!$B$9,Paramètres!$A$1:$I$89,5,0)</f>
        <v>152.19099999999997</v>
      </c>
      <c r="P48" s="14">
        <f t="shared" si="33"/>
        <v>39.07607723663272</v>
      </c>
      <c r="Q48" s="22">
        <f t="shared" si="53"/>
        <v>333.12349285380191</v>
      </c>
      <c r="R48" s="62">
        <f t="shared" si="0"/>
        <v>626.45682618713522</v>
      </c>
      <c r="S48" s="62">
        <f ca="1">AVERAGE(OFFSET($R$3,0,0,'Données projet'!$E$9+1,1))-AVERAGE(OFFSET($H$3,0,0,'Données projet'!$E$9+1,1))</f>
        <v>150.6643110947133</v>
      </c>
      <c r="T48" s="62">
        <f t="shared" si="34"/>
        <v>231.70571415193996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13.242813258652916</v>
      </c>
      <c r="AA48" s="23">
        <f>EXP(-LN(2)/25)*AA47+(1-EXP(-LN(2)/25))/(LN(2)/25)*Calculateur!V48*Calculateur!X48*VLOOKUP('Données projet'!$B$9,Paramètres!$A$1:$I$89,3,0)*0.475*44/12</f>
        <v>6.1908843702588063</v>
      </c>
      <c r="AB48" s="23">
        <f>EXP(-LN(2)/2)*AB47+(1-EXP(-LN(2)/2))/(LN(2)/2)*V48*Y48*VLOOKUP('Données projet'!$B$9,Paramètres!$A$1:$I$89,3,0)*0.475*44/12</f>
        <v>1.318296567455731</v>
      </c>
      <c r="AC48" s="24">
        <f t="shared" si="3"/>
        <v>20.751994196367455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252</v>
      </c>
      <c r="AG48" s="13">
        <f>VLOOKUP(A48,'Données projet'!$A$61:$I$81,9,0)</f>
        <v>5</v>
      </c>
      <c r="AH48" s="13">
        <f t="array" ref="AH48">INDEX(AG:AG,MIN(IF(ISNUMBER(AG48:AG244),ROW(AG48:AG244),"")))</f>
        <v>5</v>
      </c>
      <c r="AI48" s="14">
        <f>IF('Données projet'!$A$62&gt;35,AI47+AH48-AQ47,IF(A48&lt;'Données projet'!$A$62,$AF$205^A48,IF(A48='Données projet'!$A$62,'Données projet'!$B$62,AI47+AH48-AQ47)))</f>
        <v>252.0000000000002</v>
      </c>
      <c r="AJ48" s="14">
        <f>AI48*VLOOKUP('Données projet'!$B$10,Paramètres!$A$1:$I$89,3,0)*VLOOKUP('Données projet'!$B$10,Paramètres!$A$1:$I$89,5,0)</f>
        <v>228.00960000000018</v>
      </c>
      <c r="AK48" s="14">
        <f t="shared" si="35"/>
        <v>55.852093054619878</v>
      </c>
      <c r="AL48" s="22">
        <f t="shared" si="4"/>
        <v>494.39244873679655</v>
      </c>
      <c r="AM48" s="62">
        <f t="shared" si="5"/>
        <v>787.72578207012987</v>
      </c>
      <c r="AN48" s="62">
        <f ca="1">AVERAGE(OFFSET($AM$3,0,0,'Données projet'!$E$10+1,1))-AVERAGE(OFFSET($H$3,0,0,'Données projet'!$E$10+1,1))</f>
        <v>249.70045432150511</v>
      </c>
      <c r="AO48" s="62">
        <f t="shared" si="36"/>
        <v>348.75012088192597</v>
      </c>
      <c r="AP48" s="16">
        <f>IF(ISNA(VLOOKUP(A48,'Données projet'!$A$61:$I$81,3,0)),0,VLOOKUP(A48,'Données projet'!$A$61:$I$81,3,0))</f>
        <v>9</v>
      </c>
      <c r="AQ48" s="16">
        <f>IF(ISNA(VLOOKUP(A48,'Données projet'!$A$61:$I$81,4,0)),0,VLOOKUP(A48,'Données projet'!$A$61:$I$81,4,0))</f>
        <v>252</v>
      </c>
      <c r="AR48" s="17">
        <f>IF(ISNA(VLOOKUP(A48,'Données projet'!$A$61:$I$81,5,0)),0%,VLOOKUP(A48,'Données projet'!$A$61:$I$81,5,0)*VLOOKUP('Données projet'!$B$10,Paramètres!$A$1:$I$89,7,0))</f>
        <v>0.27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0.1</v>
      </c>
      <c r="AU48" s="23">
        <f>EXP(-LN(2)/35)*AU47+(1-EXP(-LN(2)/35))/(LN(2)/35)*AQ48*AR48*VLOOKUP('Données projet'!$B$10,Paramètres!$A$1:$I$89,3,0)*0.475*44/12</f>
        <v>76.137091014620552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21.636141950689893</v>
      </c>
      <c r="AX48" s="23">
        <f t="shared" si="6"/>
        <v>97.773232965310442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7.9</v>
      </c>
      <c r="N49" s="14">
        <f>IF('Données projet'!$A$36&gt;35,N48+M49-V48,IF(A49&lt;'Données projet'!$A$36,$K$205^A49,IF(A49='Données projet'!$A$36,'Données projet'!$B$36,N48+M49-V48)))</f>
        <v>262.39999999999992</v>
      </c>
      <c r="O49" s="14">
        <f>N49*VLOOKUP('Données projet'!$B$9,Paramètres!$A$1:$I$89,3,0)*VLOOKUP('Données projet'!$B$9,Paramètres!$A$1:$I$89,5,0)</f>
        <v>156.91519999999997</v>
      </c>
      <c r="P49" s="14">
        <f t="shared" si="33"/>
        <v>40.145943758721963</v>
      </c>
      <c r="Q49" s="22">
        <f t="shared" si="53"/>
        <v>343.21482537977403</v>
      </c>
      <c r="R49" s="62">
        <f t="shared" si="0"/>
        <v>636.54815871310734</v>
      </c>
      <c r="S49" s="62">
        <f ca="1">AVERAGE(OFFSET($R$3,0,0,'Données projet'!$E$9+1,1))-AVERAGE(OFFSET($H$3,0,0,'Données projet'!$E$9+1,1))</f>
        <v>150.6643110947133</v>
      </c>
      <c r="T49" s="62">
        <f t="shared" si="34"/>
        <v>231.70571415193996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12.983129767969251</v>
      </c>
      <c r="AA49" s="23">
        <f>EXP(-LN(2)/25)*AA48+(1-EXP(-LN(2)/25))/(LN(2)/25)*Calculateur!V49*Calculateur!X49*VLOOKUP('Données projet'!$B$9,Paramètres!$A$1:$I$89,3,0)*0.475*44/12</f>
        <v>6.0215943115896193</v>
      </c>
      <c r="AB49" s="23">
        <f>EXP(-LN(2)/2)*AB48+(1-EXP(-LN(2)/2))/(LN(2)/2)*V49*Y49*VLOOKUP('Données projet'!$B$9,Paramètres!$A$1:$I$89,3,0)*0.475*44/12</f>
        <v>0.93217644246289633</v>
      </c>
      <c r="AC49" s="24">
        <f t="shared" si="3"/>
        <v>19.936900522021766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1.9895196601282805E-13</v>
      </c>
      <c r="AJ49" s="14">
        <f>AI49*VLOOKUP('Données projet'!$B$10,Paramètres!$A$1:$I$89,3,0)*VLOOKUP('Données projet'!$B$10,Paramètres!$A$1:$I$89,5,0)</f>
        <v>1.8001173884840681E-13</v>
      </c>
      <c r="AK49" s="14">
        <f t="shared" si="35"/>
        <v>2.5254331426407198E-12</v>
      </c>
      <c r="AL49" s="22">
        <f t="shared" si="4"/>
        <v>4.7119831685935622E-12</v>
      </c>
      <c r="AM49" s="62">
        <f t="shared" si="5"/>
        <v>293.33333333333803</v>
      </c>
      <c r="AN49" s="62">
        <f ca="1">AVERAGE(OFFSET($AM$3,0,0,'Données projet'!$E$10+1,1))-AVERAGE(OFFSET($H$3,0,0,'Données projet'!$E$10+1,1))</f>
        <v>249.70045432150511</v>
      </c>
      <c r="AO49" s="62">
        <f t="shared" si="36"/>
        <v>348.75012088192597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74.644089098863887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15.299062692047562</v>
      </c>
      <c r="AX49" s="23">
        <f t="shared" si="6"/>
        <v>89.943151790911443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7.9</v>
      </c>
      <c r="N50" s="14">
        <f>IF('Données projet'!$A$36&gt;35,N49+M50-V49,IF(A50&lt;'Données projet'!$A$36,$K$205^A50,IF(A50='Données projet'!$A$36,'Données projet'!$B$36,N49+M50-V49)))</f>
        <v>270.2999999999999</v>
      </c>
      <c r="O50" s="14">
        <f>N50*VLOOKUP('Données projet'!$B$9,Paramètres!$A$1:$I$89,3,0)*VLOOKUP('Données projet'!$B$9,Paramètres!$A$1:$I$89,5,0)</f>
        <v>161.63939999999997</v>
      </c>
      <c r="P50" s="14">
        <f t="shared" si="33"/>
        <v>41.212066982728679</v>
      </c>
      <c r="Q50" s="22">
        <f t="shared" si="53"/>
        <v>353.29963832825234</v>
      </c>
      <c r="R50" s="62">
        <f t="shared" si="0"/>
        <v>646.63297166158566</v>
      </c>
      <c r="S50" s="62">
        <f ca="1">AVERAGE(OFFSET($R$3,0,0,'Données projet'!$E$9+1,1))-AVERAGE(OFFSET($H$3,0,0,'Données projet'!$E$9+1,1))</f>
        <v>150.6643110947133</v>
      </c>
      <c r="T50" s="62">
        <f t="shared" si="34"/>
        <v>231.70571415193996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12.728538512146603</v>
      </c>
      <c r="AA50" s="23">
        <f>EXP(-LN(2)/25)*AA49+(1-EXP(-LN(2)/25))/(LN(2)/25)*Calculateur!V50*Calculateur!X50*VLOOKUP('Données projet'!$B$9,Paramètres!$A$1:$I$89,3,0)*0.475*44/12</f>
        <v>5.8569334984773187</v>
      </c>
      <c r="AB50" s="23">
        <f>EXP(-LN(2)/2)*AB49+(1-EXP(-LN(2)/2))/(LN(2)/2)*V50*Y50*VLOOKUP('Données projet'!$B$9,Paramètres!$A$1:$I$89,3,0)*0.475*44/12</f>
        <v>0.6591482837278656</v>
      </c>
      <c r="AC50" s="24">
        <f t="shared" si="3"/>
        <v>19.244620294351787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1.9895196601282805E-13</v>
      </c>
      <c r="AJ50" s="14">
        <f>AI50*VLOOKUP('Données projet'!$B$10,Paramètres!$A$1:$I$89,3,0)*VLOOKUP('Données projet'!$B$10,Paramètres!$A$1:$I$89,5,0)</f>
        <v>1.8001173884840681E-13</v>
      </c>
      <c r="AK50" s="14">
        <f t="shared" si="35"/>
        <v>2.5254331426407198E-12</v>
      </c>
      <c r="AL50" s="22">
        <f t="shared" si="4"/>
        <v>4.7119831685935622E-12</v>
      </c>
      <c r="AM50" s="62">
        <f t="shared" si="5"/>
        <v>293.33333333333803</v>
      </c>
      <c r="AN50" s="62">
        <f ca="1">AVERAGE(OFFSET($AM$3,0,0,'Données projet'!$E$10+1,1))-AVERAGE(OFFSET($H$3,0,0,'Données projet'!$E$10+1,1))</f>
        <v>249.70045432150511</v>
      </c>
      <c r="AO50" s="62">
        <f t="shared" si="36"/>
        <v>348.75012088192597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73.180364040033965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10.818070975344948</v>
      </c>
      <c r="AX50" s="23">
        <f t="shared" si="6"/>
        <v>83.998435015378917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7.9</v>
      </c>
      <c r="N51" s="14">
        <f>IF('Données projet'!$A$36&gt;35,N50+M51-V50,IF(A51&lt;'Données projet'!$A$36,$K$205^A51,IF(A51='Données projet'!$A$36,'Données projet'!$B$36,N50+M51-V50)))</f>
        <v>278.19999999999987</v>
      </c>
      <c r="O51" s="14">
        <f>N51*VLOOKUP('Données projet'!$B$9,Paramètres!$A$1:$I$89,3,0)*VLOOKUP('Données projet'!$B$9,Paramètres!$A$1:$I$89,5,0)</f>
        <v>166.36359999999993</v>
      </c>
      <c r="P51" s="14">
        <f t="shared" si="33"/>
        <v>42.274568875588898</v>
      </c>
      <c r="Q51" s="22">
        <f t="shared" si="53"/>
        <v>363.37814412498386</v>
      </c>
      <c r="R51" s="62">
        <f t="shared" si="0"/>
        <v>656.71147745831718</v>
      </c>
      <c r="S51" s="62">
        <f ca="1">AVERAGE(OFFSET($R$3,0,0,'Données projet'!$E$9+1,1))-AVERAGE(OFFSET($H$3,0,0,'Données projet'!$E$9+1,1))</f>
        <v>150.6643110947133</v>
      </c>
      <c r="T51" s="62">
        <f t="shared" si="34"/>
        <v>231.70571415193996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12.478939635565304</v>
      </c>
      <c r="AA51" s="23">
        <f>EXP(-LN(2)/25)*AA50+(1-EXP(-LN(2)/25))/(LN(2)/25)*Calculateur!V51*Calculateur!X51*VLOOKUP('Données projet'!$B$9,Paramètres!$A$1:$I$89,3,0)*0.475*44/12</f>
        <v>5.6967753439587101</v>
      </c>
      <c r="AB51" s="23">
        <f>EXP(-LN(2)/2)*AB50+(1-EXP(-LN(2)/2))/(LN(2)/2)*V51*Y51*VLOOKUP('Données projet'!$B$9,Paramètres!$A$1:$I$89,3,0)*0.475*44/12</f>
        <v>0.46608822123144822</v>
      </c>
      <c r="AC51" s="24">
        <f t="shared" si="3"/>
        <v>18.641803200755461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1.9895196601282805E-13</v>
      </c>
      <c r="AJ51" s="14">
        <f>AI51*VLOOKUP('Données projet'!$B$10,Paramètres!$A$1:$I$89,3,0)*VLOOKUP('Données projet'!$B$10,Paramètres!$A$1:$I$89,5,0)</f>
        <v>1.8001173884840681E-13</v>
      </c>
      <c r="AK51" s="14">
        <f t="shared" si="35"/>
        <v>2.5254331426407198E-12</v>
      </c>
      <c r="AL51" s="22">
        <f t="shared" si="4"/>
        <v>4.7119831685935622E-12</v>
      </c>
      <c r="AM51" s="62">
        <f t="shared" si="5"/>
        <v>293.33333333333803</v>
      </c>
      <c r="AN51" s="62">
        <f ca="1">AVERAGE(OFFSET($AM$3,0,0,'Données projet'!$E$10+1,1))-AVERAGE(OFFSET($H$3,0,0,'Données projet'!$E$10+1,1))</f>
        <v>249.70045432150511</v>
      </c>
      <c r="AO51" s="62">
        <f t="shared" si="36"/>
        <v>348.75012088192597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71.745341736823562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7.6495313460237817</v>
      </c>
      <c r="AX51" s="23">
        <f t="shared" si="6"/>
        <v>79.39487308284734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7.9</v>
      </c>
      <c r="N52" s="14">
        <f>IF('Données projet'!$A$36&gt;35,N51+M52-V51,IF(A52&lt;'Données projet'!$A$36,$K$205^A52,IF(A52='Données projet'!$A$36,'Données projet'!$B$36,N51+M52-V51)))</f>
        <v>286.09999999999985</v>
      </c>
      <c r="O52" s="14">
        <f>N52*VLOOKUP('Données projet'!$B$9,Paramètres!$A$1:$I$89,3,0)*VLOOKUP('Données projet'!$B$9,Paramètres!$A$1:$I$89,5,0)</f>
        <v>171.08779999999993</v>
      </c>
      <c r="P52" s="14">
        <f t="shared" si="33"/>
        <v>43.333564083264214</v>
      </c>
      <c r="Q52" s="22">
        <f t="shared" si="53"/>
        <v>373.45054244501836</v>
      </c>
      <c r="R52" s="62">
        <f t="shared" si="0"/>
        <v>666.78387577835167</v>
      </c>
      <c r="S52" s="62">
        <f ca="1">AVERAGE(OFFSET($R$3,0,0,'Données projet'!$E$9+1,1))-AVERAGE(OFFSET($H$3,0,0,'Données projet'!$E$9+1,1))</f>
        <v>150.6643110947133</v>
      </c>
      <c r="T52" s="62">
        <f t="shared" si="34"/>
        <v>231.70571415193996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12.234235240713483</v>
      </c>
      <c r="AA52" s="23">
        <f>EXP(-LN(2)/25)*AA51+(1-EXP(-LN(2)/25))/(LN(2)/25)*Calculateur!V52*Calculateur!X52*VLOOKUP('Données projet'!$B$9,Paramètres!$A$1:$I$89,3,0)*0.475*44/12</f>
        <v>5.5409967225977637</v>
      </c>
      <c r="AB52" s="23">
        <f>EXP(-LN(2)/2)*AB51+(1-EXP(-LN(2)/2))/(LN(2)/2)*V52*Y52*VLOOKUP('Données projet'!$B$9,Paramètres!$A$1:$I$89,3,0)*0.475*44/12</f>
        <v>0.32957414186393286</v>
      </c>
      <c r="AC52" s="24">
        <f t="shared" si="3"/>
        <v>18.104806105175179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1.9895196601282805E-13</v>
      </c>
      <c r="AJ52" s="14">
        <f>AI52*VLOOKUP('Données projet'!$B$10,Paramètres!$A$1:$I$89,3,0)*VLOOKUP('Données projet'!$B$10,Paramètres!$A$1:$I$89,5,0)</f>
        <v>1.8001173884840681E-13</v>
      </c>
      <c r="AK52" s="14">
        <f t="shared" si="35"/>
        <v>2.5254331426407198E-12</v>
      </c>
      <c r="AL52" s="22">
        <f t="shared" si="4"/>
        <v>4.7119831685935622E-12</v>
      </c>
      <c r="AM52" s="62">
        <f t="shared" si="5"/>
        <v>293.33333333333803</v>
      </c>
      <c r="AN52" s="62">
        <f ca="1">AVERAGE(OFFSET($AM$3,0,0,'Données projet'!$E$10+1,1))-AVERAGE(OFFSET($H$3,0,0,'Données projet'!$E$10+1,1))</f>
        <v>249.70045432150511</v>
      </c>
      <c r="AO52" s="62">
        <f t="shared" si="36"/>
        <v>348.75012088192597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70.338459345701935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5.4090354876724751</v>
      </c>
      <c r="AX52" s="23">
        <f t="shared" si="6"/>
        <v>75.747494833374404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294</v>
      </c>
      <c r="L53" s="13">
        <f>VLOOKUP(A53,'Données projet'!$A$35:$I$55,9,0)</f>
        <v>7.9</v>
      </c>
      <c r="M53" s="13">
        <f t="array" ref="M53">INDEX(L:L,MIN(IF(ISNUMBER(L53:L249),ROW(L53:L249),"")))</f>
        <v>7.9</v>
      </c>
      <c r="N53" s="14">
        <f>IF('Données projet'!$A$36&gt;35,N52+M53-V52,IF(A53&lt;'Données projet'!$A$36,$K$205^A53,IF(A53='Données projet'!$A$36,'Données projet'!$B$36,N52+M53-V52)))</f>
        <v>293.99999999999983</v>
      </c>
      <c r="O53" s="14">
        <f>N53*VLOOKUP('Données projet'!$B$9,Paramètres!$A$1:$I$89,3,0)*VLOOKUP('Données projet'!$B$9,Paramètres!$A$1:$I$89,5,0)</f>
        <v>175.8119999999999</v>
      </c>
      <c r="P53" s="14">
        <f t="shared" si="33"/>
        <v>44.389160560041141</v>
      </c>
      <c r="Q53" s="22">
        <f t="shared" si="53"/>
        <v>383.51702130873815</v>
      </c>
      <c r="R53" s="62">
        <f t="shared" si="0"/>
        <v>676.85035464207147</v>
      </c>
      <c r="S53" s="62">
        <f ca="1">AVERAGE(OFFSET($R$3,0,0,'Données projet'!$E$9+1,1))-AVERAGE(OFFSET($H$3,0,0,'Données projet'!$E$9+1,1))</f>
        <v>150.6643110947133</v>
      </c>
      <c r="T53" s="62">
        <f t="shared" si="34"/>
        <v>231.70571415193996</v>
      </c>
      <c r="U53" s="16">
        <f>IF(ISNA(VLOOKUP(A53,'Données projet'!$A$35:$I$55,3,0)),0,VLOOKUP(A53,'Données projet'!$A$35:$I$55,3,0))</f>
        <v>5</v>
      </c>
      <c r="V53" s="16">
        <f>IF(ISNA(VLOOKUP(A53,'Données projet'!$A$35:$I$55,4,0)),0,VLOOKUP(A53,'Données projet'!$A$35:$I$55,4,0))</f>
        <v>294</v>
      </c>
      <c r="W53" s="17">
        <f>IF(ISNA(VLOOKUP(A53,'Données projet'!$A$35:$I$55,5,0)),0%,VLOOKUP(A53,'Données projet'!$A$35:$I$55,5,0)*VLOOKUP('Données projet'!$B$9,Paramètres!$A$1:$I$89,7,0))</f>
        <v>0.27</v>
      </c>
      <c r="X53" s="17">
        <f>IF(ISNA(VLOOKUP(A53,'Données projet'!$A$35:$I$55,6,0)),0%,VLOOKUP(A53,'Données projet'!$A$35:$I$55,6,0)*VLOOKUP('Données projet'!$B$9,Paramètres!$A$1:$I$89,7,0))</f>
        <v>0.13500000000000001</v>
      </c>
      <c r="Y53" s="17">
        <f>IF(ISNA(VLOOKUP(A53,'Données projet'!$A$35:$I$55,7,0)),0%,VLOOKUP(A53,'Données projet'!$A$35:$I$55,7,0))</f>
        <v>0.1</v>
      </c>
      <c r="Z53" s="23">
        <f>EXP(-LN(2)/35)*Z52+(1-EXP(-LN(2)/35))/(LN(2)/35)*V53*W53*VLOOKUP('Données projet'!$B$9,Paramètres!$A$1:$I$89,3,0)*0.475*44/12</f>
        <v>74.965335860518607</v>
      </c>
      <c r="AA53" s="23">
        <f>EXP(-LN(2)/25)*AA52+(1-EXP(-LN(2)/25))/(LN(2)/25)*Calculateur!V53*Calculateur!X53*VLOOKUP('Données projet'!$B$9,Paramètres!$A$1:$I$89,3,0)*0.475*44/12</f>
        <v>36.751010707960745</v>
      </c>
      <c r="AB53" s="23">
        <f>EXP(-LN(2)/2)*AB52+(1-EXP(-LN(2)/2))/(LN(2)/2)*V53*Y53*VLOOKUP('Données projet'!$B$9,Paramètres!$A$1:$I$89,3,0)*0.475*44/12</f>
        <v>20.139046579888031</v>
      </c>
      <c r="AC53" s="24">
        <f t="shared" si="3"/>
        <v>131.8553931483674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1.9895196601282805E-13</v>
      </c>
      <c r="AJ53" s="14">
        <f>AI53*VLOOKUP('Données projet'!$B$10,Paramètres!$A$1:$I$89,3,0)*VLOOKUP('Données projet'!$B$10,Paramètres!$A$1:$I$89,5,0)</f>
        <v>1.8001173884840681E-13</v>
      </c>
      <c r="AK53" s="14">
        <f t="shared" si="35"/>
        <v>2.5254331426407198E-12</v>
      </c>
      <c r="AL53" s="22">
        <f t="shared" si="4"/>
        <v>4.7119831685935622E-12</v>
      </c>
      <c r="AM53" s="62">
        <f t="shared" si="5"/>
        <v>293.33333333333803</v>
      </c>
      <c r="AN53" s="62">
        <f ca="1">AVERAGE(OFFSET($AM$3,0,0,'Données projet'!$E$10+1,1))-AVERAGE(OFFSET($H$3,0,0,'Données projet'!$E$10+1,1))</f>
        <v>249.70045432150511</v>
      </c>
      <c r="AO53" s="62">
        <f t="shared" si="36"/>
        <v>348.75012088192597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68.959165060156678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3.8247656730118913</v>
      </c>
      <c r="AX53" s="23">
        <f t="shared" si="6"/>
        <v>72.783930733168575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-1.7053025658242404E-13</v>
      </c>
      <c r="O54" s="14">
        <f>N54*VLOOKUP('Données projet'!$B$9,Paramètres!$A$1:$I$89,3,0)*VLOOKUP('Données projet'!$B$9,Paramètres!$A$1:$I$89,5,0)</f>
        <v>-1.0197709343628959E-13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150.6643110947133</v>
      </c>
      <c r="T54" s="62">
        <f t="shared" si="34"/>
        <v>231.70571415193996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73.495311348633805</v>
      </c>
      <c r="AA54" s="23">
        <f>EXP(-LN(2)/25)*AA53+(1-EXP(-LN(2)/25))/(LN(2)/25)*Calculateur!V54*Calculateur!X54*VLOOKUP('Données projet'!$B$9,Paramètres!$A$1:$I$89,3,0)*0.475*44/12</f>
        <v>35.746052387499901</v>
      </c>
      <c r="AB54" s="23">
        <f>EXP(-LN(2)/2)*AB53+(1-EXP(-LN(2)/2))/(LN(2)/2)*V54*Y54*VLOOKUP('Données projet'!$B$9,Paramètres!$A$1:$I$89,3,0)*0.475*44/12</f>
        <v>14.240456403270576</v>
      </c>
      <c r="AC54" s="24">
        <f t="shared" si="3"/>
        <v>123.48182013940428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1.9895196601282805E-13</v>
      </c>
      <c r="AJ54" s="14">
        <f>AI54*VLOOKUP('Données projet'!$B$10,Paramètres!$A$1:$I$89,3,0)*VLOOKUP('Données projet'!$B$10,Paramètres!$A$1:$I$89,5,0)</f>
        <v>1.8001173884840681E-13</v>
      </c>
      <c r="AK54" s="14">
        <f t="shared" si="35"/>
        <v>2.5254331426407198E-12</v>
      </c>
      <c r="AL54" s="22">
        <f t="shared" si="4"/>
        <v>4.7119831685935622E-12</v>
      </c>
      <c r="AM54" s="62">
        <f t="shared" si="5"/>
        <v>293.33333333333803</v>
      </c>
      <c r="AN54" s="62">
        <f ca="1">AVERAGE(OFFSET($AM$3,0,0,'Données projet'!$E$10+1,1))-AVERAGE(OFFSET($H$3,0,0,'Données projet'!$E$10+1,1))</f>
        <v>249.70045432150511</v>
      </c>
      <c r="AO54" s="62">
        <f t="shared" si="36"/>
        <v>348.75012088192597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67.606917894264527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2.704517743836238</v>
      </c>
      <c r="AX54" s="23">
        <f t="shared" si="6"/>
        <v>70.311435638100761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-1.7053025658242404E-13</v>
      </c>
      <c r="O55" s="14">
        <f>N55*VLOOKUP('Données projet'!$B$9,Paramètres!$A$1:$I$89,3,0)*VLOOKUP('Données projet'!$B$9,Paramètres!$A$1:$I$89,5,0)</f>
        <v>-1.0197709343628959E-13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150.6643110947133</v>
      </c>
      <c r="T55" s="62">
        <f t="shared" si="34"/>
        <v>231.70571415193996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72.05411312080065</v>
      </c>
      <c r="AA55" s="23">
        <f>EXP(-LN(2)/25)*AA54+(1-EXP(-LN(2)/25))/(LN(2)/25)*Calculateur!V55*Calculateur!X55*VLOOKUP('Données projet'!$B$9,Paramètres!$A$1:$I$89,3,0)*0.475*44/12</f>
        <v>34.768574705160518</v>
      </c>
      <c r="AB55" s="23">
        <f>EXP(-LN(2)/2)*AB54+(1-EXP(-LN(2)/2))/(LN(2)/2)*V55*Y55*VLOOKUP('Données projet'!$B$9,Paramètres!$A$1:$I$89,3,0)*0.475*44/12</f>
        <v>10.069523289944017</v>
      </c>
      <c r="AC55" s="24">
        <f t="shared" si="3"/>
        <v>116.89221111590518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1.9895196601282805E-13</v>
      </c>
      <c r="AJ55" s="14">
        <f>AI55*VLOOKUP('Données projet'!$B$10,Paramètres!$A$1:$I$89,3,0)*VLOOKUP('Données projet'!$B$10,Paramètres!$A$1:$I$89,5,0)</f>
        <v>1.8001173884840681E-13</v>
      </c>
      <c r="AK55" s="14">
        <f t="shared" si="35"/>
        <v>2.5254331426407198E-12</v>
      </c>
      <c r="AL55" s="22">
        <f t="shared" si="4"/>
        <v>4.7119831685935622E-12</v>
      </c>
      <c r="AM55" s="62">
        <f t="shared" si="5"/>
        <v>293.33333333333803</v>
      </c>
      <c r="AN55" s="62">
        <f ca="1">AVERAGE(OFFSET($AM$3,0,0,'Données projet'!$E$10+1,1))-AVERAGE(OFFSET($H$3,0,0,'Données projet'!$E$10+1,1))</f>
        <v>249.70045432150511</v>
      </c>
      <c r="AO55" s="62">
        <f t="shared" si="36"/>
        <v>348.75012088192597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66.281187470506183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1.9123828365059461</v>
      </c>
      <c r="AX55" s="23">
        <f t="shared" si="6"/>
        <v>68.193570307012124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-1.7053025658242404E-13</v>
      </c>
      <c r="O56" s="14">
        <f>N56*VLOOKUP('Données projet'!$B$9,Paramètres!$A$1:$I$89,3,0)*VLOOKUP('Données projet'!$B$9,Paramètres!$A$1:$I$89,5,0)</f>
        <v>-1.0197709343628959E-13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150.6643110947133</v>
      </c>
      <c r="T56" s="62">
        <f t="shared" si="34"/>
        <v>231.70571415193996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70.641175911171189</v>
      </c>
      <c r="AA56" s="23">
        <f>EXP(-LN(2)/25)*AA55+(1-EXP(-LN(2)/25))/(LN(2)/25)*Calculateur!V56*Calculateur!X56*VLOOKUP('Données projet'!$B$9,Paramètres!$A$1:$I$89,3,0)*0.475*44/12</f>
        <v>33.817826201448021</v>
      </c>
      <c r="AB56" s="23">
        <f>EXP(-LN(2)/2)*AB55+(1-EXP(-LN(2)/2))/(LN(2)/2)*V56*Y56*VLOOKUP('Données projet'!$B$9,Paramètres!$A$1:$I$89,3,0)*0.475*44/12</f>
        <v>7.1202282016352889</v>
      </c>
      <c r="AC56" s="24">
        <f t="shared" si="3"/>
        <v>111.57923031425449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1.9895196601282805E-13</v>
      </c>
      <c r="AJ56" s="14">
        <f>AI56*VLOOKUP('Données projet'!$B$10,Paramètres!$A$1:$I$89,3,0)*VLOOKUP('Données projet'!$B$10,Paramètres!$A$1:$I$89,5,0)</f>
        <v>1.8001173884840681E-13</v>
      </c>
      <c r="AK56" s="14">
        <f t="shared" si="35"/>
        <v>2.5254331426407198E-12</v>
      </c>
      <c r="AL56" s="22">
        <f t="shared" si="4"/>
        <v>4.7119831685935622E-12</v>
      </c>
      <c r="AM56" s="62">
        <f t="shared" si="5"/>
        <v>293.33333333333803</v>
      </c>
      <c r="AN56" s="62">
        <f ca="1">AVERAGE(OFFSET($AM$3,0,0,'Données projet'!$E$10+1,1))-AVERAGE(OFFSET($H$3,0,0,'Données projet'!$E$10+1,1))</f>
        <v>249.70045432150511</v>
      </c>
      <c r="AO56" s="62">
        <f t="shared" si="36"/>
        <v>348.75012088192597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64.981453811742028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1.3522588719181192</v>
      </c>
      <c r="AX56" s="23">
        <f t="shared" si="6"/>
        <v>66.333712683660153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-1.7053025658242404E-13</v>
      </c>
      <c r="O57" s="14">
        <f>N57*VLOOKUP('Données projet'!$B$9,Paramètres!$A$1:$I$89,3,0)*VLOOKUP('Données projet'!$B$9,Paramètres!$A$1:$I$89,5,0)</f>
        <v>-1.0197709343628959E-13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150.6643110947133</v>
      </c>
      <c r="T57" s="62">
        <f t="shared" si="34"/>
        <v>231.70571415193996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69.255945538415958</v>
      </c>
      <c r="AA57" s="23">
        <f>EXP(-LN(2)/25)*AA56+(1-EXP(-LN(2)/25))/(LN(2)/25)*Calculateur!V57*Calculateur!X57*VLOOKUP('Données projet'!$B$9,Paramètres!$A$1:$I$89,3,0)*0.475*44/12</f>
        <v>32.893075965567235</v>
      </c>
      <c r="AB57" s="23">
        <f>EXP(-LN(2)/2)*AB56+(1-EXP(-LN(2)/2))/(LN(2)/2)*V57*Y57*VLOOKUP('Données projet'!$B$9,Paramètres!$A$1:$I$89,3,0)*0.475*44/12</f>
        <v>5.0347616449720096</v>
      </c>
      <c r="AC57" s="24">
        <f t="shared" si="3"/>
        <v>107.1837831489552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1.9895196601282805E-13</v>
      </c>
      <c r="AJ57" s="14">
        <f>AI57*VLOOKUP('Données projet'!$B$10,Paramètres!$A$1:$I$89,3,0)*VLOOKUP('Données projet'!$B$10,Paramètres!$A$1:$I$89,5,0)</f>
        <v>1.8001173884840681E-13</v>
      </c>
      <c r="AK57" s="14">
        <f t="shared" si="35"/>
        <v>2.5254331426407198E-12</v>
      </c>
      <c r="AL57" s="22">
        <f t="shared" si="4"/>
        <v>4.7119831685935622E-12</v>
      </c>
      <c r="AM57" s="62">
        <f t="shared" si="5"/>
        <v>293.33333333333803</v>
      </c>
      <c r="AN57" s="62">
        <f ca="1">AVERAGE(OFFSET($AM$3,0,0,'Données projet'!$E$10+1,1))-AVERAGE(OFFSET($H$3,0,0,'Données projet'!$E$10+1,1))</f>
        <v>249.70045432150511</v>
      </c>
      <c r="AO57" s="62">
        <f t="shared" si="36"/>
        <v>348.75012088192597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63.707207137266984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0.95619141825297316</v>
      </c>
      <c r="AX57" s="23">
        <f t="shared" si="6"/>
        <v>64.663398555519962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-1.7053025658242404E-13</v>
      </c>
      <c r="O58" s="14">
        <f>N58*VLOOKUP('Données projet'!$B$9,Paramètres!$A$1:$I$89,3,0)*VLOOKUP('Données projet'!$B$9,Paramètres!$A$1:$I$89,5,0)</f>
        <v>-1.0197709343628959E-13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150.6643110947133</v>
      </c>
      <c r="T58" s="62">
        <f t="shared" si="34"/>
        <v>231.70571415193996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67.897878688363349</v>
      </c>
      <c r="AA58" s="23">
        <f>EXP(-LN(2)/25)*AA57+(1-EXP(-LN(2)/25))/(LN(2)/25)*Calculateur!V58*Calculateur!X58*VLOOKUP('Données projet'!$B$9,Paramètres!$A$1:$I$89,3,0)*0.475*44/12</f>
        <v>31.99361307351711</v>
      </c>
      <c r="AB58" s="23">
        <f>EXP(-LN(2)/2)*AB57+(1-EXP(-LN(2)/2))/(LN(2)/2)*V58*Y58*VLOOKUP('Données projet'!$B$9,Paramètres!$A$1:$I$89,3,0)*0.475*44/12</f>
        <v>3.5601141008176449</v>
      </c>
      <c r="AC58" s="24">
        <f t="shared" si="3"/>
        <v>103.4516058626981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1.9895196601282805E-13</v>
      </c>
      <c r="AJ58" s="14">
        <f>AI58*VLOOKUP('Données projet'!$B$10,Paramètres!$A$1:$I$89,3,0)*VLOOKUP('Données projet'!$B$10,Paramètres!$A$1:$I$89,5,0)</f>
        <v>1.8001173884840681E-13</v>
      </c>
      <c r="AK58" s="14">
        <f t="shared" si="35"/>
        <v>2.5254331426407198E-12</v>
      </c>
      <c r="AL58" s="22">
        <f t="shared" si="4"/>
        <v>4.7119831685935622E-12</v>
      </c>
      <c r="AM58" s="62">
        <f t="shared" si="5"/>
        <v>293.33333333333803</v>
      </c>
      <c r="AN58" s="62">
        <f ca="1">AVERAGE(OFFSET($AM$3,0,0,'Données projet'!$E$10+1,1))-AVERAGE(OFFSET($H$3,0,0,'Données projet'!$E$10+1,1))</f>
        <v>249.70045432150511</v>
      </c>
      <c r="AO58" s="62">
        <f t="shared" si="36"/>
        <v>348.75012088192597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62.457947662864669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0.67612943595905972</v>
      </c>
      <c r="AX58" s="23">
        <f t="shared" si="6"/>
        <v>63.134077098823731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-1.7053025658242404E-13</v>
      </c>
      <c r="O59" s="14">
        <f>N59*VLOOKUP('Données projet'!$B$9,Paramètres!$A$1:$I$89,3,0)*VLOOKUP('Données projet'!$B$9,Paramètres!$A$1:$I$89,5,0)</f>
        <v>-1.0197709343628959E-13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150.6643110947133</v>
      </c>
      <c r="T59" s="62">
        <f t="shared" si="34"/>
        <v>231.70571415193996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66.566442700901291</v>
      </c>
      <c r="AA59" s="23">
        <f>EXP(-LN(2)/25)*AA58+(1-EXP(-LN(2)/25))/(LN(2)/25)*Calculateur!V59*Calculateur!X59*VLOOKUP('Données projet'!$B$9,Paramètres!$A$1:$I$89,3,0)*0.475*44/12</f>
        <v>31.118746041550796</v>
      </c>
      <c r="AB59" s="23">
        <f>EXP(-LN(2)/2)*AB58+(1-EXP(-LN(2)/2))/(LN(2)/2)*V59*Y59*VLOOKUP('Données projet'!$B$9,Paramètres!$A$1:$I$89,3,0)*0.475*44/12</f>
        <v>2.5173808224860048</v>
      </c>
      <c r="AC59" s="24">
        <f t="shared" si="3"/>
        <v>100.20256956493809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1.9895196601282805E-13</v>
      </c>
      <c r="AJ59" s="14">
        <f>AI59*VLOOKUP('Données projet'!$B$10,Paramètres!$A$1:$I$89,3,0)*VLOOKUP('Données projet'!$B$10,Paramètres!$A$1:$I$89,5,0)</f>
        <v>1.8001173884840681E-13</v>
      </c>
      <c r="AK59" s="14">
        <f t="shared" si="35"/>
        <v>2.5254331426407198E-12</v>
      </c>
      <c r="AL59" s="22">
        <f t="shared" si="4"/>
        <v>4.7119831685935622E-12</v>
      </c>
      <c r="AM59" s="62">
        <f t="shared" si="5"/>
        <v>293.33333333333803</v>
      </c>
      <c r="AN59" s="62">
        <f ca="1">AVERAGE(OFFSET($AM$3,0,0,'Données projet'!$E$10+1,1))-AVERAGE(OFFSET($H$3,0,0,'Données projet'!$E$10+1,1))</f>
        <v>249.70045432150511</v>
      </c>
      <c r="AO59" s="62">
        <f t="shared" si="36"/>
        <v>348.75012088192597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61.23318540478234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0.47809570912648669</v>
      </c>
      <c r="AX59" s="23">
        <f t="shared" si="6"/>
        <v>61.711281113908825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-1.7053025658242404E-13</v>
      </c>
      <c r="O60" s="14">
        <f>N60*VLOOKUP('Données projet'!$B$9,Paramètres!$A$1:$I$89,3,0)*VLOOKUP('Données projet'!$B$9,Paramètres!$A$1:$I$89,5,0)</f>
        <v>-1.0197709343628959E-13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150.6643110947133</v>
      </c>
      <c r="T60" s="62">
        <f t="shared" si="34"/>
        <v>231.70571415193996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65.261115361057591</v>
      </c>
      <c r="AA60" s="23">
        <f>EXP(-LN(2)/25)*AA59+(1-EXP(-LN(2)/25))/(LN(2)/25)*Calculateur!V60*Calculateur!X60*VLOOKUP('Données projet'!$B$9,Paramètres!$A$1:$I$89,3,0)*0.475*44/12</f>
        <v>30.267802294580857</v>
      </c>
      <c r="AB60" s="23">
        <f>EXP(-LN(2)/2)*AB59+(1-EXP(-LN(2)/2))/(LN(2)/2)*V60*Y60*VLOOKUP('Données projet'!$B$9,Paramètres!$A$1:$I$89,3,0)*0.475*44/12</f>
        <v>1.7800570504088224</v>
      </c>
      <c r="AC60" s="24">
        <f t="shared" si="3"/>
        <v>97.30897470604728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1.9895196601282805E-13</v>
      </c>
      <c r="AJ60" s="14">
        <f>AI60*VLOOKUP('Données projet'!$B$10,Paramètres!$A$1:$I$89,3,0)*VLOOKUP('Données projet'!$B$10,Paramètres!$A$1:$I$89,5,0)</f>
        <v>1.8001173884840681E-13</v>
      </c>
      <c r="AK60" s="14">
        <f t="shared" si="35"/>
        <v>2.5254331426407198E-12</v>
      </c>
      <c r="AL60" s="22">
        <f t="shared" si="4"/>
        <v>4.7119831685935622E-12</v>
      </c>
      <c r="AM60" s="62">
        <f t="shared" si="5"/>
        <v>293.33333333333803</v>
      </c>
      <c r="AN60" s="62">
        <f ca="1">AVERAGE(OFFSET($AM$3,0,0,'Données projet'!$E$10+1,1))-AVERAGE(OFFSET($H$3,0,0,'Données projet'!$E$10+1,1))</f>
        <v>249.70045432150511</v>
      </c>
      <c r="AO60" s="62">
        <f t="shared" si="36"/>
        <v>348.75012088192597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60.032439987549793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0.33806471797952992</v>
      </c>
      <c r="AX60" s="23">
        <f t="shared" si="6"/>
        <v>60.370504705529321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-1.7053025658242404E-13</v>
      </c>
      <c r="O61" s="14">
        <f>N61*VLOOKUP('Données projet'!$B$9,Paramètres!$A$1:$I$89,3,0)*VLOOKUP('Données projet'!$B$9,Paramètres!$A$1:$I$89,5,0)</f>
        <v>-1.0197709343628959E-13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150.6643110947133</v>
      </c>
      <c r="T61" s="62">
        <f t="shared" si="34"/>
        <v>231.70571415193996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63.981384694177173</v>
      </c>
      <c r="AA61" s="23">
        <f>EXP(-LN(2)/25)*AA60+(1-EXP(-LN(2)/25))/(LN(2)/25)*Calculateur!V61*Calculateur!X61*VLOOKUP('Données projet'!$B$9,Paramètres!$A$1:$I$89,3,0)*0.475*44/12</f>
        <v>29.440127649120999</v>
      </c>
      <c r="AB61" s="23">
        <f>EXP(-LN(2)/2)*AB60+(1-EXP(-LN(2)/2))/(LN(2)/2)*V61*Y61*VLOOKUP('Données projet'!$B$9,Paramètres!$A$1:$I$89,3,0)*0.475*44/12</f>
        <v>1.2586904112430024</v>
      </c>
      <c r="AC61" s="24">
        <f t="shared" si="3"/>
        <v>94.680202754541185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1.9895196601282805E-13</v>
      </c>
      <c r="AJ61" s="14">
        <f>AI61*VLOOKUP('Données projet'!$B$10,Paramètres!$A$1:$I$89,3,0)*VLOOKUP('Données projet'!$B$10,Paramètres!$A$1:$I$89,5,0)</f>
        <v>1.8001173884840681E-13</v>
      </c>
      <c r="AK61" s="14">
        <f t="shared" si="35"/>
        <v>2.5254331426407198E-12</v>
      </c>
      <c r="AL61" s="22">
        <f t="shared" si="4"/>
        <v>4.7119831685935622E-12</v>
      </c>
      <c r="AM61" s="62">
        <f t="shared" si="5"/>
        <v>293.33333333333803</v>
      </c>
      <c r="AN61" s="62">
        <f ca="1">AVERAGE(OFFSET($AM$3,0,0,'Données projet'!$E$10+1,1))-AVERAGE(OFFSET($H$3,0,0,'Données projet'!$E$10+1,1))</f>
        <v>249.70045432150511</v>
      </c>
      <c r="AO61" s="62">
        <f t="shared" si="36"/>
        <v>348.75012088192597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58.855240455566786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0.23904785456324337</v>
      </c>
      <c r="AX61" s="23">
        <f t="shared" si="6"/>
        <v>59.094288310130032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-1.7053025658242404E-13</v>
      </c>
      <c r="O62" s="14">
        <f>N62*VLOOKUP('Données projet'!$B$9,Paramètres!$A$1:$I$89,3,0)*VLOOKUP('Données projet'!$B$9,Paramètres!$A$1:$I$89,5,0)</f>
        <v>-1.0197709343628959E-13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150.6643110947133</v>
      </c>
      <c r="T62" s="62">
        <f t="shared" si="34"/>
        <v>231.70571415193996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62.726748765115644</v>
      </c>
      <c r="AA62" s="23">
        <f>EXP(-LN(2)/25)*AA61+(1-EXP(-LN(2)/25))/(LN(2)/25)*Calculateur!V62*Calculateur!X62*VLOOKUP('Données projet'!$B$9,Paramètres!$A$1:$I$89,3,0)*0.475*44/12</f>
        <v>28.635085810366757</v>
      </c>
      <c r="AB62" s="23">
        <f>EXP(-LN(2)/2)*AB61+(1-EXP(-LN(2)/2))/(LN(2)/2)*V62*Y62*VLOOKUP('Données projet'!$B$9,Paramètres!$A$1:$I$89,3,0)*0.475*44/12</f>
        <v>0.89002852520441122</v>
      </c>
      <c r="AC62" s="24">
        <f t="shared" si="3"/>
        <v>92.251863100686819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1.9895196601282805E-13</v>
      </c>
      <c r="AJ62" s="14">
        <f>AI62*VLOOKUP('Données projet'!$B$10,Paramètres!$A$1:$I$89,3,0)*VLOOKUP('Données projet'!$B$10,Paramètres!$A$1:$I$89,5,0)</f>
        <v>1.8001173884840681E-13</v>
      </c>
      <c r="AK62" s="14">
        <f t="shared" si="35"/>
        <v>2.5254331426407198E-12</v>
      </c>
      <c r="AL62" s="22">
        <f t="shared" si="4"/>
        <v>4.7119831685935622E-12</v>
      </c>
      <c r="AM62" s="62">
        <f t="shared" si="5"/>
        <v>293.33333333333803</v>
      </c>
      <c r="AN62" s="62">
        <f ca="1">AVERAGE(OFFSET($AM$3,0,0,'Données projet'!$E$10+1,1))-AVERAGE(OFFSET($H$3,0,0,'Données projet'!$E$10+1,1))</f>
        <v>249.70045432150511</v>
      </c>
      <c r="AO62" s="62">
        <f t="shared" si="36"/>
        <v>348.75012088192597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57.701125088385155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0.16903235898976499</v>
      </c>
      <c r="AX62" s="23">
        <f t="shared" si="6"/>
        <v>57.870157447374922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-1.7053025658242404E-13</v>
      </c>
      <c r="O63" s="14">
        <f>N63*VLOOKUP('Données projet'!$B$9,Paramètres!$A$1:$I$89,3,0)*VLOOKUP('Données projet'!$B$9,Paramètres!$A$1:$I$89,5,0)</f>
        <v>-1.0197709343628959E-13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150.6643110947133</v>
      </c>
      <c r="T63" s="62">
        <f t="shared" si="34"/>
        <v>231.70571415193996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61.496715481370657</v>
      </c>
      <c r="AA63" s="23">
        <f>EXP(-LN(2)/25)*AA62+(1-EXP(-LN(2)/25))/(LN(2)/25)*Calculateur!V63*Calculateur!X63*VLOOKUP('Données projet'!$B$9,Paramètres!$A$1:$I$89,3,0)*0.475*44/12</f>
        <v>27.852057883028561</v>
      </c>
      <c r="AB63" s="23">
        <f>EXP(-LN(2)/2)*AB62+(1-EXP(-LN(2)/2))/(LN(2)/2)*V63*Y63*VLOOKUP('Données projet'!$B$9,Paramètres!$A$1:$I$89,3,0)*0.475*44/12</f>
        <v>0.6293452056215012</v>
      </c>
      <c r="AC63" s="24">
        <f t="shared" si="3"/>
        <v>89.978118570020726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1.9895196601282805E-13</v>
      </c>
      <c r="AJ63" s="14">
        <f>AI63*VLOOKUP('Données projet'!$B$10,Paramètres!$A$1:$I$89,3,0)*VLOOKUP('Données projet'!$B$10,Paramètres!$A$1:$I$89,5,0)</f>
        <v>1.8001173884840681E-13</v>
      </c>
      <c r="AK63" s="14">
        <f t="shared" si="35"/>
        <v>2.5254331426407198E-12</v>
      </c>
      <c r="AL63" s="22">
        <f t="shared" si="4"/>
        <v>4.7119831685935622E-12</v>
      </c>
      <c r="AM63" s="62">
        <f t="shared" si="5"/>
        <v>293.33333333333803</v>
      </c>
      <c r="AN63" s="62">
        <f ca="1">AVERAGE(OFFSET($AM$3,0,0,'Données projet'!$E$10+1,1))-AVERAGE(OFFSET($H$3,0,0,'Données projet'!$E$10+1,1))</f>
        <v>249.70045432150511</v>
      </c>
      <c r="AO63" s="62">
        <f t="shared" si="36"/>
        <v>348.75012088192597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56.569641219613089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0.11952392728162171</v>
      </c>
      <c r="AX63" s="23">
        <f t="shared" si="6"/>
        <v>56.689165146894709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-1.7053025658242404E-13</v>
      </c>
      <c r="O64" s="14">
        <f>N64*VLOOKUP('Données projet'!$B$9,Paramètres!$A$1:$I$89,3,0)*VLOOKUP('Données projet'!$B$9,Paramètres!$A$1:$I$89,5,0)</f>
        <v>-1.0197709343628959E-13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150.6643110947133</v>
      </c>
      <c r="T64" s="62">
        <f t="shared" si="34"/>
        <v>231.70571415193996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60.290802400073687</v>
      </c>
      <c r="AA64" s="23">
        <f>EXP(-LN(2)/25)*AA63+(1-EXP(-LN(2)/25))/(LN(2)/25)*Calculateur!V64*Calculateur!X64*VLOOKUP('Données projet'!$B$9,Paramètres!$A$1:$I$89,3,0)*0.475*44/12</f>
        <v>27.090441895541076</v>
      </c>
      <c r="AB64" s="23">
        <f>EXP(-LN(2)/2)*AB63+(1-EXP(-LN(2)/2))/(LN(2)/2)*V64*Y64*VLOOKUP('Données projet'!$B$9,Paramètres!$A$1:$I$89,3,0)*0.475*44/12</f>
        <v>0.44501426260220561</v>
      </c>
      <c r="AC64" s="24">
        <f t="shared" si="3"/>
        <v>87.826258558216963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1.9895196601282805E-13</v>
      </c>
      <c r="AJ64" s="14">
        <f>AI64*VLOOKUP('Données projet'!$B$10,Paramètres!$A$1:$I$89,3,0)*VLOOKUP('Données projet'!$B$10,Paramètres!$A$1:$I$89,5,0)</f>
        <v>1.8001173884840681E-13</v>
      </c>
      <c r="AK64" s="14">
        <f t="shared" si="35"/>
        <v>2.5254331426407198E-12</v>
      </c>
      <c r="AL64" s="22">
        <f t="shared" si="4"/>
        <v>4.7119831685935622E-12</v>
      </c>
      <c r="AM64" s="62">
        <f t="shared" si="5"/>
        <v>293.33333333333803</v>
      </c>
      <c r="AN64" s="62">
        <f ca="1">AVERAGE(OFFSET($AM$3,0,0,'Données projet'!$E$10+1,1))-AVERAGE(OFFSET($H$3,0,0,'Données projet'!$E$10+1,1))</f>
        <v>249.70045432150511</v>
      </c>
      <c r="AO64" s="62">
        <f t="shared" si="36"/>
        <v>348.75012088192597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55.460345059370624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8.4516179494882507E-2</v>
      </c>
      <c r="AX64" s="23">
        <f t="shared" si="6"/>
        <v>55.544861238865508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-1.7053025658242404E-13</v>
      </c>
      <c r="O65" s="14">
        <f>N65*VLOOKUP('Données projet'!$B$9,Paramètres!$A$1:$I$89,3,0)*VLOOKUP('Données projet'!$B$9,Paramètres!$A$1:$I$89,5,0)</f>
        <v>-1.0197709343628959E-13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150.6643110947133</v>
      </c>
      <c r="T65" s="62">
        <f t="shared" si="34"/>
        <v>231.70571415193996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59.1085365387666</v>
      </c>
      <c r="AA65" s="23">
        <f>EXP(-LN(2)/25)*AA64+(1-EXP(-LN(2)/25))/(LN(2)/25)*Calculateur!V65*Calculateur!X65*VLOOKUP('Données projet'!$B$9,Paramètres!$A$1:$I$89,3,0)*0.475*44/12</f>
        <v>26.349652337283082</v>
      </c>
      <c r="AB65" s="23">
        <f>EXP(-LN(2)/2)*AB64+(1-EXP(-LN(2)/2))/(LN(2)/2)*V65*Y65*VLOOKUP('Données projet'!$B$9,Paramètres!$A$1:$I$89,3,0)*0.475*44/12</f>
        <v>0.3146726028107506</v>
      </c>
      <c r="AC65" s="24">
        <f t="shared" si="3"/>
        <v>85.772861478860435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1.9895196601282805E-13</v>
      </c>
      <c r="AJ65" s="14">
        <f>AI65*VLOOKUP('Données projet'!$B$10,Paramètres!$A$1:$I$89,3,0)*VLOOKUP('Données projet'!$B$10,Paramètres!$A$1:$I$89,5,0)</f>
        <v>1.8001173884840681E-13</v>
      </c>
      <c r="AK65" s="14">
        <f t="shared" si="35"/>
        <v>2.5254331426407198E-12</v>
      </c>
      <c r="AL65" s="22">
        <f t="shared" si="4"/>
        <v>4.7119831685935622E-12</v>
      </c>
      <c r="AM65" s="62">
        <f t="shared" si="5"/>
        <v>293.33333333333803</v>
      </c>
      <c r="AN65" s="62">
        <f ca="1">AVERAGE(OFFSET($AM$3,0,0,'Données projet'!$E$10+1,1))-AVERAGE(OFFSET($H$3,0,0,'Données projet'!$E$10+1,1))</f>
        <v>249.70045432150511</v>
      </c>
      <c r="AO65" s="62">
        <f t="shared" si="36"/>
        <v>348.75012088192597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54.372801520226666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5.9761963640810864E-2</v>
      </c>
      <c r="AX65" s="23">
        <f t="shared" si="6"/>
        <v>54.432563483867476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-1.7053025658242404E-13</v>
      </c>
      <c r="O66" s="14">
        <f>N66*VLOOKUP('Données projet'!$B$9,Paramètres!$A$1:$I$89,3,0)*VLOOKUP('Données projet'!$B$9,Paramètres!$A$1:$I$89,5,0)</f>
        <v>-1.0197709343628959E-13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150.6643110947133</v>
      </c>
      <c r="T66" s="62">
        <f t="shared" si="34"/>
        <v>231.70571415193996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57.949454189888776</v>
      </c>
      <c r="AA66" s="23">
        <f>EXP(-LN(2)/25)*AA65+(1-EXP(-LN(2)/25))/(LN(2)/25)*Calculateur!V66*Calculateur!X66*VLOOKUP('Données projet'!$B$9,Paramètres!$A$1:$I$89,3,0)*0.475*44/12</f>
        <v>25.629119708452084</v>
      </c>
      <c r="AB66" s="23">
        <f>EXP(-LN(2)/2)*AB65+(1-EXP(-LN(2)/2))/(LN(2)/2)*V66*Y66*VLOOKUP('Données projet'!$B$9,Paramètres!$A$1:$I$89,3,0)*0.475*44/12</f>
        <v>0.22250713130110281</v>
      </c>
      <c r="AC66" s="24">
        <f t="shared" si="3"/>
        <v>83.801081029641963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1.9895196601282805E-13</v>
      </c>
      <c r="AJ66" s="14">
        <f>AI66*VLOOKUP('Données projet'!$B$10,Paramètres!$A$1:$I$89,3,0)*VLOOKUP('Données projet'!$B$10,Paramètres!$A$1:$I$89,5,0)</f>
        <v>1.8001173884840681E-13</v>
      </c>
      <c r="AK66" s="14">
        <f t="shared" si="35"/>
        <v>2.5254331426407198E-12</v>
      </c>
      <c r="AL66" s="22">
        <f t="shared" si="4"/>
        <v>4.7119831685935622E-12</v>
      </c>
      <c r="AM66" s="62">
        <f t="shared" si="5"/>
        <v>293.33333333333803</v>
      </c>
      <c r="AN66" s="62">
        <f ca="1">AVERAGE(OFFSET($AM$3,0,0,'Données projet'!$E$10+1,1))-AVERAGE(OFFSET($H$3,0,0,'Données projet'!$E$10+1,1))</f>
        <v>249.70045432150511</v>
      </c>
      <c r="AO66" s="62">
        <f t="shared" si="36"/>
        <v>348.75012088192597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53.306584046549261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4.225808974744126E-2</v>
      </c>
      <c r="AX66" s="23">
        <f t="shared" si="6"/>
        <v>53.348842136296703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-1.7053025658242404E-13</v>
      </c>
      <c r="O67" s="14">
        <f>N67*VLOOKUP('Données projet'!$B$9,Paramètres!$A$1:$I$89,3,0)*VLOOKUP('Données projet'!$B$9,Paramètres!$A$1:$I$89,5,0)</f>
        <v>-1.0197709343628959E-13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150.6643110947133</v>
      </c>
      <c r="T67" s="62">
        <f t="shared" si="34"/>
        <v>231.70571415193996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56.813100738902016</v>
      </c>
      <c r="AA67" s="23">
        <f>EXP(-LN(2)/25)*AA66+(1-EXP(-LN(2)/25))/(LN(2)/25)*Calculateur!V67*Calculateur!X67*VLOOKUP('Données projet'!$B$9,Paramètres!$A$1:$I$89,3,0)*0.475*44/12</f>
        <v>24.928290082247631</v>
      </c>
      <c r="AB67" s="23">
        <f>EXP(-LN(2)/2)*AB66+(1-EXP(-LN(2)/2))/(LN(2)/2)*V67*Y67*VLOOKUP('Données projet'!$B$9,Paramètres!$A$1:$I$89,3,0)*0.475*44/12</f>
        <v>0.1573363014053753</v>
      </c>
      <c r="AC67" s="24">
        <f t="shared" si="3"/>
        <v>81.89872712255503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1.9895196601282805E-13</v>
      </c>
      <c r="AJ67" s="14">
        <f>AI67*VLOOKUP('Données projet'!$B$10,Paramètres!$A$1:$I$89,3,0)*VLOOKUP('Données projet'!$B$10,Paramètres!$A$1:$I$89,5,0)</f>
        <v>1.8001173884840681E-13</v>
      </c>
      <c r="AK67" s="14">
        <f t="shared" si="35"/>
        <v>2.5254331426407198E-12</v>
      </c>
      <c r="AL67" s="22">
        <f t="shared" si="4"/>
        <v>4.7119831685935622E-12</v>
      </c>
      <c r="AM67" s="62">
        <f t="shared" si="5"/>
        <v>293.33333333333803</v>
      </c>
      <c r="AN67" s="62">
        <f ca="1">AVERAGE(OFFSET($AM$3,0,0,'Données projet'!$E$10+1,1))-AVERAGE(OFFSET($H$3,0,0,'Données projet'!$E$10+1,1))</f>
        <v>249.70045432150511</v>
      </c>
      <c r="AO67" s="62">
        <f t="shared" si="36"/>
        <v>348.75012088192597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52.261274447202226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2.9880981820405435E-2</v>
      </c>
      <c r="AX67" s="23">
        <f t="shared" si="6"/>
        <v>52.291155429022631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-1.7053025658242404E-13</v>
      </c>
      <c r="O68" s="14">
        <f>N68*VLOOKUP('Données projet'!$B$9,Paramètres!$A$1:$I$89,3,0)*VLOOKUP('Données projet'!$B$9,Paramètres!$A$1:$I$89,5,0)</f>
        <v>-1.0197709343628959E-13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150.6643110947133</v>
      </c>
      <c r="T68" s="62">
        <f t="shared" si="34"/>
        <v>231.70571415193996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55.699030485981943</v>
      </c>
      <c r="AA68" s="23">
        <f>EXP(-LN(2)/25)*AA67+(1-EXP(-LN(2)/25))/(LN(2)/25)*Calculateur!V68*Calculateur!X68*VLOOKUP('Données projet'!$B$9,Paramètres!$A$1:$I$89,3,0)*0.475*44/12</f>
        <v>24.24662467902677</v>
      </c>
      <c r="AB68" s="23">
        <f>EXP(-LN(2)/2)*AB67+(1-EXP(-LN(2)/2))/(LN(2)/2)*V68*Y68*VLOOKUP('Données projet'!$B$9,Paramètres!$A$1:$I$89,3,0)*0.475*44/12</f>
        <v>0.1112535656505514</v>
      </c>
      <c r="AC68" s="24">
        <f t="shared" ref="AC68:AC131" si="57">SUM(Z68:AB68)</f>
        <v>80.056908730659273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1.9895196601282805E-13</v>
      </c>
      <c r="AJ68" s="14">
        <f>AI68*VLOOKUP('Données projet'!$B$10,Paramètres!$A$1:$I$89,3,0)*VLOOKUP('Données projet'!$B$10,Paramètres!$A$1:$I$89,5,0)</f>
        <v>1.8001173884840681E-13</v>
      </c>
      <c r="AK68" s="14">
        <f t="shared" si="35"/>
        <v>2.5254331426407198E-12</v>
      </c>
      <c r="AL68" s="22">
        <f t="shared" ref="AL68:AL131" si="58">(AJ68+AK68)*0.475*44/12</f>
        <v>4.7119831685935622E-12</v>
      </c>
      <c r="AM68" s="62">
        <f t="shared" ref="AM68:AM131" si="59">AL68+(AD68+AE68)*44/12</f>
        <v>293.33333333333803</v>
      </c>
      <c r="AN68" s="62">
        <f ca="1">AVERAGE(OFFSET($AM$3,0,0,'Données projet'!$E$10+1,1))-AVERAGE(OFFSET($H$3,0,0,'Données projet'!$E$10+1,1))</f>
        <v>249.70045432150511</v>
      </c>
      <c r="AO68" s="62">
        <f t="shared" si="36"/>
        <v>348.75012088192597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51.236462731522487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2.1129044873720634E-2</v>
      </c>
      <c r="AX68" s="23">
        <f t="shared" ref="AX68:AX131" si="60">SUM(AU68:AW68)</f>
        <v>51.257591776396204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-1.7053025658242404E-13</v>
      </c>
      <c r="O69" s="14">
        <f>N69*VLOOKUP('Données projet'!$B$9,Paramètres!$A$1:$I$89,3,0)*VLOOKUP('Données projet'!$B$9,Paramètres!$A$1:$I$89,5,0)</f>
        <v>-1.0197709343628959E-13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150.6643110947133</v>
      </c>
      <c r="T69" s="62">
        <f t="shared" ref="T69:T132" si="88">$T$3</f>
        <v>231.70571415193996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54.606806471205871</v>
      </c>
      <c r="AA69" s="23">
        <f>EXP(-LN(2)/25)*AA68+(1-EXP(-LN(2)/25))/(LN(2)/25)*Calculateur!V69*Calculateur!X69*VLOOKUP('Données projet'!$B$9,Paramètres!$A$1:$I$89,3,0)*0.475*44/12</f>
        <v>23.583599452104206</v>
      </c>
      <c r="AB69" s="23">
        <f>EXP(-LN(2)/2)*AB68+(1-EXP(-LN(2)/2))/(LN(2)/2)*V69*Y69*VLOOKUP('Données projet'!$B$9,Paramètres!$A$1:$I$89,3,0)*0.475*44/12</f>
        <v>7.866815070268765E-2</v>
      </c>
      <c r="AC69" s="24">
        <f t="shared" si="57"/>
        <v>78.269074074012764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1.9895196601282805E-13</v>
      </c>
      <c r="AJ69" s="14">
        <f>AI69*VLOOKUP('Données projet'!$B$10,Paramètres!$A$1:$I$89,3,0)*VLOOKUP('Données projet'!$B$10,Paramètres!$A$1:$I$89,5,0)</f>
        <v>1.8001173884840681E-13</v>
      </c>
      <c r="AK69" s="14">
        <f t="shared" ref="AK69:AK132" si="89">EXP(-1.0587+0.8836*LN(AJ69)+0.284)</f>
        <v>2.5254331426407198E-12</v>
      </c>
      <c r="AL69" s="22">
        <f t="shared" si="58"/>
        <v>4.7119831685935622E-12</v>
      </c>
      <c r="AM69" s="62">
        <f t="shared" si="59"/>
        <v>293.33333333333803</v>
      </c>
      <c r="AN69" s="62">
        <f ca="1">AVERAGE(OFFSET($AM$3,0,0,'Données projet'!$E$10+1,1))-AVERAGE(OFFSET($H$3,0,0,'Données projet'!$E$10+1,1))</f>
        <v>249.70045432150511</v>
      </c>
      <c r="AO69" s="62">
        <f t="shared" ref="AO69:AO132" si="90">$AO$3</f>
        <v>348.75012088192597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50.231746948513802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1.4940490910202721E-2</v>
      </c>
      <c r="AX69" s="23">
        <f t="shared" si="60"/>
        <v>50.246687439424008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-1.7053025658242404E-13</v>
      </c>
      <c r="O70" s="14">
        <f>N70*VLOOKUP('Données projet'!$B$9,Paramètres!$A$1:$I$89,3,0)*VLOOKUP('Données projet'!$B$9,Paramètres!$A$1:$I$89,5,0)</f>
        <v>-1.0197709343628959E-13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150.6643110947133</v>
      </c>
      <c r="T70" s="62">
        <f t="shared" si="88"/>
        <v>231.70571415193996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53.536000303168692</v>
      </c>
      <c r="AA70" s="23">
        <f>EXP(-LN(2)/25)*AA69+(1-EXP(-LN(2)/25))/(LN(2)/25)*Calculateur!V70*Calculateur!X70*VLOOKUP('Données projet'!$B$9,Paramètres!$A$1:$I$89,3,0)*0.475*44/12</f>
        <v>22.938704684878822</v>
      </c>
      <c r="AB70" s="23">
        <f>EXP(-LN(2)/2)*AB69+(1-EXP(-LN(2)/2))/(LN(2)/2)*V70*Y70*VLOOKUP('Données projet'!$B$9,Paramètres!$A$1:$I$89,3,0)*0.475*44/12</f>
        <v>5.5626782825275702E-2</v>
      </c>
      <c r="AC70" s="24">
        <f t="shared" si="57"/>
        <v>76.530331770872777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1.9895196601282805E-13</v>
      </c>
      <c r="AJ70" s="14">
        <f>AI70*VLOOKUP('Données projet'!$B$10,Paramètres!$A$1:$I$89,3,0)*VLOOKUP('Données projet'!$B$10,Paramètres!$A$1:$I$89,5,0)</f>
        <v>1.8001173884840681E-13</v>
      </c>
      <c r="AK70" s="14">
        <f t="shared" si="89"/>
        <v>2.5254331426407198E-12</v>
      </c>
      <c r="AL70" s="22">
        <f t="shared" si="58"/>
        <v>4.7119831685935622E-12</v>
      </c>
      <c r="AM70" s="62">
        <f t="shared" si="59"/>
        <v>293.33333333333803</v>
      </c>
      <c r="AN70" s="62">
        <f ca="1">AVERAGE(OFFSET($AM$3,0,0,'Données projet'!$E$10+1,1))-AVERAGE(OFFSET($H$3,0,0,'Données projet'!$E$10+1,1))</f>
        <v>249.70045432150511</v>
      </c>
      <c r="AO70" s="62">
        <f t="shared" si="90"/>
        <v>348.75012088192597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49.246733029193798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1.0564522436860319E-2</v>
      </c>
      <c r="AX70" s="23">
        <f t="shared" si="60"/>
        <v>49.257297551630657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-1.7053025658242404E-13</v>
      </c>
      <c r="O71" s="14">
        <f>N71*VLOOKUP('Données projet'!$B$9,Paramètres!$A$1:$I$89,3,0)*VLOOKUP('Données projet'!$B$9,Paramètres!$A$1:$I$89,5,0)</f>
        <v>-1.0197709343628959E-13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150.6643110947133</v>
      </c>
      <c r="T71" s="62">
        <f t="shared" si="88"/>
        <v>231.70571415193996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52.486191990959448</v>
      </c>
      <c r="AA71" s="23">
        <f>EXP(-LN(2)/25)*AA70+(1-EXP(-LN(2)/25))/(LN(2)/25)*Calculateur!V71*Calculateur!X71*VLOOKUP('Données projet'!$B$9,Paramètres!$A$1:$I$89,3,0)*0.475*44/12</f>
        <v>22.31144459897676</v>
      </c>
      <c r="AB71" s="23">
        <f>EXP(-LN(2)/2)*AB70+(1-EXP(-LN(2)/2))/(LN(2)/2)*V71*Y71*VLOOKUP('Données projet'!$B$9,Paramètres!$A$1:$I$89,3,0)*0.475*44/12</f>
        <v>3.9334075351343825E-2</v>
      </c>
      <c r="AC71" s="24">
        <f t="shared" si="57"/>
        <v>74.836970665287552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1.9895196601282805E-13</v>
      </c>
      <c r="AJ71" s="14">
        <f>AI71*VLOOKUP('Données projet'!$B$10,Paramètres!$A$1:$I$89,3,0)*VLOOKUP('Données projet'!$B$10,Paramètres!$A$1:$I$89,5,0)</f>
        <v>1.8001173884840681E-13</v>
      </c>
      <c r="AK71" s="14">
        <f t="shared" si="89"/>
        <v>2.5254331426407198E-12</v>
      </c>
      <c r="AL71" s="22">
        <f t="shared" si="58"/>
        <v>4.7119831685935622E-12</v>
      </c>
      <c r="AM71" s="62">
        <f t="shared" si="59"/>
        <v>293.33333333333803</v>
      </c>
      <c r="AN71" s="62">
        <f ca="1">AVERAGE(OFFSET($AM$3,0,0,'Données projet'!$E$10+1,1))-AVERAGE(OFFSET($H$3,0,0,'Données projet'!$E$10+1,1))</f>
        <v>249.70045432150511</v>
      </c>
      <c r="AO71" s="62">
        <f t="shared" si="90"/>
        <v>348.75012088192597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48.281034632032494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7.4702454551013615E-3</v>
      </c>
      <c r="AX71" s="23">
        <f t="shared" si="60"/>
        <v>48.288504877487597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-1.7053025658242404E-13</v>
      </c>
      <c r="O72" s="14">
        <f>N72*VLOOKUP('Données projet'!$B$9,Paramètres!$A$1:$I$89,3,0)*VLOOKUP('Données projet'!$B$9,Paramètres!$A$1:$I$89,5,0)</f>
        <v>-1.0197709343628959E-13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150.6643110947133</v>
      </c>
      <c r="T72" s="62">
        <f t="shared" si="88"/>
        <v>231.70571415193996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51.456969779432782</v>
      </c>
      <c r="AA72" s="23">
        <f>EXP(-LN(2)/25)*AA71+(1-EXP(-LN(2)/25))/(LN(2)/25)*Calculateur!V72*Calculateur!X72*VLOOKUP('Données projet'!$B$9,Paramètres!$A$1:$I$89,3,0)*0.475*44/12</f>
        <v>21.701336973109861</v>
      </c>
      <c r="AB72" s="23">
        <f>EXP(-LN(2)/2)*AB71+(1-EXP(-LN(2)/2))/(LN(2)/2)*V72*Y72*VLOOKUP('Données projet'!$B$9,Paramètres!$A$1:$I$89,3,0)*0.475*44/12</f>
        <v>2.7813391412637851E-2</v>
      </c>
      <c r="AC72" s="24">
        <f t="shared" si="57"/>
        <v>73.186120143955279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1.9895196601282805E-13</v>
      </c>
      <c r="AJ72" s="14">
        <f>AI72*VLOOKUP('Données projet'!$B$10,Paramètres!$A$1:$I$89,3,0)*VLOOKUP('Données projet'!$B$10,Paramètres!$A$1:$I$89,5,0)</f>
        <v>1.8001173884840681E-13</v>
      </c>
      <c r="AK72" s="14">
        <f t="shared" si="89"/>
        <v>2.5254331426407198E-12</v>
      </c>
      <c r="AL72" s="22">
        <f t="shared" si="58"/>
        <v>4.7119831685935622E-12</v>
      </c>
      <c r="AM72" s="62">
        <f t="shared" si="59"/>
        <v>293.33333333333803</v>
      </c>
      <c r="AN72" s="62">
        <f ca="1">AVERAGE(OFFSET($AM$3,0,0,'Données projet'!$E$10+1,1))-AVERAGE(OFFSET($H$3,0,0,'Données projet'!$E$10+1,1))</f>
        <v>249.70045432150511</v>
      </c>
      <c r="AO72" s="62">
        <f t="shared" si="90"/>
        <v>348.75012088192597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47.334272991421663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5.2822612184301601E-3</v>
      </c>
      <c r="AX72" s="23">
        <f t="shared" si="60"/>
        <v>47.339555252640096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-1.7053025658242404E-13</v>
      </c>
      <c r="O73" s="14">
        <f>N73*VLOOKUP('Données projet'!$B$9,Paramètres!$A$1:$I$89,3,0)*VLOOKUP('Données projet'!$B$9,Paramètres!$A$1:$I$89,5,0)</f>
        <v>-1.0197709343628959E-13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150.6643110947133</v>
      </c>
      <c r="T73" s="62">
        <f t="shared" si="88"/>
        <v>231.70571415193996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50.447929987710594</v>
      </c>
      <c r="AA73" s="23">
        <f>EXP(-LN(2)/25)*AA72+(1-EXP(-LN(2)/25))/(LN(2)/25)*Calculateur!V73*Calculateur!X73*VLOOKUP('Données projet'!$B$9,Paramètres!$A$1:$I$89,3,0)*0.475*44/12</f>
        <v>21.10791277235646</v>
      </c>
      <c r="AB73" s="23">
        <f>EXP(-LN(2)/2)*AB72+(1-EXP(-LN(2)/2))/(LN(2)/2)*V73*Y73*VLOOKUP('Données projet'!$B$9,Paramètres!$A$1:$I$89,3,0)*0.475*44/12</f>
        <v>1.9667037675671913E-2</v>
      </c>
      <c r="AC73" s="24">
        <f t="shared" si="57"/>
        <v>71.575509797742725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1.9895196601282805E-13</v>
      </c>
      <c r="AJ73" s="14">
        <f>AI73*VLOOKUP('Données projet'!$B$10,Paramètres!$A$1:$I$89,3,0)*VLOOKUP('Données projet'!$B$10,Paramètres!$A$1:$I$89,5,0)</f>
        <v>1.8001173884840681E-13</v>
      </c>
      <c r="AK73" s="14">
        <f t="shared" si="89"/>
        <v>2.5254331426407198E-12</v>
      </c>
      <c r="AL73" s="22">
        <f t="shared" si="58"/>
        <v>4.7119831685935622E-12</v>
      </c>
      <c r="AM73" s="62">
        <f t="shared" si="59"/>
        <v>293.33333333333803</v>
      </c>
      <c r="AN73" s="62">
        <f ca="1">AVERAGE(OFFSET($AM$3,0,0,'Données projet'!$E$10+1,1))-AVERAGE(OFFSET($H$3,0,0,'Données projet'!$E$10+1,1))</f>
        <v>249.70045432150511</v>
      </c>
      <c r="AO73" s="62">
        <f t="shared" si="90"/>
        <v>348.75012088192597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46.406076769115629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3.7351227275506816E-3</v>
      </c>
      <c r="AX73" s="23">
        <f t="shared" si="60"/>
        <v>46.409811891843177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-1.7053025658242404E-13</v>
      </c>
      <c r="O74" s="14">
        <f>N74*VLOOKUP('Données projet'!$B$9,Paramètres!$A$1:$I$89,3,0)*VLOOKUP('Données projet'!$B$9,Paramètres!$A$1:$I$89,5,0)</f>
        <v>-1.0197709343628959E-13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150.6643110947133</v>
      </c>
      <c r="T74" s="62">
        <f t="shared" si="88"/>
        <v>231.70571415193996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49.45867685085058</v>
      </c>
      <c r="AA74" s="23">
        <f>EXP(-LN(2)/25)*AA73+(1-EXP(-LN(2)/25))/(LN(2)/25)*Calculateur!V74*Calculateur!X74*VLOOKUP('Données projet'!$B$9,Paramètres!$A$1:$I$89,3,0)*0.475*44/12</f>
        <v>20.530715787579481</v>
      </c>
      <c r="AB74" s="23">
        <f>EXP(-LN(2)/2)*AB73+(1-EXP(-LN(2)/2))/(LN(2)/2)*V74*Y74*VLOOKUP('Données projet'!$B$9,Paramètres!$A$1:$I$89,3,0)*0.475*44/12</f>
        <v>1.3906695706318925E-2</v>
      </c>
      <c r="AC74" s="24">
        <f t="shared" si="57"/>
        <v>70.003299334136386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1.9895196601282805E-13</v>
      </c>
      <c r="AJ74" s="14">
        <f>AI74*VLOOKUP('Données projet'!$B$10,Paramètres!$A$1:$I$89,3,0)*VLOOKUP('Données projet'!$B$10,Paramètres!$A$1:$I$89,5,0)</f>
        <v>1.8001173884840681E-13</v>
      </c>
      <c r="AK74" s="14">
        <f t="shared" si="89"/>
        <v>2.5254331426407198E-12</v>
      </c>
      <c r="AL74" s="22">
        <f t="shared" si="58"/>
        <v>4.7119831685935622E-12</v>
      </c>
      <c r="AM74" s="62">
        <f t="shared" si="59"/>
        <v>293.33333333333803</v>
      </c>
      <c r="AN74" s="62">
        <f ca="1">AVERAGE(OFFSET($AM$3,0,0,'Données projet'!$E$10+1,1))-AVERAGE(OFFSET($H$3,0,0,'Données projet'!$E$10+1,1))</f>
        <v>249.70045432150511</v>
      </c>
      <c r="AO74" s="62">
        <f t="shared" si="90"/>
        <v>348.75012088192597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45.496081908585225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2.6411306092150805E-3</v>
      </c>
      <c r="AX74" s="23">
        <f t="shared" si="60"/>
        <v>45.498723039194438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-1.7053025658242404E-13</v>
      </c>
      <c r="O75" s="14">
        <f>N75*VLOOKUP('Données projet'!$B$9,Paramètres!$A$1:$I$89,3,0)*VLOOKUP('Données projet'!$B$9,Paramètres!$A$1:$I$89,5,0)</f>
        <v>-1.0197709343628959E-13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150.6643110947133</v>
      </c>
      <c r="T75" s="62">
        <f t="shared" si="88"/>
        <v>231.70571415193996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48.488822364619551</v>
      </c>
      <c r="AA75" s="23">
        <f>EXP(-LN(2)/25)*AA74+(1-EXP(-LN(2)/25))/(LN(2)/25)*Calculateur!V75*Calculateur!X75*VLOOKUP('Données projet'!$B$9,Paramètres!$A$1:$I$89,3,0)*0.475*44/12</f>
        <v>19.9693022847047</v>
      </c>
      <c r="AB75" s="23">
        <f>EXP(-LN(2)/2)*AB74+(1-EXP(-LN(2)/2))/(LN(2)/2)*V75*Y75*VLOOKUP('Données projet'!$B$9,Paramètres!$A$1:$I$89,3,0)*0.475*44/12</f>
        <v>9.8335188378359563E-3</v>
      </c>
      <c r="AC75" s="24">
        <f t="shared" si="57"/>
        <v>68.467958168162085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1.9895196601282805E-13</v>
      </c>
      <c r="AJ75" s="14">
        <f>AI75*VLOOKUP('Données projet'!$B$10,Paramètres!$A$1:$I$89,3,0)*VLOOKUP('Données projet'!$B$10,Paramètres!$A$1:$I$89,5,0)</f>
        <v>1.8001173884840681E-13</v>
      </c>
      <c r="AK75" s="14">
        <f t="shared" si="89"/>
        <v>2.5254331426407198E-12</v>
      </c>
      <c r="AL75" s="22">
        <f t="shared" si="58"/>
        <v>4.7119831685935622E-12</v>
      </c>
      <c r="AM75" s="62">
        <f t="shared" si="59"/>
        <v>293.33333333333803</v>
      </c>
      <c r="AN75" s="62">
        <f ca="1">AVERAGE(OFFSET($AM$3,0,0,'Données projet'!$E$10+1,1))-AVERAGE(OFFSET($H$3,0,0,'Données projet'!$E$10+1,1))</f>
        <v>249.70045432150511</v>
      </c>
      <c r="AO75" s="62">
        <f t="shared" si="90"/>
        <v>348.75012088192597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44.603931492227758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1.867561363775341E-3</v>
      </c>
      <c r="AX75" s="23">
        <f t="shared" si="60"/>
        <v>44.605799053591532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-1.7053025658242404E-13</v>
      </c>
      <c r="O76" s="14">
        <f>N76*VLOOKUP('Données projet'!$B$9,Paramètres!$A$1:$I$89,3,0)*VLOOKUP('Données projet'!$B$9,Paramètres!$A$1:$I$89,5,0)</f>
        <v>-1.0197709343628959E-13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150.6643110947133</v>
      </c>
      <c r="T76" s="62">
        <f t="shared" si="88"/>
        <v>231.70571415193996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47.537986133310689</v>
      </c>
      <c r="AA76" s="23">
        <f>EXP(-LN(2)/25)*AA75+(1-EXP(-LN(2)/25))/(LN(2)/25)*Calculateur!V76*Calculateur!X76*VLOOKUP('Données projet'!$B$9,Paramètres!$A$1:$I$89,3,0)*0.475*44/12</f>
        <v>19.423240663589482</v>
      </c>
      <c r="AB76" s="23">
        <f>EXP(-LN(2)/2)*AB75+(1-EXP(-LN(2)/2))/(LN(2)/2)*V76*Y76*VLOOKUP('Données projet'!$B$9,Paramètres!$A$1:$I$89,3,0)*0.475*44/12</f>
        <v>6.9533478531594627E-3</v>
      </c>
      <c r="AC76" s="24">
        <f t="shared" si="57"/>
        <v>66.968180144753333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1.9895196601282805E-13</v>
      </c>
      <c r="AJ76" s="14">
        <f>AI76*VLOOKUP('Données projet'!$B$10,Paramètres!$A$1:$I$89,3,0)*VLOOKUP('Données projet'!$B$10,Paramètres!$A$1:$I$89,5,0)</f>
        <v>1.8001173884840681E-13</v>
      </c>
      <c r="AK76" s="14">
        <f t="shared" si="89"/>
        <v>2.5254331426407198E-12</v>
      </c>
      <c r="AL76" s="22">
        <f t="shared" si="58"/>
        <v>4.7119831685935622E-12</v>
      </c>
      <c r="AM76" s="62">
        <f t="shared" si="59"/>
        <v>293.33333333333803</v>
      </c>
      <c r="AN76" s="62">
        <f ca="1">AVERAGE(OFFSET($AM$3,0,0,'Données projet'!$E$10+1,1))-AVERAGE(OFFSET($H$3,0,0,'Données projet'!$E$10+1,1))</f>
        <v>249.70045432150511</v>
      </c>
      <c r="AO76" s="62">
        <f t="shared" si="90"/>
        <v>348.75012088192597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43.72927560137704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1.3205653046075405E-3</v>
      </c>
      <c r="AX76" s="23">
        <f t="shared" si="60"/>
        <v>43.73059616668165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-1.7053025658242404E-13</v>
      </c>
      <c r="O77" s="14">
        <f>N77*VLOOKUP('Données projet'!$B$9,Paramètres!$A$1:$I$89,3,0)*VLOOKUP('Données projet'!$B$9,Paramètres!$A$1:$I$89,5,0)</f>
        <v>-1.0197709343628959E-13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150.6643110947133</v>
      </c>
      <c r="T77" s="62">
        <f t="shared" si="88"/>
        <v>231.70571415193996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46.605795220544955</v>
      </c>
      <c r="AA77" s="23">
        <f>EXP(-LN(2)/25)*AA76+(1-EXP(-LN(2)/25))/(LN(2)/25)*Calculateur!V77*Calculateur!X77*VLOOKUP('Données projet'!$B$9,Paramètres!$A$1:$I$89,3,0)*0.475*44/12</f>
        <v>18.892111126219792</v>
      </c>
      <c r="AB77" s="23">
        <f>EXP(-LN(2)/2)*AB76+(1-EXP(-LN(2)/2))/(LN(2)/2)*V77*Y77*VLOOKUP('Données projet'!$B$9,Paramètres!$A$1:$I$89,3,0)*0.475*44/12</f>
        <v>4.9167594189179781E-3</v>
      </c>
      <c r="AC77" s="24">
        <f t="shared" si="57"/>
        <v>65.502823106183669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1.9895196601282805E-13</v>
      </c>
      <c r="AJ77" s="14">
        <f>AI77*VLOOKUP('Données projet'!$B$10,Paramètres!$A$1:$I$89,3,0)*VLOOKUP('Données projet'!$B$10,Paramètres!$A$1:$I$89,5,0)</f>
        <v>1.8001173884840681E-13</v>
      </c>
      <c r="AK77" s="14">
        <f t="shared" si="89"/>
        <v>2.5254331426407198E-12</v>
      </c>
      <c r="AL77" s="22">
        <f t="shared" si="58"/>
        <v>4.7119831685935622E-12</v>
      </c>
      <c r="AM77" s="62">
        <f t="shared" si="59"/>
        <v>293.33333333333803</v>
      </c>
      <c r="AN77" s="62">
        <f ca="1">AVERAGE(OFFSET($AM$3,0,0,'Données projet'!$E$10+1,1))-AVERAGE(OFFSET($H$3,0,0,'Données projet'!$E$10+1,1))</f>
        <v>249.70045432150511</v>
      </c>
      <c r="AO77" s="62">
        <f t="shared" si="90"/>
        <v>348.75012088192597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42.871771179058491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9.3378068188767062E-4</v>
      </c>
      <c r="AX77" s="23">
        <f t="shared" si="60"/>
        <v>42.872704959740382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-1.7053025658242404E-13</v>
      </c>
      <c r="O78" s="14">
        <f>N78*VLOOKUP('Données projet'!$B$9,Paramètres!$A$1:$I$89,3,0)*VLOOKUP('Données projet'!$B$9,Paramètres!$A$1:$I$89,5,0)</f>
        <v>-1.0197709343628959E-13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150.6643110947133</v>
      </c>
      <c r="T78" s="62">
        <f t="shared" si="88"/>
        <v>231.70571415193996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45.69188400299825</v>
      </c>
      <c r="AA78" s="23">
        <f>EXP(-LN(2)/25)*AA77+(1-EXP(-LN(2)/25))/(LN(2)/25)*Calculateur!V78*Calculateur!X78*VLOOKUP('Données projet'!$B$9,Paramètres!$A$1:$I$89,3,0)*0.475*44/12</f>
        <v>18.375505353980365</v>
      </c>
      <c r="AB78" s="23">
        <f>EXP(-LN(2)/2)*AB77+(1-EXP(-LN(2)/2))/(LN(2)/2)*V78*Y78*VLOOKUP('Données projet'!$B$9,Paramètres!$A$1:$I$89,3,0)*0.475*44/12</f>
        <v>3.4766739265797313E-3</v>
      </c>
      <c r="AC78" s="24">
        <f t="shared" si="57"/>
        <v>64.070866030905208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1.9895196601282805E-13</v>
      </c>
      <c r="AJ78" s="14">
        <f>AI78*VLOOKUP('Données projet'!$B$10,Paramètres!$A$1:$I$89,3,0)*VLOOKUP('Données projet'!$B$10,Paramètres!$A$1:$I$89,5,0)</f>
        <v>1.8001173884840681E-13</v>
      </c>
      <c r="AK78" s="14">
        <f t="shared" si="89"/>
        <v>2.5254331426407198E-12</v>
      </c>
      <c r="AL78" s="22">
        <f t="shared" si="58"/>
        <v>4.7119831685935622E-12</v>
      </c>
      <c r="AM78" s="62">
        <f t="shared" si="59"/>
        <v>293.33333333333803</v>
      </c>
      <c r="AN78" s="62">
        <f ca="1">AVERAGE(OFFSET($AM$3,0,0,'Données projet'!$E$10+1,1))-AVERAGE(OFFSET($H$3,0,0,'Données projet'!$E$10+1,1))</f>
        <v>249.70045432150511</v>
      </c>
      <c r="AO78" s="62">
        <f t="shared" si="90"/>
        <v>348.75012088192597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42.031081895435555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6.6028265230377034E-4</v>
      </c>
      <c r="AX78" s="23">
        <f t="shared" si="60"/>
        <v>42.03174217808786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-1.7053025658242404E-13</v>
      </c>
      <c r="O79" s="14">
        <f>N79*VLOOKUP('Données projet'!$B$9,Paramètres!$A$1:$I$89,3,0)*VLOOKUP('Données projet'!$B$9,Paramètres!$A$1:$I$89,5,0)</f>
        <v>-1.0197709343628959E-13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150.6643110947133</v>
      </c>
      <c r="T79" s="62">
        <f t="shared" si="88"/>
        <v>231.70571415193996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44.795894026996834</v>
      </c>
      <c r="AA79" s="23">
        <f>EXP(-LN(2)/25)*AA78+(1-EXP(-LN(2)/25))/(LN(2)/25)*Calculateur!V79*Calculateur!X79*VLOOKUP('Données projet'!$B$9,Paramètres!$A$1:$I$89,3,0)*0.475*44/12</f>
        <v>17.873026193749944</v>
      </c>
      <c r="AB79" s="23">
        <f>EXP(-LN(2)/2)*AB78+(1-EXP(-LN(2)/2))/(LN(2)/2)*V79*Y79*VLOOKUP('Données projet'!$B$9,Paramètres!$A$1:$I$89,3,0)*0.475*44/12</f>
        <v>2.4583797094589891E-3</v>
      </c>
      <c r="AC79" s="24">
        <f t="shared" si="57"/>
        <v>62.671378600456237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1.9895196601282805E-13</v>
      </c>
      <c r="AJ79" s="14">
        <f>AI79*VLOOKUP('Données projet'!$B$10,Paramètres!$A$1:$I$89,3,0)*VLOOKUP('Données projet'!$B$10,Paramètres!$A$1:$I$89,5,0)</f>
        <v>1.8001173884840681E-13</v>
      </c>
      <c r="AK79" s="14">
        <f t="shared" si="89"/>
        <v>2.5254331426407198E-12</v>
      </c>
      <c r="AL79" s="22">
        <f t="shared" si="58"/>
        <v>4.7119831685935622E-12</v>
      </c>
      <c r="AM79" s="62">
        <f t="shared" si="59"/>
        <v>293.33333333333803</v>
      </c>
      <c r="AN79" s="62">
        <f ca="1">AVERAGE(OFFSET($AM$3,0,0,'Données projet'!$E$10+1,1))-AVERAGE(OFFSET($H$3,0,0,'Données projet'!$E$10+1,1))</f>
        <v>249.70045432150511</v>
      </c>
      <c r="AO79" s="62">
        <f t="shared" si="90"/>
        <v>348.75012088192597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41.206878015894631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4.6689034094383542E-4</v>
      </c>
      <c r="AX79" s="23">
        <f t="shared" si="60"/>
        <v>41.207344906235576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-1.7053025658242404E-13</v>
      </c>
      <c r="O80" s="14">
        <f>N80*VLOOKUP('Données projet'!$B$9,Paramètres!$A$1:$I$89,3,0)*VLOOKUP('Données projet'!$B$9,Paramètres!$A$1:$I$89,5,0)</f>
        <v>-1.0197709343628959E-13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150.6643110947133</v>
      </c>
      <c r="T80" s="62">
        <f t="shared" si="88"/>
        <v>231.70571415193996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43.917473867924883</v>
      </c>
      <c r="AA80" s="23">
        <f>EXP(-LN(2)/25)*AA79+(1-EXP(-LN(2)/25))/(LN(2)/25)*Calculateur!V80*Calculateur!X80*VLOOKUP('Données projet'!$B$9,Paramètres!$A$1:$I$89,3,0)*0.475*44/12</f>
        <v>17.384287352580252</v>
      </c>
      <c r="AB80" s="23">
        <f>EXP(-LN(2)/2)*AB79+(1-EXP(-LN(2)/2))/(LN(2)/2)*V80*Y80*VLOOKUP('Données projet'!$B$9,Paramètres!$A$1:$I$89,3,0)*0.475*44/12</f>
        <v>1.7383369632898657E-3</v>
      </c>
      <c r="AC80" s="24">
        <f t="shared" si="57"/>
        <v>61.303499557468427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1.9895196601282805E-13</v>
      </c>
      <c r="AJ80" s="14">
        <f>AI80*VLOOKUP('Données projet'!$B$10,Paramètres!$A$1:$I$89,3,0)*VLOOKUP('Données projet'!$B$10,Paramètres!$A$1:$I$89,5,0)</f>
        <v>1.8001173884840681E-13</v>
      </c>
      <c r="AK80" s="14">
        <f t="shared" si="89"/>
        <v>2.5254331426407198E-12</v>
      </c>
      <c r="AL80" s="22">
        <f t="shared" si="58"/>
        <v>4.7119831685935622E-12</v>
      </c>
      <c r="AM80" s="62">
        <f t="shared" si="59"/>
        <v>293.33333333333803</v>
      </c>
      <c r="AN80" s="62">
        <f ca="1">AVERAGE(OFFSET($AM$3,0,0,'Données projet'!$E$10+1,1))-AVERAGE(OFFSET($H$3,0,0,'Données projet'!$E$10+1,1))</f>
        <v>249.70045432150511</v>
      </c>
      <c r="AO80" s="62">
        <f t="shared" si="90"/>
        <v>348.75012088192597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40.398836271716782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3.3014132615188523E-4</v>
      </c>
      <c r="AX80" s="23">
        <f t="shared" si="60"/>
        <v>40.399166413042934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-1.7053025658242404E-13</v>
      </c>
      <c r="O81" s="14">
        <f>N81*VLOOKUP('Données projet'!$B$9,Paramètres!$A$1:$I$89,3,0)*VLOOKUP('Données projet'!$B$9,Paramètres!$A$1:$I$89,5,0)</f>
        <v>-1.0197709343628959E-13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150.6643110947133</v>
      </c>
      <c r="T81" s="62">
        <f t="shared" si="88"/>
        <v>231.70571415193996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43.05627899238894</v>
      </c>
      <c r="AA81" s="23">
        <f>EXP(-LN(2)/25)*AA80+(1-EXP(-LN(2)/25))/(LN(2)/25)*Calculateur!V81*Calculateur!X81*VLOOKUP('Données projet'!$B$9,Paramètres!$A$1:$I$89,3,0)*0.475*44/12</f>
        <v>16.908913100724003</v>
      </c>
      <c r="AB81" s="23">
        <f>EXP(-LN(2)/2)*AB80+(1-EXP(-LN(2)/2))/(LN(2)/2)*V81*Y81*VLOOKUP('Données projet'!$B$9,Paramètres!$A$1:$I$89,3,0)*0.475*44/12</f>
        <v>1.2291898547294945E-3</v>
      </c>
      <c r="AC81" s="24">
        <f t="shared" si="57"/>
        <v>59.966421282967673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1.9895196601282805E-13</v>
      </c>
      <c r="AJ81" s="14">
        <f>AI81*VLOOKUP('Données projet'!$B$10,Paramètres!$A$1:$I$89,3,0)*VLOOKUP('Données projet'!$B$10,Paramètres!$A$1:$I$89,5,0)</f>
        <v>1.8001173884840681E-13</v>
      </c>
      <c r="AK81" s="14">
        <f t="shared" si="89"/>
        <v>2.5254331426407198E-12</v>
      </c>
      <c r="AL81" s="22">
        <f t="shared" si="58"/>
        <v>4.7119831685935622E-12</v>
      </c>
      <c r="AM81" s="62">
        <f t="shared" si="59"/>
        <v>293.33333333333803</v>
      </c>
      <c r="AN81" s="62">
        <f ca="1">AVERAGE(OFFSET($AM$3,0,0,'Données projet'!$E$10+1,1))-AVERAGE(OFFSET($H$3,0,0,'Données projet'!$E$10+1,1))</f>
        <v>249.70045432150511</v>
      </c>
      <c r="AO81" s="62">
        <f t="shared" si="90"/>
        <v>348.75012088192597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39.606639733285462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2.3344517047191774E-4</v>
      </c>
      <c r="AX81" s="23">
        <f t="shared" si="60"/>
        <v>39.606873178455935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-1.7053025658242404E-13</v>
      </c>
      <c r="O82" s="14">
        <f>N82*VLOOKUP('Données projet'!$B$9,Paramètres!$A$1:$I$89,3,0)*VLOOKUP('Données projet'!$B$9,Paramètres!$A$1:$I$89,5,0)</f>
        <v>-1.0197709343628959E-13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150.6643110947133</v>
      </c>
      <c r="T82" s="62">
        <f t="shared" si="88"/>
        <v>231.70571415193996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42.211971623085248</v>
      </c>
      <c r="AA82" s="23">
        <f>EXP(-LN(2)/25)*AA81+(1-EXP(-LN(2)/25))/(LN(2)/25)*Calculateur!V82*Calculateur!X82*VLOOKUP('Données projet'!$B$9,Paramètres!$A$1:$I$89,3,0)*0.475*44/12</f>
        <v>16.44653798278361</v>
      </c>
      <c r="AB82" s="23">
        <f>EXP(-LN(2)/2)*AB81+(1-EXP(-LN(2)/2))/(LN(2)/2)*V82*Y82*VLOOKUP('Données projet'!$B$9,Paramètres!$A$1:$I$89,3,0)*0.475*44/12</f>
        <v>8.6916848164493284E-4</v>
      </c>
      <c r="AC82" s="24">
        <f t="shared" si="57"/>
        <v>58.6593787743505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1.9895196601282805E-13</v>
      </c>
      <c r="AJ82" s="14">
        <f>AI82*VLOOKUP('Données projet'!$B$10,Paramètres!$A$1:$I$89,3,0)*VLOOKUP('Données projet'!$B$10,Paramètres!$A$1:$I$89,5,0)</f>
        <v>1.8001173884840681E-13</v>
      </c>
      <c r="AK82" s="14">
        <f t="shared" si="89"/>
        <v>2.5254331426407198E-12</v>
      </c>
      <c r="AL82" s="22">
        <f t="shared" si="58"/>
        <v>4.7119831685935622E-12</v>
      </c>
      <c r="AM82" s="62">
        <f t="shared" si="59"/>
        <v>293.33333333333803</v>
      </c>
      <c r="AN82" s="62">
        <f ca="1">AVERAGE(OFFSET($AM$3,0,0,'Données projet'!$E$10+1,1))-AVERAGE(OFFSET($H$3,0,0,'Données projet'!$E$10+1,1))</f>
        <v>249.70045432150511</v>
      </c>
      <c r="AO82" s="62">
        <f t="shared" si="90"/>
        <v>348.75012088192597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38.829977685780598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1.6507066307594264E-4</v>
      </c>
      <c r="AX82" s="23">
        <f t="shared" si="60"/>
        <v>38.830142756443671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-1.7053025658242404E-13</v>
      </c>
      <c r="O83" s="14">
        <f>N83*VLOOKUP('Données projet'!$B$9,Paramètres!$A$1:$I$89,3,0)*VLOOKUP('Données projet'!$B$9,Paramètres!$A$1:$I$89,5,0)</f>
        <v>-1.0197709343628959E-13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150.6643110947133</v>
      </c>
      <c r="T83" s="62">
        <f t="shared" si="88"/>
        <v>231.70571415193996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41.384220606316951</v>
      </c>
      <c r="AA83" s="23">
        <f>EXP(-LN(2)/25)*AA82+(1-EXP(-LN(2)/25))/(LN(2)/25)*Calculateur!V83*Calculateur!X83*VLOOKUP('Données projet'!$B$9,Paramètres!$A$1:$I$89,3,0)*0.475*44/12</f>
        <v>15.996806536758548</v>
      </c>
      <c r="AB83" s="23">
        <f>EXP(-LN(2)/2)*AB82+(1-EXP(-LN(2)/2))/(LN(2)/2)*V83*Y83*VLOOKUP('Données projet'!$B$9,Paramètres!$A$1:$I$89,3,0)*0.475*44/12</f>
        <v>6.1459492736474727E-4</v>
      </c>
      <c r="AC83" s="24">
        <f t="shared" si="57"/>
        <v>57.381641738002862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1.9895196601282805E-13</v>
      </c>
      <c r="AJ83" s="14">
        <f>AI83*VLOOKUP('Données projet'!$B$10,Paramètres!$A$1:$I$89,3,0)*VLOOKUP('Données projet'!$B$10,Paramètres!$A$1:$I$89,5,0)</f>
        <v>1.8001173884840681E-13</v>
      </c>
      <c r="AK83" s="14">
        <f t="shared" si="89"/>
        <v>2.5254331426407198E-12</v>
      </c>
      <c r="AL83" s="22">
        <f t="shared" si="58"/>
        <v>4.7119831685935622E-12</v>
      </c>
      <c r="AM83" s="62">
        <f t="shared" si="59"/>
        <v>293.33333333333803</v>
      </c>
      <c r="AN83" s="62">
        <f ca="1">AVERAGE(OFFSET($AM$3,0,0,'Données projet'!$E$10+1,1))-AVERAGE(OFFSET($H$3,0,0,'Données projet'!$E$10+1,1))</f>
        <v>249.70045432150511</v>
      </c>
      <c r="AO83" s="62">
        <f t="shared" si="90"/>
        <v>348.75012088192597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38.068545507310233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1.1672258523595889E-4</v>
      </c>
      <c r="AX83" s="23">
        <f t="shared" si="60"/>
        <v>38.068662229895466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-1.7053025658242404E-13</v>
      </c>
      <c r="O84" s="14">
        <f>N84*VLOOKUP('Données projet'!$B$9,Paramètres!$A$1:$I$89,3,0)*VLOOKUP('Données projet'!$B$9,Paramètres!$A$1:$I$89,5,0)</f>
        <v>-1.0197709343628959E-13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150.6643110947133</v>
      </c>
      <c r="T84" s="62">
        <f t="shared" si="88"/>
        <v>231.70571415193996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40.572701282109215</v>
      </c>
      <c r="AA84" s="23">
        <f>EXP(-LN(2)/25)*AA83+(1-EXP(-LN(2)/25))/(LN(2)/25)*Calculateur!V84*Calculateur!X84*VLOOKUP('Données projet'!$B$9,Paramètres!$A$1:$I$89,3,0)*0.475*44/12</f>
        <v>15.559373020775391</v>
      </c>
      <c r="AB84" s="23">
        <f>EXP(-LN(2)/2)*AB83+(1-EXP(-LN(2)/2))/(LN(2)/2)*V84*Y84*VLOOKUP('Données projet'!$B$9,Paramètres!$A$1:$I$89,3,0)*0.475*44/12</f>
        <v>4.3458424082246642E-4</v>
      </c>
      <c r="AC84" s="24">
        <f t="shared" si="57"/>
        <v>56.132508887125425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1.9895196601282805E-13</v>
      </c>
      <c r="AJ84" s="14">
        <f>AI84*VLOOKUP('Données projet'!$B$10,Paramètres!$A$1:$I$89,3,0)*VLOOKUP('Données projet'!$B$10,Paramètres!$A$1:$I$89,5,0)</f>
        <v>1.8001173884840681E-13</v>
      </c>
      <c r="AK84" s="14">
        <f t="shared" si="89"/>
        <v>2.5254331426407198E-12</v>
      </c>
      <c r="AL84" s="22">
        <f t="shared" si="58"/>
        <v>4.7119831685935622E-12</v>
      </c>
      <c r="AM84" s="62">
        <f t="shared" si="59"/>
        <v>293.33333333333803</v>
      </c>
      <c r="AN84" s="62">
        <f ca="1">AVERAGE(OFFSET($AM$3,0,0,'Données projet'!$E$10+1,1))-AVERAGE(OFFSET($H$3,0,0,'Données projet'!$E$10+1,1))</f>
        <v>249.70045432150511</v>
      </c>
      <c r="AO84" s="62">
        <f t="shared" si="90"/>
        <v>348.75012088192597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37.322044549431901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8.2535331537971334E-5</v>
      </c>
      <c r="AX84" s="23">
        <f t="shared" si="60"/>
        <v>37.322127084763437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-1.7053025658242404E-13</v>
      </c>
      <c r="O85" s="14">
        <f>N85*VLOOKUP('Données projet'!$B$9,Paramètres!$A$1:$I$89,3,0)*VLOOKUP('Données projet'!$B$9,Paramètres!$A$1:$I$89,5,0)</f>
        <v>-1.0197709343628959E-13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150.6643110947133</v>
      </c>
      <c r="T85" s="62">
        <f t="shared" si="88"/>
        <v>231.70571415193996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39.777095356871278</v>
      </c>
      <c r="AA85" s="23">
        <f>EXP(-LN(2)/25)*AA84+(1-EXP(-LN(2)/25))/(LN(2)/25)*Calculateur!V85*Calculateur!X85*VLOOKUP('Données projet'!$B$9,Paramètres!$A$1:$I$89,3,0)*0.475*44/12</f>
        <v>15.133901147290421</v>
      </c>
      <c r="AB85" s="23">
        <f>EXP(-LN(2)/2)*AB84+(1-EXP(-LN(2)/2))/(LN(2)/2)*V85*Y85*VLOOKUP('Données projet'!$B$9,Paramètres!$A$1:$I$89,3,0)*0.475*44/12</f>
        <v>3.0729746368237363E-4</v>
      </c>
      <c r="AC85" s="24">
        <f t="shared" si="57"/>
        <v>54.911303801625387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1.9895196601282805E-13</v>
      </c>
      <c r="AJ85" s="14">
        <f>AI85*VLOOKUP('Données projet'!$B$10,Paramètres!$A$1:$I$89,3,0)*VLOOKUP('Données projet'!$B$10,Paramètres!$A$1:$I$89,5,0)</f>
        <v>1.8001173884840681E-13</v>
      </c>
      <c r="AK85" s="14">
        <f t="shared" si="89"/>
        <v>2.5254331426407198E-12</v>
      </c>
      <c r="AL85" s="22">
        <f t="shared" si="58"/>
        <v>4.7119831685935622E-12</v>
      </c>
      <c r="AM85" s="62">
        <f t="shared" si="59"/>
        <v>293.33333333333803</v>
      </c>
      <c r="AN85" s="62">
        <f ca="1">AVERAGE(OFFSET($AM$3,0,0,'Données projet'!$E$10+1,1))-AVERAGE(OFFSET($H$3,0,0,'Données projet'!$E$10+1,1))</f>
        <v>249.70045432150511</v>
      </c>
      <c r="AO85" s="62">
        <f t="shared" si="90"/>
        <v>348.75012088192597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36.59018202001694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5.8361292617979454E-5</v>
      </c>
      <c r="AX85" s="23">
        <f t="shared" si="60"/>
        <v>36.590240381309556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-1.7053025658242404E-13</v>
      </c>
      <c r="O86" s="14">
        <f>N86*VLOOKUP('Données projet'!$B$9,Paramètres!$A$1:$I$89,3,0)*VLOOKUP('Données projet'!$B$9,Paramètres!$A$1:$I$89,5,0)</f>
        <v>-1.0197709343628959E-13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150.6643110947133</v>
      </c>
      <c r="T86" s="62">
        <f t="shared" si="88"/>
        <v>231.70571415193996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38.99709077855556</v>
      </c>
      <c r="AA86" s="23">
        <f>EXP(-LN(2)/25)*AA85+(1-EXP(-LN(2)/25))/(LN(2)/25)*Calculateur!V86*Calculateur!X86*VLOOKUP('Données projet'!$B$9,Paramètres!$A$1:$I$89,3,0)*0.475*44/12</f>
        <v>14.720063824560492</v>
      </c>
      <c r="AB86" s="23">
        <f>EXP(-LN(2)/2)*AB85+(1-EXP(-LN(2)/2))/(LN(2)/2)*V86*Y86*VLOOKUP('Données projet'!$B$9,Paramètres!$A$1:$I$89,3,0)*0.475*44/12</f>
        <v>2.1729212041123321E-4</v>
      </c>
      <c r="AC86" s="24">
        <f t="shared" si="57"/>
        <v>53.717371895236461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1.9895196601282805E-13</v>
      </c>
      <c r="AJ86" s="14">
        <f>AI86*VLOOKUP('Données projet'!$B$10,Paramètres!$A$1:$I$89,3,0)*VLOOKUP('Données projet'!$B$10,Paramètres!$A$1:$I$89,5,0)</f>
        <v>1.8001173884840681E-13</v>
      </c>
      <c r="AK86" s="14">
        <f t="shared" si="89"/>
        <v>2.5254331426407198E-12</v>
      </c>
      <c r="AL86" s="22">
        <f t="shared" si="58"/>
        <v>4.7119831685935622E-12</v>
      </c>
      <c r="AM86" s="62">
        <f t="shared" si="59"/>
        <v>293.33333333333803</v>
      </c>
      <c r="AN86" s="62">
        <f ca="1">AVERAGE(OFFSET($AM$3,0,0,'Données projet'!$E$10+1,1))-AVERAGE(OFFSET($H$3,0,0,'Données projet'!$E$10+1,1))</f>
        <v>249.70045432150511</v>
      </c>
      <c r="AO86" s="62">
        <f t="shared" si="90"/>
        <v>348.75012088192597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35.872670868411738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4.1267665768985674E-5</v>
      </c>
      <c r="AX86" s="23">
        <f t="shared" si="60"/>
        <v>35.87271213607751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-1.7053025658242404E-13</v>
      </c>
      <c r="O87" s="14">
        <f>N87*VLOOKUP('Données projet'!$B$9,Paramètres!$A$1:$I$89,3,0)*VLOOKUP('Données projet'!$B$9,Paramètres!$A$1:$I$89,5,0)</f>
        <v>-1.0197709343628959E-13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150.6643110947133</v>
      </c>
      <c r="T87" s="62">
        <f t="shared" si="88"/>
        <v>231.70571415193996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38.232381614264803</v>
      </c>
      <c r="AA87" s="23">
        <f>EXP(-LN(2)/25)*AA86+(1-EXP(-LN(2)/25))/(LN(2)/25)*Calculateur!V87*Calculateur!X87*VLOOKUP('Données projet'!$B$9,Paramètres!$A$1:$I$89,3,0)*0.475*44/12</f>
        <v>14.317542905183373</v>
      </c>
      <c r="AB87" s="23">
        <f>EXP(-LN(2)/2)*AB86+(1-EXP(-LN(2)/2))/(LN(2)/2)*V87*Y87*VLOOKUP('Données projet'!$B$9,Paramètres!$A$1:$I$89,3,0)*0.475*44/12</f>
        <v>1.5364873184118682E-4</v>
      </c>
      <c r="AC87" s="24">
        <f t="shared" si="57"/>
        <v>52.550078168180015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1.9895196601282805E-13</v>
      </c>
      <c r="AJ87" s="14">
        <f>AI87*VLOOKUP('Données projet'!$B$10,Paramètres!$A$1:$I$89,3,0)*VLOOKUP('Données projet'!$B$10,Paramètres!$A$1:$I$89,5,0)</f>
        <v>1.8001173884840681E-13</v>
      </c>
      <c r="AK87" s="14">
        <f t="shared" si="89"/>
        <v>2.5254331426407198E-12</v>
      </c>
      <c r="AL87" s="22">
        <f t="shared" si="58"/>
        <v>4.7119831685935622E-12</v>
      </c>
      <c r="AM87" s="62">
        <f t="shared" si="59"/>
        <v>293.33333333333803</v>
      </c>
      <c r="AN87" s="62">
        <f ca="1">AVERAGE(OFFSET($AM$3,0,0,'Données projet'!$E$10+1,1))-AVERAGE(OFFSET($H$3,0,0,'Données projet'!$E$10+1,1))</f>
        <v>249.70045432150511</v>
      </c>
      <c r="AO87" s="62">
        <f t="shared" si="90"/>
        <v>348.75012088192597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35.169229672850925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2.9180646308989731E-5</v>
      </c>
      <c r="AX87" s="23">
        <f t="shared" si="60"/>
        <v>35.169258853497233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-1.7053025658242404E-13</v>
      </c>
      <c r="O88" s="14">
        <f>N88*VLOOKUP('Données projet'!$B$9,Paramètres!$A$1:$I$89,3,0)*VLOOKUP('Données projet'!$B$9,Paramètres!$A$1:$I$89,5,0)</f>
        <v>-1.0197709343628959E-13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150.6643110947133</v>
      </c>
      <c r="T88" s="62">
        <f t="shared" si="88"/>
        <v>231.70571415193996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37.482667930259247</v>
      </c>
      <c r="AA88" s="23">
        <f>EXP(-LN(2)/25)*AA87+(1-EXP(-LN(2)/25))/(LN(2)/25)*Calculateur!V88*Calculateur!X88*VLOOKUP('Données projet'!$B$9,Paramètres!$A$1:$I$89,3,0)*0.475*44/12</f>
        <v>13.926028941514275</v>
      </c>
      <c r="AB88" s="23">
        <f>EXP(-LN(2)/2)*AB87+(1-EXP(-LN(2)/2))/(LN(2)/2)*V88*Y88*VLOOKUP('Données projet'!$B$9,Paramètres!$A$1:$I$89,3,0)*0.475*44/12</f>
        <v>1.086460602056166E-4</v>
      </c>
      <c r="AC88" s="24">
        <f t="shared" si="57"/>
        <v>51.408805517833727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1.9895196601282805E-13</v>
      </c>
      <c r="AJ88" s="14">
        <f>AI88*VLOOKUP('Données projet'!$B$10,Paramètres!$A$1:$I$89,3,0)*VLOOKUP('Données projet'!$B$10,Paramètres!$A$1:$I$89,5,0)</f>
        <v>1.8001173884840681E-13</v>
      </c>
      <c r="AK88" s="14">
        <f t="shared" si="89"/>
        <v>2.5254331426407198E-12</v>
      </c>
      <c r="AL88" s="22">
        <f t="shared" si="58"/>
        <v>4.7119831685935622E-12</v>
      </c>
      <c r="AM88" s="62">
        <f t="shared" si="59"/>
        <v>293.33333333333803</v>
      </c>
      <c r="AN88" s="62">
        <f ca="1">AVERAGE(OFFSET($AM$3,0,0,'Données projet'!$E$10+1,1))-AVERAGE(OFFSET($H$3,0,0,'Données projet'!$E$10+1,1))</f>
        <v>249.70045432150511</v>
      </c>
      <c r="AO88" s="62">
        <f t="shared" si="90"/>
        <v>348.75012088192597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34.479582530078297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2.0633832884492837E-5</v>
      </c>
      <c r="AX88" s="23">
        <f t="shared" si="60"/>
        <v>34.479603163911179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-1.7053025658242404E-13</v>
      </c>
      <c r="O89" s="14">
        <f>N89*VLOOKUP('Données projet'!$B$9,Paramètres!$A$1:$I$89,3,0)*VLOOKUP('Données projet'!$B$9,Paramètres!$A$1:$I$89,5,0)</f>
        <v>-1.0197709343628959E-13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150.6643110947133</v>
      </c>
      <c r="T89" s="62">
        <f t="shared" si="88"/>
        <v>231.70571415193996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36.747655674316846</v>
      </c>
      <c r="AA89" s="23">
        <f>EXP(-LN(2)/25)*AA88+(1-EXP(-LN(2)/25))/(LN(2)/25)*Calculateur!V89*Calculateur!X89*VLOOKUP('Données projet'!$B$9,Paramètres!$A$1:$I$89,3,0)*0.475*44/12</f>
        <v>13.545220947770533</v>
      </c>
      <c r="AB89" s="23">
        <f>EXP(-LN(2)/2)*AB88+(1-EXP(-LN(2)/2))/(LN(2)/2)*V89*Y89*VLOOKUP('Données projet'!$B$9,Paramètres!$A$1:$I$89,3,0)*0.475*44/12</f>
        <v>7.6824365920593409E-5</v>
      </c>
      <c r="AC89" s="24">
        <f t="shared" si="57"/>
        <v>50.292953446453296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1.9895196601282805E-13</v>
      </c>
      <c r="AJ89" s="14">
        <f>AI89*VLOOKUP('Données projet'!$B$10,Paramètres!$A$1:$I$89,3,0)*VLOOKUP('Données projet'!$B$10,Paramètres!$A$1:$I$89,5,0)</f>
        <v>1.8001173884840681E-13</v>
      </c>
      <c r="AK89" s="14">
        <f t="shared" si="89"/>
        <v>2.5254331426407198E-12</v>
      </c>
      <c r="AL89" s="22">
        <f t="shared" si="58"/>
        <v>4.7119831685935622E-12</v>
      </c>
      <c r="AM89" s="62">
        <f t="shared" si="59"/>
        <v>293.33333333333803</v>
      </c>
      <c r="AN89" s="62">
        <f ca="1">AVERAGE(OFFSET($AM$3,0,0,'Données projet'!$E$10+1,1))-AVERAGE(OFFSET($H$3,0,0,'Données projet'!$E$10+1,1))</f>
        <v>249.70045432150511</v>
      </c>
      <c r="AO89" s="62">
        <f t="shared" si="90"/>
        <v>348.75012088192597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33.803458947132221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1.4590323154494865E-5</v>
      </c>
      <c r="AX89" s="23">
        <f t="shared" si="60"/>
        <v>33.803473537455375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-1.7053025658242404E-13</v>
      </c>
      <c r="O90" s="14">
        <f>N90*VLOOKUP('Données projet'!$B$9,Paramètres!$A$1:$I$89,3,0)*VLOOKUP('Données projet'!$B$9,Paramètres!$A$1:$I$89,5,0)</f>
        <v>-1.0197709343628959E-13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150.6643110947133</v>
      </c>
      <c r="T90" s="62">
        <f t="shared" si="88"/>
        <v>231.70571415193996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36.027056560400268</v>
      </c>
      <c r="AA90" s="23">
        <f>EXP(-LN(2)/25)*AA89+(1-EXP(-LN(2)/25))/(LN(2)/25)*Calculateur!V90*Calculateur!X90*VLOOKUP('Données projet'!$B$9,Paramètres!$A$1:$I$89,3,0)*0.475*44/12</f>
        <v>13.174826168641536</v>
      </c>
      <c r="AB90" s="23">
        <f>EXP(-LN(2)/2)*AB89+(1-EXP(-LN(2)/2))/(LN(2)/2)*V90*Y90*VLOOKUP('Données projet'!$B$9,Paramètres!$A$1:$I$89,3,0)*0.475*44/12</f>
        <v>5.4323030102808302E-5</v>
      </c>
      <c r="AC90" s="24">
        <f t="shared" si="57"/>
        <v>49.201937052071912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1.9895196601282805E-13</v>
      </c>
      <c r="AJ90" s="14">
        <f>AI90*VLOOKUP('Données projet'!$B$10,Paramètres!$A$1:$I$89,3,0)*VLOOKUP('Données projet'!$B$10,Paramètres!$A$1:$I$89,5,0)</f>
        <v>1.8001173884840681E-13</v>
      </c>
      <c r="AK90" s="14">
        <f t="shared" si="89"/>
        <v>2.5254331426407198E-12</v>
      </c>
      <c r="AL90" s="22">
        <f t="shared" si="58"/>
        <v>4.7119831685935622E-12</v>
      </c>
      <c r="AM90" s="62">
        <f t="shared" si="59"/>
        <v>293.33333333333803</v>
      </c>
      <c r="AN90" s="62">
        <f ca="1">AVERAGE(OFFSET($AM$3,0,0,'Données projet'!$E$10+1,1))-AVERAGE(OFFSET($H$3,0,0,'Données projet'!$E$10+1,1))</f>
        <v>249.70045432150511</v>
      </c>
      <c r="AO90" s="62">
        <f t="shared" si="90"/>
        <v>348.75012088192597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33.140593735253049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1.0316916442246418E-5</v>
      </c>
      <c r="AX90" s="23">
        <f t="shared" si="60"/>
        <v>33.140604052169493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-1.7053025658242404E-13</v>
      </c>
      <c r="O91" s="14">
        <f>N91*VLOOKUP('Données projet'!$B$9,Paramètres!$A$1:$I$89,3,0)*VLOOKUP('Données projet'!$B$9,Paramètres!$A$1:$I$89,5,0)</f>
        <v>-1.0197709343628959E-13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150.6643110947133</v>
      </c>
      <c r="T91" s="62">
        <f t="shared" si="88"/>
        <v>231.70571415193996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35.320587955585538</v>
      </c>
      <c r="AA91" s="23">
        <f>EXP(-LN(2)/25)*AA90+(1-EXP(-LN(2)/25))/(LN(2)/25)*Calculateur!V91*Calculateur!X91*VLOOKUP('Données projet'!$B$9,Paramètres!$A$1:$I$89,3,0)*0.475*44/12</f>
        <v>12.814559854226037</v>
      </c>
      <c r="AB91" s="23">
        <f>EXP(-LN(2)/2)*AB90+(1-EXP(-LN(2)/2))/(LN(2)/2)*V91*Y91*VLOOKUP('Données projet'!$B$9,Paramètres!$A$1:$I$89,3,0)*0.475*44/12</f>
        <v>3.8412182960296704E-5</v>
      </c>
      <c r="AC91" s="24">
        <f t="shared" si="57"/>
        <v>48.13518622199453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1.9895196601282805E-13</v>
      </c>
      <c r="AJ91" s="14">
        <f>AI91*VLOOKUP('Données projet'!$B$10,Paramètres!$A$1:$I$89,3,0)*VLOOKUP('Données projet'!$B$10,Paramètres!$A$1:$I$89,5,0)</f>
        <v>1.8001173884840681E-13</v>
      </c>
      <c r="AK91" s="14">
        <f t="shared" si="89"/>
        <v>2.5254331426407198E-12</v>
      </c>
      <c r="AL91" s="22">
        <f t="shared" si="58"/>
        <v>4.7119831685935622E-12</v>
      </c>
      <c r="AM91" s="62">
        <f t="shared" si="59"/>
        <v>293.33333333333803</v>
      </c>
      <c r="AN91" s="62">
        <f ca="1">AVERAGE(OFFSET($AM$3,0,0,'Données projet'!$E$10+1,1))-AVERAGE(OFFSET($H$3,0,0,'Données projet'!$E$10+1,1))</f>
        <v>249.70045432150511</v>
      </c>
      <c r="AO91" s="62">
        <f t="shared" si="90"/>
        <v>348.75012088192597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32.490726905870972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7.2951615772474326E-6</v>
      </c>
      <c r="AX91" s="23">
        <f t="shared" si="60"/>
        <v>32.490734201032552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-1.7053025658242404E-13</v>
      </c>
      <c r="O92" s="14">
        <f>N92*VLOOKUP('Données projet'!$B$9,Paramètres!$A$1:$I$89,3,0)*VLOOKUP('Données projet'!$B$9,Paramètres!$A$1:$I$89,5,0)</f>
        <v>-1.0197709343628959E-13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150.6643110947133</v>
      </c>
      <c r="T92" s="62">
        <f t="shared" si="88"/>
        <v>231.70571415193996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34.627972769207922</v>
      </c>
      <c r="AA92" s="23">
        <f>EXP(-LN(2)/25)*AA91+(1-EXP(-LN(2)/25))/(LN(2)/25)*Calculateur!V92*Calculateur!X92*VLOOKUP('Données projet'!$B$9,Paramètres!$A$1:$I$89,3,0)*0.475*44/12</f>
        <v>12.46414504112381</v>
      </c>
      <c r="AB92" s="23">
        <f>EXP(-LN(2)/2)*AB91+(1-EXP(-LN(2)/2))/(LN(2)/2)*V92*Y92*VLOOKUP('Données projet'!$B$9,Paramètres!$A$1:$I$89,3,0)*0.475*44/12</f>
        <v>2.7161515051404151E-5</v>
      </c>
      <c r="AC92" s="24">
        <f t="shared" si="57"/>
        <v>47.092144971846778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1.9895196601282805E-13</v>
      </c>
      <c r="AJ92" s="14">
        <f>AI92*VLOOKUP('Données projet'!$B$10,Paramètres!$A$1:$I$89,3,0)*VLOOKUP('Données projet'!$B$10,Paramètres!$A$1:$I$89,5,0)</f>
        <v>1.8001173884840681E-13</v>
      </c>
      <c r="AK92" s="14">
        <f t="shared" si="89"/>
        <v>2.5254331426407198E-12</v>
      </c>
      <c r="AL92" s="22">
        <f t="shared" si="58"/>
        <v>4.7119831685935622E-12</v>
      </c>
      <c r="AM92" s="62">
        <f t="shared" si="59"/>
        <v>293.33333333333803</v>
      </c>
      <c r="AN92" s="62">
        <f ca="1">AVERAGE(OFFSET($AM$3,0,0,'Données projet'!$E$10+1,1))-AVERAGE(OFFSET($H$3,0,0,'Données projet'!$E$10+1,1))</f>
        <v>249.70045432150511</v>
      </c>
      <c r="AO92" s="62">
        <f t="shared" si="90"/>
        <v>348.75012088192597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31.853603568633449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5.1584582211232092E-6</v>
      </c>
      <c r="AX92" s="23">
        <f t="shared" si="60"/>
        <v>31.853608727091672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-1.7053025658242404E-13</v>
      </c>
      <c r="O93" s="14">
        <f>N93*VLOOKUP('Données projet'!$B$9,Paramètres!$A$1:$I$89,3,0)*VLOOKUP('Données projet'!$B$9,Paramètres!$A$1:$I$89,5,0)</f>
        <v>-1.0197709343628959E-13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150.6643110947133</v>
      </c>
      <c r="T93" s="62">
        <f t="shared" si="88"/>
        <v>231.70571415193996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33.948939344181618</v>
      </c>
      <c r="AA93" s="23">
        <f>EXP(-LN(2)/25)*AA92+(1-EXP(-LN(2)/25))/(LN(2)/25)*Calculateur!V93*Calculateur!X93*VLOOKUP('Données projet'!$B$9,Paramètres!$A$1:$I$89,3,0)*0.475*44/12</f>
        <v>12.123312339513379</v>
      </c>
      <c r="AB93" s="23">
        <f>EXP(-LN(2)/2)*AB92+(1-EXP(-LN(2)/2))/(LN(2)/2)*V93*Y93*VLOOKUP('Données projet'!$B$9,Paramètres!$A$1:$I$89,3,0)*0.475*44/12</f>
        <v>1.9206091480148352E-5</v>
      </c>
      <c r="AC93" s="24">
        <f t="shared" si="57"/>
        <v>46.072270889786481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1.9895196601282805E-13</v>
      </c>
      <c r="AJ93" s="14">
        <f>AI93*VLOOKUP('Données projet'!$B$10,Paramètres!$A$1:$I$89,3,0)*VLOOKUP('Données projet'!$B$10,Paramètres!$A$1:$I$89,5,0)</f>
        <v>1.8001173884840681E-13</v>
      </c>
      <c r="AK93" s="14">
        <f t="shared" si="89"/>
        <v>2.5254331426407198E-12</v>
      </c>
      <c r="AL93" s="22">
        <f t="shared" si="58"/>
        <v>4.7119831685935622E-12</v>
      </c>
      <c r="AM93" s="62">
        <f t="shared" si="59"/>
        <v>293.33333333333803</v>
      </c>
      <c r="AN93" s="62">
        <f ca="1">AVERAGE(OFFSET($AM$3,0,0,'Données projet'!$E$10+1,1))-AVERAGE(OFFSET($H$3,0,0,'Données projet'!$E$10+1,1))</f>
        <v>249.70045432150511</v>
      </c>
      <c r="AO93" s="62">
        <f t="shared" si="90"/>
        <v>348.75012088192597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31.228973831432292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3.6475807886237163E-6</v>
      </c>
      <c r="AX93" s="23">
        <f t="shared" si="60"/>
        <v>31.228977479013082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-1.7053025658242404E-13</v>
      </c>
      <c r="O94" s="14">
        <f>N94*VLOOKUP('Données projet'!$B$9,Paramètres!$A$1:$I$89,3,0)*VLOOKUP('Données projet'!$B$9,Paramètres!$A$1:$I$89,5,0)</f>
        <v>-1.0197709343628959E-13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150.6643110947133</v>
      </c>
      <c r="T94" s="62">
        <f t="shared" si="88"/>
        <v>231.70571415193996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33.283221350450589</v>
      </c>
      <c r="AA94" s="23">
        <f>EXP(-LN(2)/25)*AA93+(1-EXP(-LN(2)/25))/(LN(2)/25)*Calculateur!V94*Calculateur!X94*VLOOKUP('Données projet'!$B$9,Paramètres!$A$1:$I$89,3,0)*0.475*44/12</f>
        <v>11.791799726052098</v>
      </c>
      <c r="AB94" s="23">
        <f>EXP(-LN(2)/2)*AB93+(1-EXP(-LN(2)/2))/(LN(2)/2)*V94*Y94*VLOOKUP('Données projet'!$B$9,Paramètres!$A$1:$I$89,3,0)*0.475*44/12</f>
        <v>1.3580757525702076E-5</v>
      </c>
      <c r="AC94" s="24">
        <f t="shared" si="57"/>
        <v>45.075034657260211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1.9895196601282805E-13</v>
      </c>
      <c r="AJ94" s="14">
        <f>AI94*VLOOKUP('Données projet'!$B$10,Paramètres!$A$1:$I$89,3,0)*VLOOKUP('Données projet'!$B$10,Paramètres!$A$1:$I$89,5,0)</f>
        <v>1.8001173884840681E-13</v>
      </c>
      <c r="AK94" s="14">
        <f t="shared" si="89"/>
        <v>2.5254331426407198E-12</v>
      </c>
      <c r="AL94" s="22">
        <f t="shared" si="58"/>
        <v>4.7119831685935622E-12</v>
      </c>
      <c r="AM94" s="62">
        <f t="shared" si="59"/>
        <v>293.33333333333803</v>
      </c>
      <c r="AN94" s="62">
        <f ca="1">AVERAGE(OFFSET($AM$3,0,0,'Données projet'!$E$10+1,1))-AVERAGE(OFFSET($H$3,0,0,'Données projet'!$E$10+1,1))</f>
        <v>249.70045432150511</v>
      </c>
      <c r="AO94" s="62">
        <f t="shared" si="90"/>
        <v>348.75012088192597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30.616592702391127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2.5792291105616046E-6</v>
      </c>
      <c r="AX94" s="23">
        <f t="shared" si="60"/>
        <v>30.616595281620238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-1.7053025658242404E-13</v>
      </c>
      <c r="O95" s="14">
        <f>N95*VLOOKUP('Données projet'!$B$9,Paramètres!$A$1:$I$89,3,0)*VLOOKUP('Données projet'!$B$9,Paramètres!$A$1:$I$89,5,0)</f>
        <v>-1.0197709343628959E-13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150.6643110947133</v>
      </c>
      <c r="T95" s="62">
        <f t="shared" si="88"/>
        <v>231.70571415193996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32.630557680528746</v>
      </c>
      <c r="AA95" s="23">
        <f>EXP(-LN(2)/25)*AA94+(1-EXP(-LN(2)/25))/(LN(2)/25)*Calculateur!V95*Calculateur!X95*VLOOKUP('Données projet'!$B$9,Paramètres!$A$1:$I$89,3,0)*0.475*44/12</f>
        <v>11.469352342439405</v>
      </c>
      <c r="AB95" s="23">
        <f>EXP(-LN(2)/2)*AB94+(1-EXP(-LN(2)/2))/(LN(2)/2)*V95*Y95*VLOOKUP('Données projet'!$B$9,Paramètres!$A$1:$I$89,3,0)*0.475*44/12</f>
        <v>9.6030457400741761E-6</v>
      </c>
      <c r="AC95" s="24">
        <f t="shared" si="57"/>
        <v>44.099919626013893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1.9895196601282805E-13</v>
      </c>
      <c r="AJ95" s="14">
        <f>AI95*VLOOKUP('Données projet'!$B$10,Paramètres!$A$1:$I$89,3,0)*VLOOKUP('Données projet'!$B$10,Paramètres!$A$1:$I$89,5,0)</f>
        <v>1.8001173884840681E-13</v>
      </c>
      <c r="AK95" s="14">
        <f t="shared" si="89"/>
        <v>2.5254331426407198E-12</v>
      </c>
      <c r="AL95" s="22">
        <f t="shared" si="58"/>
        <v>4.7119831685935622E-12</v>
      </c>
      <c r="AM95" s="62">
        <f t="shared" si="59"/>
        <v>293.33333333333803</v>
      </c>
      <c r="AN95" s="62">
        <f ca="1">AVERAGE(OFFSET($AM$3,0,0,'Données projet'!$E$10+1,1))-AVERAGE(OFFSET($H$3,0,0,'Données projet'!$E$10+1,1))</f>
        <v>249.70045432150511</v>
      </c>
      <c r="AO95" s="62">
        <f t="shared" si="90"/>
        <v>348.75012088192597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30.016219993774854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1.8237903943118582E-6</v>
      </c>
      <c r="AX95" s="23">
        <f t="shared" si="60"/>
        <v>30.016221817565249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-1.7053025658242404E-13</v>
      </c>
      <c r="O96" s="14">
        <f>N96*VLOOKUP('Données projet'!$B$9,Paramètres!$A$1:$I$89,3,0)*VLOOKUP('Données projet'!$B$9,Paramètres!$A$1:$I$89,5,0)</f>
        <v>-1.0197709343628959E-13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150.6643110947133</v>
      </c>
      <c r="T96" s="62">
        <f t="shared" si="88"/>
        <v>231.70571415193996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31.990692347088537</v>
      </c>
      <c r="AA96" s="23">
        <f>EXP(-LN(2)/25)*AA95+(1-EXP(-LN(2)/25))/(LN(2)/25)*Calculateur!V96*Calculateur!X96*VLOOKUP('Données projet'!$B$9,Paramètres!$A$1:$I$89,3,0)*0.475*44/12</f>
        <v>11.155722299488374</v>
      </c>
      <c r="AB96" s="23">
        <f>EXP(-LN(2)/2)*AB95+(1-EXP(-LN(2)/2))/(LN(2)/2)*V96*Y96*VLOOKUP('Données projet'!$B$9,Paramètres!$A$1:$I$89,3,0)*0.475*44/12</f>
        <v>6.7903787628510378E-6</v>
      </c>
      <c r="AC96" s="24">
        <f t="shared" si="57"/>
        <v>43.146421436955677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1.9895196601282805E-13</v>
      </c>
      <c r="AJ96" s="14">
        <f>AI96*VLOOKUP('Données projet'!$B$10,Paramètres!$A$1:$I$89,3,0)*VLOOKUP('Données projet'!$B$10,Paramètres!$A$1:$I$89,5,0)</f>
        <v>1.8001173884840681E-13</v>
      </c>
      <c r="AK96" s="14">
        <f t="shared" si="89"/>
        <v>2.5254331426407198E-12</v>
      </c>
      <c r="AL96" s="22">
        <f t="shared" si="58"/>
        <v>4.7119831685935622E-12</v>
      </c>
      <c r="AM96" s="62">
        <f t="shared" si="59"/>
        <v>293.33333333333803</v>
      </c>
      <c r="AN96" s="62">
        <f ca="1">AVERAGE(OFFSET($AM$3,0,0,'Données projet'!$E$10+1,1))-AVERAGE(OFFSET($H$3,0,0,'Données projet'!$E$10+1,1))</f>
        <v>249.70045432150511</v>
      </c>
      <c r="AO96" s="62">
        <f t="shared" si="90"/>
        <v>348.75012088192597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29.427620227783351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1.2896145552808023E-6</v>
      </c>
      <c r="AX96" s="23">
        <f t="shared" si="60"/>
        <v>29.427621517397906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-1.7053025658242404E-13</v>
      </c>
      <c r="O97" s="14">
        <f>N97*VLOOKUP('Données projet'!$B$9,Paramètres!$A$1:$I$89,3,0)*VLOOKUP('Données projet'!$B$9,Paramètres!$A$1:$I$89,5,0)</f>
        <v>-1.0197709343628959E-13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150.6643110947133</v>
      </c>
      <c r="T97" s="62">
        <f t="shared" si="88"/>
        <v>231.70571415193996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31.363374382557772</v>
      </c>
      <c r="AA97" s="23">
        <f>EXP(-LN(2)/25)*AA96+(1-EXP(-LN(2)/25))/(LN(2)/25)*Calculateur!V97*Calculateur!X97*VLOOKUP('Données projet'!$B$9,Paramètres!$A$1:$I$89,3,0)*0.475*44/12</f>
        <v>10.850668486554925</v>
      </c>
      <c r="AB97" s="23">
        <f>EXP(-LN(2)/2)*AB96+(1-EXP(-LN(2)/2))/(LN(2)/2)*V97*Y97*VLOOKUP('Données projet'!$B$9,Paramètres!$A$1:$I$89,3,0)*0.475*44/12</f>
        <v>4.801522870037088E-6</v>
      </c>
      <c r="AC97" s="24">
        <f t="shared" si="57"/>
        <v>42.214047670635566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1.9895196601282805E-13</v>
      </c>
      <c r="AJ97" s="14">
        <f>AI97*VLOOKUP('Données projet'!$B$10,Paramètres!$A$1:$I$89,3,0)*VLOOKUP('Données projet'!$B$10,Paramètres!$A$1:$I$89,5,0)</f>
        <v>1.8001173884840681E-13</v>
      </c>
      <c r="AK97" s="14">
        <f t="shared" si="89"/>
        <v>2.5254331426407198E-12</v>
      </c>
      <c r="AL97" s="22">
        <f t="shared" si="58"/>
        <v>4.7119831685935622E-12</v>
      </c>
      <c r="AM97" s="62">
        <f t="shared" si="59"/>
        <v>293.33333333333803</v>
      </c>
      <c r="AN97" s="62">
        <f ca="1">AVERAGE(OFFSET($AM$3,0,0,'Données projet'!$E$10+1,1))-AVERAGE(OFFSET($H$3,0,0,'Données projet'!$E$10+1,1))</f>
        <v>249.70045432150511</v>
      </c>
      <c r="AO97" s="62">
        <f t="shared" si="90"/>
        <v>348.75012088192597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28.850562544192535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9.1189519715592908E-7</v>
      </c>
      <c r="AX97" s="23">
        <f t="shared" si="60"/>
        <v>28.85056345608773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-1.7053025658242404E-13</v>
      </c>
      <c r="O98" s="14">
        <f>N98*VLOOKUP('Données projet'!$B$9,Paramètres!$A$1:$I$89,3,0)*VLOOKUP('Données projet'!$B$9,Paramètres!$A$1:$I$89,5,0)</f>
        <v>-1.0197709343628959E-13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150.6643110947133</v>
      </c>
      <c r="T98" s="62">
        <f t="shared" si="88"/>
        <v>231.70571415193996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30.748357740685279</v>
      </c>
      <c r="AA98" s="23">
        <f>EXP(-LN(2)/25)*AA97+(1-EXP(-LN(2)/25))/(LN(2)/25)*Calculateur!V98*Calculateur!X98*VLOOKUP('Données projet'!$B$9,Paramètres!$A$1:$I$89,3,0)*0.475*44/12</f>
        <v>10.553956386178225</v>
      </c>
      <c r="AB98" s="23">
        <f>EXP(-LN(2)/2)*AB97+(1-EXP(-LN(2)/2))/(LN(2)/2)*V98*Y98*VLOOKUP('Données projet'!$B$9,Paramètres!$A$1:$I$89,3,0)*0.475*44/12</f>
        <v>3.3951893814255189E-6</v>
      </c>
      <c r="AC98" s="24">
        <f t="shared" si="57"/>
        <v>41.302317522052888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1.9895196601282805E-13</v>
      </c>
      <c r="AJ98" s="14">
        <f>AI98*VLOOKUP('Données projet'!$B$10,Paramètres!$A$1:$I$89,3,0)*VLOOKUP('Données projet'!$B$10,Paramètres!$A$1:$I$89,5,0)</f>
        <v>1.8001173884840681E-13</v>
      </c>
      <c r="AK98" s="14">
        <f t="shared" si="89"/>
        <v>2.5254331426407198E-12</v>
      </c>
      <c r="AL98" s="22">
        <f t="shared" si="58"/>
        <v>4.7119831685935622E-12</v>
      </c>
      <c r="AM98" s="62">
        <f t="shared" si="59"/>
        <v>293.33333333333803</v>
      </c>
      <c r="AN98" s="62">
        <f ca="1">AVERAGE(OFFSET($AM$3,0,0,'Données projet'!$E$10+1,1))-AVERAGE(OFFSET($H$3,0,0,'Données projet'!$E$10+1,1))</f>
        <v>249.70045432150511</v>
      </c>
      <c r="AO98" s="62">
        <f t="shared" si="90"/>
        <v>348.75012088192597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28.284820609806502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6.4480727764040115E-7</v>
      </c>
      <c r="AX98" s="23">
        <f t="shared" si="60"/>
        <v>28.284821254613778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-1.7053025658242404E-13</v>
      </c>
      <c r="O99" s="14">
        <f>N99*VLOOKUP('Données projet'!$B$9,Paramètres!$A$1:$I$89,3,0)*VLOOKUP('Données projet'!$B$9,Paramètres!$A$1:$I$89,5,0)</f>
        <v>-1.0197709343628959E-13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150.6643110947133</v>
      </c>
      <c r="T99" s="62">
        <f t="shared" si="88"/>
        <v>231.70571415193996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30.145401200036794</v>
      </c>
      <c r="AA99" s="23">
        <f>EXP(-LN(2)/25)*AA98+(1-EXP(-LN(2)/25))/(LN(2)/25)*Calculateur!V99*Calculateur!X99*VLOOKUP('Données projet'!$B$9,Paramètres!$A$1:$I$89,3,0)*0.475*44/12</f>
        <v>10.265357893789737</v>
      </c>
      <c r="AB99" s="23">
        <f>EXP(-LN(2)/2)*AB98+(1-EXP(-LN(2)/2))/(LN(2)/2)*V99*Y99*VLOOKUP('Données projet'!$B$9,Paramètres!$A$1:$I$89,3,0)*0.475*44/12</f>
        <v>2.400761435018544E-6</v>
      </c>
      <c r="AC99" s="24">
        <f t="shared" si="57"/>
        <v>40.410761494587966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1.9895196601282805E-13</v>
      </c>
      <c r="AJ99" s="14">
        <f>AI99*VLOOKUP('Données projet'!$B$10,Paramètres!$A$1:$I$89,3,0)*VLOOKUP('Données projet'!$B$10,Paramètres!$A$1:$I$89,5,0)</f>
        <v>1.8001173884840681E-13</v>
      </c>
      <c r="AK99" s="14">
        <f t="shared" si="89"/>
        <v>2.5254331426407198E-12</v>
      </c>
      <c r="AL99" s="22">
        <f t="shared" si="58"/>
        <v>4.7119831685935622E-12</v>
      </c>
      <c r="AM99" s="62">
        <f t="shared" si="59"/>
        <v>293.33333333333803</v>
      </c>
      <c r="AN99" s="62">
        <f ca="1">AVERAGE(OFFSET($AM$3,0,0,'Données projet'!$E$10+1,1))-AVERAGE(OFFSET($H$3,0,0,'Données projet'!$E$10+1,1))</f>
        <v>249.70045432150511</v>
      </c>
      <c r="AO99" s="62">
        <f t="shared" si="90"/>
        <v>348.75012088192597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27.730172529685273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4.5594759857796454E-7</v>
      </c>
      <c r="AX99" s="23">
        <f t="shared" si="60"/>
        <v>27.730172985632873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-1.7053025658242404E-13</v>
      </c>
      <c r="O100" s="14">
        <f>N100*VLOOKUP('Données projet'!$B$9,Paramètres!$A$1:$I$89,3,0)*VLOOKUP('Données projet'!$B$9,Paramètres!$A$1:$I$89,5,0)</f>
        <v>-1.0197709343628959E-13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150.6643110947133</v>
      </c>
      <c r="T100" s="62">
        <f t="shared" si="88"/>
        <v>231.70571415193996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29.55426826938325</v>
      </c>
      <c r="AA100" s="23">
        <f>EXP(-LN(2)/25)*AA99+(1-EXP(-LN(2)/25))/(LN(2)/25)*Calculateur!V100*Calculateur!X100*VLOOKUP('Données projet'!$B$9,Paramètres!$A$1:$I$89,3,0)*0.475*44/12</f>
        <v>9.9846511423523463</v>
      </c>
      <c r="AB100" s="23">
        <f>EXP(-LN(2)/2)*AB99+(1-EXP(-LN(2)/2))/(LN(2)/2)*V100*Y100*VLOOKUP('Données projet'!$B$9,Paramètres!$A$1:$I$89,3,0)*0.475*44/12</f>
        <v>1.6975946907127594E-6</v>
      </c>
      <c r="AC100" s="24">
        <f t="shared" si="57"/>
        <v>39.538921109330289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1.9895196601282805E-13</v>
      </c>
      <c r="AJ100" s="14">
        <f>AI100*VLOOKUP('Données projet'!$B$10,Paramètres!$A$1:$I$89,3,0)*VLOOKUP('Données projet'!$B$10,Paramètres!$A$1:$I$89,5,0)</f>
        <v>1.8001173884840681E-13</v>
      </c>
      <c r="AK100" s="14">
        <f t="shared" si="89"/>
        <v>2.5254331426407198E-12</v>
      </c>
      <c r="AL100" s="22">
        <f t="shared" si="58"/>
        <v>4.7119831685935622E-12</v>
      </c>
      <c r="AM100" s="62">
        <f t="shared" si="59"/>
        <v>293.33333333333803</v>
      </c>
      <c r="AN100" s="62">
        <f ca="1">AVERAGE(OFFSET($AM$3,0,0,'Données projet'!$E$10+1,1))-AVERAGE(OFFSET($H$3,0,0,'Données projet'!$E$10+1,1))</f>
        <v>249.70045432150511</v>
      </c>
      <c r="AO100" s="62">
        <f t="shared" si="90"/>
        <v>348.75012088192597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27.186400760113294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3.2240363882020057E-7</v>
      </c>
      <c r="AX100" s="23">
        <f t="shared" si="60"/>
        <v>27.186401082516934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-1.7053025658242404E-13</v>
      </c>
      <c r="O101" s="14">
        <f>N101*VLOOKUP('Données projet'!$B$9,Paramètres!$A$1:$I$89,3,0)*VLOOKUP('Données projet'!$B$9,Paramètres!$A$1:$I$89,5,0)</f>
        <v>-1.0197709343628959E-13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150.6643110947133</v>
      </c>
      <c r="T101" s="62">
        <f t="shared" si="88"/>
        <v>231.70571415193996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28.974727094944338</v>
      </c>
      <c r="AA101" s="23">
        <f>EXP(-LN(2)/25)*AA100+(1-EXP(-LN(2)/25))/(LN(2)/25)*Calculateur!V101*Calculateur!X101*VLOOKUP('Données projet'!$B$9,Paramètres!$A$1:$I$89,3,0)*0.475*44/12</f>
        <v>9.7116203317947374</v>
      </c>
      <c r="AB101" s="23">
        <f>EXP(-LN(2)/2)*AB100+(1-EXP(-LN(2)/2))/(LN(2)/2)*V101*Y101*VLOOKUP('Données projet'!$B$9,Paramètres!$A$1:$I$89,3,0)*0.475*44/12</f>
        <v>1.200380717509272E-6</v>
      </c>
      <c r="AC101" s="24">
        <f t="shared" si="57"/>
        <v>38.686348627119791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1.9895196601282805E-13</v>
      </c>
      <c r="AJ101" s="14">
        <f>AI101*VLOOKUP('Données projet'!$B$10,Paramètres!$A$1:$I$89,3,0)*VLOOKUP('Données projet'!$B$10,Paramètres!$A$1:$I$89,5,0)</f>
        <v>1.8001173884840681E-13</v>
      </c>
      <c r="AK101" s="14">
        <f t="shared" si="89"/>
        <v>2.5254331426407198E-12</v>
      </c>
      <c r="AL101" s="22">
        <f t="shared" si="58"/>
        <v>4.7119831685935622E-12</v>
      </c>
      <c r="AM101" s="62">
        <f t="shared" si="59"/>
        <v>293.33333333333803</v>
      </c>
      <c r="AN101" s="62">
        <f ca="1">AVERAGE(OFFSET($AM$3,0,0,'Données projet'!$E$10+1,1))-AVERAGE(OFFSET($H$3,0,0,'Données projet'!$E$10+1,1))</f>
        <v>249.70045432150511</v>
      </c>
      <c r="AO101" s="62">
        <f t="shared" si="90"/>
        <v>348.75012088192597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26.653292023274592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2.2797379928898227E-7</v>
      </c>
      <c r="AX101" s="23">
        <f t="shared" si="60"/>
        <v>26.653292251248391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-1.7053025658242404E-13</v>
      </c>
      <c r="O102" s="14">
        <f>N102*VLOOKUP('Données projet'!$B$9,Paramètres!$A$1:$I$89,3,0)*VLOOKUP('Données projet'!$B$9,Paramètres!$A$1:$I$89,5,0)</f>
        <v>-1.0197709343628959E-13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150.6643110947133</v>
      </c>
      <c r="T102" s="62">
        <f t="shared" si="88"/>
        <v>231.70571415193996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28.406550369450962</v>
      </c>
      <c r="AA102" s="23">
        <f>EXP(-LN(2)/25)*AA101+(1-EXP(-LN(2)/25))/(LN(2)/25)*Calculateur!V102*Calculateur!X102*VLOOKUP('Données projet'!$B$9,Paramètres!$A$1:$I$89,3,0)*0.475*44/12</f>
        <v>9.4460555631098924</v>
      </c>
      <c r="AB102" s="23">
        <f>EXP(-LN(2)/2)*AB101+(1-EXP(-LN(2)/2))/(LN(2)/2)*V102*Y102*VLOOKUP('Données projet'!$B$9,Paramètres!$A$1:$I$89,3,0)*0.475*44/12</f>
        <v>8.4879734535637972E-7</v>
      </c>
      <c r="AC102" s="24">
        <f t="shared" si="57"/>
        <v>37.852606781358205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1.9895196601282805E-13</v>
      </c>
      <c r="AJ102" s="14">
        <f>AI102*VLOOKUP('Données projet'!$B$10,Paramètres!$A$1:$I$89,3,0)*VLOOKUP('Données projet'!$B$10,Paramètres!$A$1:$I$89,5,0)</f>
        <v>1.8001173884840681E-13</v>
      </c>
      <c r="AK102" s="14">
        <f t="shared" si="89"/>
        <v>2.5254331426407198E-12</v>
      </c>
      <c r="AL102" s="22">
        <f t="shared" si="58"/>
        <v>4.7119831685935622E-12</v>
      </c>
      <c r="AM102" s="62">
        <f t="shared" si="59"/>
        <v>293.33333333333803</v>
      </c>
      <c r="AN102" s="62">
        <f ca="1">AVERAGE(OFFSET($AM$3,0,0,'Données projet'!$E$10+1,1))-AVERAGE(OFFSET($H$3,0,0,'Données projet'!$E$10+1,1))</f>
        <v>249.70045432150511</v>
      </c>
      <c r="AO102" s="62">
        <f t="shared" si="90"/>
        <v>348.75012088192597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26.130637223601074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1.6120181941010029E-7</v>
      </c>
      <c r="AX102" s="23">
        <f t="shared" si="60"/>
        <v>26.130637384802892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-1.7053025658242404E-13</v>
      </c>
      <c r="O103" s="14">
        <f>N103*VLOOKUP('Données projet'!$B$9,Paramètres!$A$1:$I$89,3,0)*VLOOKUP('Données projet'!$B$9,Paramètres!$A$1:$I$89,5,0)</f>
        <v>-1.0197709343628959E-13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150.6643110947133</v>
      </c>
      <c r="T103" s="62">
        <f t="shared" si="88"/>
        <v>231.70571415193996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27.849515242990925</v>
      </c>
      <c r="AA103" s="23">
        <f>EXP(-LN(2)/25)*AA102+(1-EXP(-LN(2)/25))/(LN(2)/25)*Calculateur!V103*Calculateur!X103*VLOOKUP('Données projet'!$B$9,Paramètres!$A$1:$I$89,3,0)*0.475*44/12</f>
        <v>9.1877526769901792</v>
      </c>
      <c r="AB103" s="23">
        <f>EXP(-LN(2)/2)*AB102+(1-EXP(-LN(2)/2))/(LN(2)/2)*V103*Y103*VLOOKUP('Données projet'!$B$9,Paramètres!$A$1:$I$89,3,0)*0.475*44/12</f>
        <v>6.00190358754636E-7</v>
      </c>
      <c r="AC103" s="24">
        <f t="shared" si="57"/>
        <v>37.037268520171466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1.9895196601282805E-13</v>
      </c>
      <c r="AJ103" s="14">
        <f>AI103*VLOOKUP('Données projet'!$B$10,Paramètres!$A$1:$I$89,3,0)*VLOOKUP('Données projet'!$B$10,Paramètres!$A$1:$I$89,5,0)</f>
        <v>1.8001173884840681E-13</v>
      </c>
      <c r="AK103" s="14">
        <f t="shared" si="89"/>
        <v>2.5254331426407198E-12</v>
      </c>
      <c r="AL103" s="22">
        <f t="shared" si="58"/>
        <v>4.7119831685935622E-12</v>
      </c>
      <c r="AM103" s="62">
        <f t="shared" si="59"/>
        <v>293.33333333333803</v>
      </c>
      <c r="AN103" s="62">
        <f ca="1">AVERAGE(OFFSET($AM$3,0,0,'Données projet'!$E$10+1,1))-AVERAGE(OFFSET($H$3,0,0,'Données projet'!$E$10+1,1))</f>
        <v>249.70045432150511</v>
      </c>
      <c r="AO103" s="62">
        <f t="shared" si="90"/>
        <v>348.75012088192597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25.618231365761204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1.1398689964449113E-7</v>
      </c>
      <c r="AX103" s="23">
        <f t="shared" si="60"/>
        <v>25.618231479748104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-1.7053025658242404E-13</v>
      </c>
      <c r="O104" s="14">
        <f>N104*VLOOKUP('Données projet'!$B$9,Paramètres!$A$1:$I$89,3,0)*VLOOKUP('Données projet'!$B$9,Paramètres!$A$1:$I$89,5,0)</f>
        <v>-1.0197709343628959E-13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150.6643110947133</v>
      </c>
      <c r="T104" s="62">
        <f t="shared" si="88"/>
        <v>231.70571415193996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27.303403235602893</v>
      </c>
      <c r="AA104" s="23">
        <f>EXP(-LN(2)/25)*AA103+(1-EXP(-LN(2)/25))/(LN(2)/25)*Calculateur!V104*Calculateur!X104*VLOOKUP('Données projet'!$B$9,Paramètres!$A$1:$I$89,3,0)*0.475*44/12</f>
        <v>8.9365130968749682</v>
      </c>
      <c r="AB104" s="23">
        <f>EXP(-LN(2)/2)*AB103+(1-EXP(-LN(2)/2))/(LN(2)/2)*V104*Y104*VLOOKUP('Données projet'!$B$9,Paramètres!$A$1:$I$89,3,0)*0.475*44/12</f>
        <v>4.2439867267818986E-7</v>
      </c>
      <c r="AC104" s="24">
        <f t="shared" si="57"/>
        <v>36.239916756876532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1.9895196601282805E-13</v>
      </c>
      <c r="AJ104" s="14">
        <f>AI104*VLOOKUP('Données projet'!$B$10,Paramètres!$A$1:$I$89,3,0)*VLOOKUP('Données projet'!$B$10,Paramètres!$A$1:$I$89,5,0)</f>
        <v>1.8001173884840681E-13</v>
      </c>
      <c r="AK104" s="14">
        <f t="shared" si="89"/>
        <v>2.5254331426407198E-12</v>
      </c>
      <c r="AL104" s="22">
        <f t="shared" si="58"/>
        <v>4.7119831685935622E-12</v>
      </c>
      <c r="AM104" s="62">
        <f t="shared" si="59"/>
        <v>293.33333333333803</v>
      </c>
      <c r="AN104" s="62">
        <f ca="1">AVERAGE(OFFSET($AM$3,0,0,'Données projet'!$E$10+1,1))-AVERAGE(OFFSET($H$3,0,0,'Données projet'!$E$10+1,1))</f>
        <v>249.70045432150511</v>
      </c>
      <c r="AO104" s="62">
        <f t="shared" si="90"/>
        <v>348.75012088192597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25.115873474256862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8.0600909705050144E-8</v>
      </c>
      <c r="AX104" s="23">
        <f t="shared" si="60"/>
        <v>25.115873554857771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-1.7053025658242404E-13</v>
      </c>
      <c r="O105" s="14">
        <f>N105*VLOOKUP('Données projet'!$B$9,Paramètres!$A$1:$I$89,3,0)*VLOOKUP('Données projet'!$B$9,Paramètres!$A$1:$I$89,5,0)</f>
        <v>-1.0197709343628959E-13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150.6643110947133</v>
      </c>
      <c r="T105" s="62">
        <f t="shared" si="88"/>
        <v>231.70571415193996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26.768000151584303</v>
      </c>
      <c r="AA105" s="23">
        <f>EXP(-LN(2)/25)*AA104+(1-EXP(-LN(2)/25))/(LN(2)/25)*Calculateur!V105*Calculateur!X105*VLOOKUP('Données projet'!$B$9,Paramètres!$A$1:$I$89,3,0)*0.475*44/12</f>
        <v>8.6921436762901223</v>
      </c>
      <c r="AB105" s="23">
        <f>EXP(-LN(2)/2)*AB104+(1-EXP(-LN(2)/2))/(LN(2)/2)*V105*Y105*VLOOKUP('Données projet'!$B$9,Paramètres!$A$1:$I$89,3,0)*0.475*44/12</f>
        <v>3.00095179377318E-7</v>
      </c>
      <c r="AC105" s="24">
        <f t="shared" si="57"/>
        <v>35.460144127969606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1.9895196601282805E-13</v>
      </c>
      <c r="AJ105" s="14">
        <f>AI105*VLOOKUP('Données projet'!$B$10,Paramètres!$A$1:$I$89,3,0)*VLOOKUP('Données projet'!$B$10,Paramètres!$A$1:$I$89,5,0)</f>
        <v>1.8001173884840681E-13</v>
      </c>
      <c r="AK105" s="14">
        <f t="shared" si="89"/>
        <v>2.5254331426407198E-12</v>
      </c>
      <c r="AL105" s="22">
        <f t="shared" si="58"/>
        <v>4.7119831685935622E-12</v>
      </c>
      <c r="AM105" s="62">
        <f t="shared" si="59"/>
        <v>293.33333333333803</v>
      </c>
      <c r="AN105" s="62">
        <f ca="1">AVERAGE(OFFSET($AM$3,0,0,'Données projet'!$E$10+1,1))-AVERAGE(OFFSET($H$3,0,0,'Données projet'!$E$10+1,1))</f>
        <v>249.70045432150511</v>
      </c>
      <c r="AO105" s="62">
        <f t="shared" si="90"/>
        <v>348.75012088192597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24.62336651459686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5.6993449822245567E-8</v>
      </c>
      <c r="AX105" s="23">
        <f t="shared" si="60"/>
        <v>24.62336657159031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-1.7053025658242404E-13</v>
      </c>
      <c r="O106" s="14">
        <f>N106*VLOOKUP('Données projet'!$B$9,Paramètres!$A$1:$I$89,3,0)*VLOOKUP('Données projet'!$B$9,Paramètres!$A$1:$I$89,5,0)</f>
        <v>-1.0197709343628959E-13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150.6643110947133</v>
      </c>
      <c r="T106" s="62">
        <f t="shared" si="88"/>
        <v>231.70571415193996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26.243095995479685</v>
      </c>
      <c r="AA106" s="23">
        <f>EXP(-LN(2)/25)*AA105+(1-EXP(-LN(2)/25))/(LN(2)/25)*Calculateur!V106*Calculateur!X106*VLOOKUP('Données projet'!$B$9,Paramètres!$A$1:$I$89,3,0)*0.475*44/12</f>
        <v>8.4544565503619999</v>
      </c>
      <c r="AB106" s="23">
        <f>EXP(-LN(2)/2)*AB105+(1-EXP(-LN(2)/2))/(LN(2)/2)*V106*Y106*VLOOKUP('Données projet'!$B$9,Paramètres!$A$1:$I$89,3,0)*0.475*44/12</f>
        <v>2.1219933633909493E-7</v>
      </c>
      <c r="AC106" s="24">
        <f t="shared" si="57"/>
        <v>34.697552758041027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1.9895196601282805E-13</v>
      </c>
      <c r="AJ106" s="14">
        <f>AI106*VLOOKUP('Données projet'!$B$10,Paramètres!$A$1:$I$89,3,0)*VLOOKUP('Données projet'!$B$10,Paramètres!$A$1:$I$89,5,0)</f>
        <v>1.8001173884840681E-13</v>
      </c>
      <c r="AK106" s="14">
        <f t="shared" si="89"/>
        <v>2.5254331426407198E-12</v>
      </c>
      <c r="AL106" s="22">
        <f t="shared" si="58"/>
        <v>4.7119831685935622E-12</v>
      </c>
      <c r="AM106" s="62">
        <f t="shared" si="59"/>
        <v>293.33333333333803</v>
      </c>
      <c r="AN106" s="62">
        <f ca="1">AVERAGE(OFFSET($AM$3,0,0,'Données projet'!$E$10+1,1))-AVERAGE(OFFSET($H$3,0,0,'Données projet'!$E$10+1,1))</f>
        <v>249.70045432150511</v>
      </c>
      <c r="AO106" s="62">
        <f t="shared" si="90"/>
        <v>348.75012088192597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24.140517316016208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4.0300454852525072E-8</v>
      </c>
      <c r="AX106" s="23">
        <f t="shared" si="60"/>
        <v>24.140517356316664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-1.7053025658242404E-13</v>
      </c>
      <c r="O107" s="14">
        <f>N107*VLOOKUP('Données projet'!$B$9,Paramètres!$A$1:$I$89,3,0)*VLOOKUP('Données projet'!$B$9,Paramètres!$A$1:$I$89,5,0)</f>
        <v>-1.0197709343628959E-13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150.6643110947133</v>
      </c>
      <c r="T107" s="62">
        <f t="shared" si="88"/>
        <v>231.70571415193996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25.728484889716356</v>
      </c>
      <c r="AA107" s="23">
        <f>EXP(-LN(2)/25)*AA106+(1-EXP(-LN(2)/25))/(LN(2)/25)*Calculateur!V107*Calculateur!X107*VLOOKUP('Données projet'!$B$9,Paramètres!$A$1:$I$89,3,0)*0.475*44/12</f>
        <v>8.2232689913918033</v>
      </c>
      <c r="AB107" s="23">
        <f>EXP(-LN(2)/2)*AB106+(1-EXP(-LN(2)/2))/(LN(2)/2)*V107*Y107*VLOOKUP('Données projet'!$B$9,Paramètres!$A$1:$I$89,3,0)*0.475*44/12</f>
        <v>1.50047589688659E-7</v>
      </c>
      <c r="AC107" s="24">
        <f t="shared" si="57"/>
        <v>33.951754031155751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1.9895196601282805E-13</v>
      </c>
      <c r="AJ107" s="14">
        <f>AI107*VLOOKUP('Données projet'!$B$10,Paramètres!$A$1:$I$89,3,0)*VLOOKUP('Données projet'!$B$10,Paramètres!$A$1:$I$89,5,0)</f>
        <v>1.8001173884840681E-13</v>
      </c>
      <c r="AK107" s="14">
        <f t="shared" si="89"/>
        <v>2.5254331426407198E-12</v>
      </c>
      <c r="AL107" s="22">
        <f t="shared" si="58"/>
        <v>4.7119831685935622E-12</v>
      </c>
      <c r="AM107" s="62">
        <f t="shared" si="59"/>
        <v>293.33333333333803</v>
      </c>
      <c r="AN107" s="62">
        <f ca="1">AVERAGE(OFFSET($AM$3,0,0,'Données projet'!$E$10+1,1))-AVERAGE(OFFSET($H$3,0,0,'Données projet'!$E$10+1,1))</f>
        <v>249.70045432150511</v>
      </c>
      <c r="AO107" s="62">
        <f t="shared" si="90"/>
        <v>348.75012088192597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23.667136495710793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2.8496724911122784E-8</v>
      </c>
      <c r="AX107" s="23">
        <f t="shared" si="60"/>
        <v>23.667136524207518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-1.7053025658242404E-13</v>
      </c>
      <c r="O108" s="14">
        <f>N108*VLOOKUP('Données projet'!$B$9,Paramètres!$A$1:$I$89,3,0)*VLOOKUP('Données projet'!$B$9,Paramètres!$A$1:$I$89,5,0)</f>
        <v>-1.0197709343628959E-13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150.6643110947133</v>
      </c>
      <c r="T108" s="62">
        <f t="shared" si="88"/>
        <v>231.70571415193996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25.223964993855262</v>
      </c>
      <c r="AA108" s="23">
        <f>EXP(-LN(2)/25)*AA107+(1-EXP(-LN(2)/25))/(LN(2)/25)*Calculateur!V108*Calculateur!X108*VLOOKUP('Données projet'!$B$9,Paramètres!$A$1:$I$89,3,0)*0.475*44/12</f>
        <v>7.9984032683792732</v>
      </c>
      <c r="AB108" s="23">
        <f>EXP(-LN(2)/2)*AB107+(1-EXP(-LN(2)/2))/(LN(2)/2)*V108*Y108*VLOOKUP('Données projet'!$B$9,Paramètres!$A$1:$I$89,3,0)*0.475*44/12</f>
        <v>1.0609966816954747E-7</v>
      </c>
      <c r="AC108" s="24">
        <f t="shared" si="57"/>
        <v>33.222368368334202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1.9895196601282805E-13</v>
      </c>
      <c r="AJ108" s="14">
        <f>AI108*VLOOKUP('Données projet'!$B$10,Paramètres!$A$1:$I$89,3,0)*VLOOKUP('Données projet'!$B$10,Paramètres!$A$1:$I$89,5,0)</f>
        <v>1.8001173884840681E-13</v>
      </c>
      <c r="AK108" s="14">
        <f t="shared" si="89"/>
        <v>2.5254331426407198E-12</v>
      </c>
      <c r="AL108" s="22">
        <f t="shared" si="58"/>
        <v>4.7119831685935622E-12</v>
      </c>
      <c r="AM108" s="62">
        <f t="shared" si="59"/>
        <v>293.33333333333803</v>
      </c>
      <c r="AN108" s="62">
        <f ca="1">AVERAGE(OFFSET($AM$3,0,0,'Données projet'!$E$10+1,1))-AVERAGE(OFFSET($H$3,0,0,'Données projet'!$E$10+1,1))</f>
        <v>249.70045432150511</v>
      </c>
      <c r="AO108" s="62">
        <f t="shared" si="90"/>
        <v>348.75012088192597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23.203038384557775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2.0150227426262536E-8</v>
      </c>
      <c r="AX108" s="23">
        <f t="shared" si="60"/>
        <v>23.203038404708003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-1.7053025658242404E-13</v>
      </c>
      <c r="O109" s="14">
        <f>N109*VLOOKUP('Données projet'!$B$9,Paramètres!$A$1:$I$89,3,0)*VLOOKUP('Données projet'!$B$9,Paramètres!$A$1:$I$89,5,0)</f>
        <v>-1.0197709343628959E-13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150.6643110947133</v>
      </c>
      <c r="T109" s="62">
        <f t="shared" si="88"/>
        <v>231.70571415193996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24.729338425425254</v>
      </c>
      <c r="AA109" s="23">
        <f>EXP(-LN(2)/25)*AA108+(1-EXP(-LN(2)/25))/(LN(2)/25)*Calculateur!V109*Calculateur!X109*VLOOKUP('Données projet'!$B$9,Paramètres!$A$1:$I$89,3,0)*0.475*44/12</f>
        <v>7.7796865103876947</v>
      </c>
      <c r="AB109" s="23">
        <f>EXP(-LN(2)/2)*AB108+(1-EXP(-LN(2)/2))/(LN(2)/2)*V109*Y109*VLOOKUP('Données projet'!$B$9,Paramètres!$A$1:$I$89,3,0)*0.475*44/12</f>
        <v>7.50237948443295E-8</v>
      </c>
      <c r="AC109" s="24">
        <f t="shared" si="57"/>
        <v>32.509025010836737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1.9895196601282805E-13</v>
      </c>
      <c r="AJ109" s="14">
        <f>AI109*VLOOKUP('Données projet'!$B$10,Paramètres!$A$1:$I$89,3,0)*VLOOKUP('Données projet'!$B$10,Paramètres!$A$1:$I$89,5,0)</f>
        <v>1.8001173884840681E-13</v>
      </c>
      <c r="AK109" s="14">
        <f t="shared" si="89"/>
        <v>2.5254331426407198E-12</v>
      </c>
      <c r="AL109" s="22">
        <f t="shared" si="58"/>
        <v>4.7119831685935622E-12</v>
      </c>
      <c r="AM109" s="62">
        <f t="shared" si="59"/>
        <v>293.33333333333803</v>
      </c>
      <c r="AN109" s="62">
        <f ca="1">AVERAGE(OFFSET($AM$3,0,0,'Données projet'!$E$10+1,1))-AVERAGE(OFFSET($H$3,0,0,'Données projet'!$E$10+1,1))</f>
        <v>249.70045432150511</v>
      </c>
      <c r="AO109" s="62">
        <f t="shared" si="90"/>
        <v>348.75012088192597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22.748040954292573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1.4248362455561392E-8</v>
      </c>
      <c r="AX109" s="23">
        <f t="shared" si="60"/>
        <v>22.748040968540934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-1.7053025658242404E-13</v>
      </c>
      <c r="O110" s="14">
        <f>N110*VLOOKUP('Données projet'!$B$9,Paramètres!$A$1:$I$89,3,0)*VLOOKUP('Données projet'!$B$9,Paramètres!$A$1:$I$89,5,0)</f>
        <v>-1.0197709343628959E-13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150.6643110947133</v>
      </c>
      <c r="T110" s="62">
        <f t="shared" si="88"/>
        <v>231.70571415193996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24.244411182309744</v>
      </c>
      <c r="AA110" s="23">
        <f>EXP(-LN(2)/25)*AA109+(1-EXP(-LN(2)/25))/(LN(2)/25)*Calculateur!V110*Calculateur!X110*VLOOKUP('Données projet'!$B$9,Paramètres!$A$1:$I$89,3,0)*0.475*44/12</f>
        <v>7.5669505736452098</v>
      </c>
      <c r="AB110" s="23">
        <f>EXP(-LN(2)/2)*AB109+(1-EXP(-LN(2)/2))/(LN(2)/2)*V110*Y110*VLOOKUP('Données projet'!$B$9,Paramètres!$A$1:$I$89,3,0)*0.475*44/12</f>
        <v>5.3049834084773733E-8</v>
      </c>
      <c r="AC110" s="24">
        <f t="shared" si="57"/>
        <v>31.81136180900479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1.9895196601282805E-13</v>
      </c>
      <c r="AJ110" s="14">
        <f>AI110*VLOOKUP('Données projet'!$B$10,Paramètres!$A$1:$I$89,3,0)*VLOOKUP('Données projet'!$B$10,Paramètres!$A$1:$I$89,5,0)</f>
        <v>1.8001173884840681E-13</v>
      </c>
      <c r="AK110" s="14">
        <f t="shared" si="89"/>
        <v>2.5254331426407198E-12</v>
      </c>
      <c r="AL110" s="22">
        <f t="shared" si="58"/>
        <v>4.7119831685935622E-12</v>
      </c>
      <c r="AM110" s="62">
        <f t="shared" si="59"/>
        <v>293.33333333333803</v>
      </c>
      <c r="AN110" s="62">
        <f ca="1">AVERAGE(OFFSET($AM$3,0,0,'Données projet'!$E$10+1,1))-AVERAGE(OFFSET($H$3,0,0,'Données projet'!$E$10+1,1))</f>
        <v>249.70045432150511</v>
      </c>
      <c r="AO110" s="62">
        <f t="shared" si="90"/>
        <v>348.75012088192597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22.301965746113844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1.0075113713131268E-8</v>
      </c>
      <c r="AX110" s="23">
        <f t="shared" si="60"/>
        <v>22.301965756188956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-1.7053025658242404E-13</v>
      </c>
      <c r="O111" s="14">
        <f>N111*VLOOKUP('Données projet'!$B$9,Paramètres!$A$1:$I$89,3,0)*VLOOKUP('Données projet'!$B$9,Paramètres!$A$1:$I$89,5,0)</f>
        <v>-1.0197709343628959E-13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150.6643110947133</v>
      </c>
      <c r="T111" s="62">
        <f t="shared" si="88"/>
        <v>231.70571415193996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23.768993066655312</v>
      </c>
      <c r="AA111" s="23">
        <f>EXP(-LN(2)/25)*AA110+(1-EXP(-LN(2)/25))/(LN(2)/25)*Calculateur!V111*Calculateur!X111*VLOOKUP('Données projet'!$B$9,Paramètres!$A$1:$I$89,3,0)*0.475*44/12</f>
        <v>7.3600319122802453</v>
      </c>
      <c r="AB111" s="23">
        <f>EXP(-LN(2)/2)*AB110+(1-EXP(-LN(2)/2))/(LN(2)/2)*V111*Y111*VLOOKUP('Données projet'!$B$9,Paramètres!$A$1:$I$89,3,0)*0.475*44/12</f>
        <v>3.751189742216475E-8</v>
      </c>
      <c r="AC111" s="24">
        <f t="shared" si="57"/>
        <v>31.129025016447454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1.9895196601282805E-13</v>
      </c>
      <c r="AJ111" s="14">
        <f>AI111*VLOOKUP('Données projet'!$B$10,Paramètres!$A$1:$I$89,3,0)*VLOOKUP('Données projet'!$B$10,Paramètres!$A$1:$I$89,5,0)</f>
        <v>1.8001173884840681E-13</v>
      </c>
      <c r="AK111" s="14">
        <f t="shared" si="89"/>
        <v>2.5254331426407198E-12</v>
      </c>
      <c r="AL111" s="22">
        <f t="shared" si="58"/>
        <v>4.7119831685935622E-12</v>
      </c>
      <c r="AM111" s="62">
        <f t="shared" si="59"/>
        <v>293.33333333333803</v>
      </c>
      <c r="AN111" s="62">
        <f ca="1">AVERAGE(OFFSET($AM$3,0,0,'Données projet'!$E$10+1,1))-AVERAGE(OFFSET($H$3,0,0,'Données projet'!$E$10+1,1))</f>
        <v>249.70045432150511</v>
      </c>
      <c r="AO111" s="62">
        <f t="shared" si="90"/>
        <v>348.75012088192597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21.864637800688485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7.1241812277806959E-9</v>
      </c>
      <c r="AX111" s="23">
        <f t="shared" si="60"/>
        <v>21.864637807812667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-1.7053025658242404E-13</v>
      </c>
      <c r="O112" s="14">
        <f>N112*VLOOKUP('Données projet'!$B$9,Paramètres!$A$1:$I$89,3,0)*VLOOKUP('Données projet'!$B$9,Paramètres!$A$1:$I$89,5,0)</f>
        <v>-1.0197709343628959E-13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150.6643110947133</v>
      </c>
      <c r="T112" s="62">
        <f t="shared" si="88"/>
        <v>231.70571415193996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23.302897610272449</v>
      </c>
      <c r="AA112" s="23">
        <f>EXP(-LN(2)/25)*AA111+(1-EXP(-LN(2)/25))/(LN(2)/25)*Calculateur!V112*Calculateur!X112*VLOOKUP('Données projet'!$B$9,Paramètres!$A$1:$I$89,3,0)*0.475*44/12</f>
        <v>7.1587714525916857</v>
      </c>
      <c r="AB112" s="23">
        <f>EXP(-LN(2)/2)*AB111+(1-EXP(-LN(2)/2))/(LN(2)/2)*V112*Y112*VLOOKUP('Données projet'!$B$9,Paramètres!$A$1:$I$89,3,0)*0.475*44/12</f>
        <v>2.6524917042386866E-8</v>
      </c>
      <c r="AC112" s="24">
        <f t="shared" si="57"/>
        <v>30.461669089389051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1.9895196601282805E-13</v>
      </c>
      <c r="AJ112" s="14">
        <f>AI112*VLOOKUP('Données projet'!$B$10,Paramètres!$A$1:$I$89,3,0)*VLOOKUP('Données projet'!$B$10,Paramètres!$A$1:$I$89,5,0)</f>
        <v>1.8001173884840681E-13</v>
      </c>
      <c r="AK112" s="14">
        <f t="shared" si="89"/>
        <v>2.5254331426407198E-12</v>
      </c>
      <c r="AL112" s="22">
        <f t="shared" si="58"/>
        <v>4.7119831685935622E-12</v>
      </c>
      <c r="AM112" s="62">
        <f t="shared" si="59"/>
        <v>293.33333333333803</v>
      </c>
      <c r="AN112" s="62">
        <f ca="1">AVERAGE(OFFSET($AM$3,0,0,'Données projet'!$E$10+1,1))-AVERAGE(OFFSET($H$3,0,0,'Données projet'!$E$10+1,1))</f>
        <v>249.70045432150511</v>
      </c>
      <c r="AO112" s="62">
        <f t="shared" si="90"/>
        <v>348.75012088192597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21.43588558952921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5.037556856565634E-9</v>
      </c>
      <c r="AX112" s="23">
        <f t="shared" si="60"/>
        <v>21.435885594566766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-1.7053025658242404E-13</v>
      </c>
      <c r="O113" s="14">
        <f>N113*VLOOKUP('Données projet'!$B$9,Paramètres!$A$1:$I$89,3,0)*VLOOKUP('Données projet'!$B$9,Paramètres!$A$1:$I$89,5,0)</f>
        <v>-1.0197709343628959E-13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150.6643110947133</v>
      </c>
      <c r="T113" s="62">
        <f t="shared" si="88"/>
        <v>231.70571415193996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22.845942001499097</v>
      </c>
      <c r="AA113" s="23">
        <f>EXP(-LN(2)/25)*AA112+(1-EXP(-LN(2)/25))/(LN(2)/25)*Calculateur!V113*Calculateur!X113*VLOOKUP('Données projet'!$B$9,Paramètres!$A$1:$I$89,3,0)*0.475*44/12</f>
        <v>6.9630144707571366</v>
      </c>
      <c r="AB113" s="23">
        <f>EXP(-LN(2)/2)*AB112+(1-EXP(-LN(2)/2))/(LN(2)/2)*V113*Y113*VLOOKUP('Données projet'!$B$9,Paramètres!$A$1:$I$89,3,0)*0.475*44/12</f>
        <v>1.8755948711082375E-8</v>
      </c>
      <c r="AC113" s="24">
        <f t="shared" si="57"/>
        <v>29.808956491012182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1.9895196601282805E-13</v>
      </c>
      <c r="AJ113" s="14">
        <f>AI113*VLOOKUP('Données projet'!$B$10,Paramètres!$A$1:$I$89,3,0)*VLOOKUP('Données projet'!$B$10,Paramètres!$A$1:$I$89,5,0)</f>
        <v>1.8001173884840681E-13</v>
      </c>
      <c r="AK113" s="14">
        <f t="shared" si="89"/>
        <v>2.5254331426407198E-12</v>
      </c>
      <c r="AL113" s="22">
        <f t="shared" si="58"/>
        <v>4.7119831685935622E-12</v>
      </c>
      <c r="AM113" s="62">
        <f t="shared" si="59"/>
        <v>293.33333333333803</v>
      </c>
      <c r="AN113" s="62">
        <f ca="1">AVERAGE(OFFSET($AM$3,0,0,'Données projet'!$E$10+1,1))-AVERAGE(OFFSET($H$3,0,0,'Données projet'!$E$10+1,1))</f>
        <v>249.70045432150511</v>
      </c>
      <c r="AO113" s="62">
        <f t="shared" si="90"/>
        <v>348.75012088192597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21.015540947717742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3.562090613890348E-9</v>
      </c>
      <c r="AX113" s="23">
        <f t="shared" si="60"/>
        <v>21.015540951279831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-1.7053025658242404E-13</v>
      </c>
      <c r="O114" s="14">
        <f>N114*VLOOKUP('Données projet'!$B$9,Paramètres!$A$1:$I$89,3,0)*VLOOKUP('Données projet'!$B$9,Paramètres!$A$1:$I$89,5,0)</f>
        <v>-1.0197709343628959E-13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150.6643110947133</v>
      </c>
      <c r="T114" s="62">
        <f t="shared" si="88"/>
        <v>231.70571415193996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22.397947013498388</v>
      </c>
      <c r="AA114" s="23">
        <f>EXP(-LN(2)/25)*AA113+(1-EXP(-LN(2)/25))/(LN(2)/25)*Calculateur!V114*Calculateur!X114*VLOOKUP('Données projet'!$B$9,Paramètres!$A$1:$I$89,3,0)*0.475*44/12</f>
        <v>6.7726104738852655</v>
      </c>
      <c r="AB114" s="23">
        <f>EXP(-LN(2)/2)*AB113+(1-EXP(-LN(2)/2))/(LN(2)/2)*V114*Y114*VLOOKUP('Données projet'!$B$9,Paramètres!$A$1:$I$89,3,0)*0.475*44/12</f>
        <v>1.3262458521193433E-8</v>
      </c>
      <c r="AC114" s="24">
        <f t="shared" si="57"/>
        <v>29.170557500646112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1.9895196601282805E-13</v>
      </c>
      <c r="AJ114" s="14">
        <f>AI114*VLOOKUP('Données projet'!$B$10,Paramètres!$A$1:$I$89,3,0)*VLOOKUP('Données projet'!$B$10,Paramètres!$A$1:$I$89,5,0)</f>
        <v>1.8001173884840681E-13</v>
      </c>
      <c r="AK114" s="14">
        <f t="shared" si="89"/>
        <v>2.5254331426407198E-12</v>
      </c>
      <c r="AL114" s="22">
        <f t="shared" si="58"/>
        <v>4.7119831685935622E-12</v>
      </c>
      <c r="AM114" s="62">
        <f t="shared" si="59"/>
        <v>293.33333333333803</v>
      </c>
      <c r="AN114" s="62">
        <f ca="1">AVERAGE(OFFSET($AM$3,0,0,'Données projet'!$E$10+1,1))-AVERAGE(OFFSET($H$3,0,0,'Données projet'!$E$10+1,1))</f>
        <v>249.70045432150511</v>
      </c>
      <c r="AO114" s="62">
        <f t="shared" si="90"/>
        <v>348.75012088192597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20.603439007947284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2.518778428282817E-9</v>
      </c>
      <c r="AX114" s="23">
        <f t="shared" si="60"/>
        <v>20.603439010466062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-1.7053025658242404E-13</v>
      </c>
      <c r="O115" s="14">
        <f>N115*VLOOKUP('Données projet'!$B$9,Paramètres!$A$1:$I$89,3,0)*VLOOKUP('Données projet'!$B$9,Paramètres!$A$1:$I$89,5,0)</f>
        <v>-1.0197709343628959E-13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150.6643110947133</v>
      </c>
      <c r="T115" s="62">
        <f t="shared" si="88"/>
        <v>231.70571415193996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21.958736933962413</v>
      </c>
      <c r="AA115" s="23">
        <f>EXP(-LN(2)/25)*AA114+(1-EXP(-LN(2)/25))/(LN(2)/25)*Calculateur!V115*Calculateur!X115*VLOOKUP('Données projet'!$B$9,Paramètres!$A$1:$I$89,3,0)*0.475*44/12</f>
        <v>6.587413084320767</v>
      </c>
      <c r="AB115" s="23">
        <f>EXP(-LN(2)/2)*AB114+(1-EXP(-LN(2)/2))/(LN(2)/2)*V115*Y115*VLOOKUP('Données projet'!$B$9,Paramètres!$A$1:$I$89,3,0)*0.475*44/12</f>
        <v>9.3779743555411876E-9</v>
      </c>
      <c r="AC115" s="24">
        <f t="shared" si="57"/>
        <v>28.546150027661152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1.9895196601282805E-13</v>
      </c>
      <c r="AJ115" s="14">
        <f>AI115*VLOOKUP('Données projet'!$B$10,Paramètres!$A$1:$I$89,3,0)*VLOOKUP('Données projet'!$B$10,Paramètres!$A$1:$I$89,5,0)</f>
        <v>1.8001173884840681E-13</v>
      </c>
      <c r="AK115" s="14">
        <f t="shared" si="89"/>
        <v>2.5254331426407198E-12</v>
      </c>
      <c r="AL115" s="22">
        <f t="shared" si="58"/>
        <v>4.7119831685935622E-12</v>
      </c>
      <c r="AM115" s="62">
        <f t="shared" si="59"/>
        <v>293.33333333333803</v>
      </c>
      <c r="AN115" s="62">
        <f ca="1">AVERAGE(OFFSET($AM$3,0,0,'Données projet'!$E$10+1,1))-AVERAGE(OFFSET($H$3,0,0,'Données projet'!$E$10+1,1))</f>
        <v>249.70045432150511</v>
      </c>
      <c r="AO115" s="62">
        <f t="shared" si="90"/>
        <v>348.75012088192597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20.199418135858359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1.781045306945174E-9</v>
      </c>
      <c r="AX115" s="23">
        <f t="shared" si="60"/>
        <v>20.199418137639405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-1.7053025658242404E-13</v>
      </c>
      <c r="O116" s="14">
        <f>N116*VLOOKUP('Données projet'!$B$9,Paramètres!$A$1:$I$89,3,0)*VLOOKUP('Données projet'!$B$9,Paramètres!$A$1:$I$89,5,0)</f>
        <v>-1.0197709343628959E-13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150.6643110947133</v>
      </c>
      <c r="T116" s="62">
        <f t="shared" si="88"/>
        <v>231.70571415193996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21.528139496194441</v>
      </c>
      <c r="AA116" s="23">
        <f>EXP(-LN(2)/25)*AA115+(1-EXP(-LN(2)/25))/(LN(2)/25)*Calculateur!V116*Calculateur!X116*VLOOKUP('Données projet'!$B$9,Paramètres!$A$1:$I$89,3,0)*0.475*44/12</f>
        <v>6.4072799271130174</v>
      </c>
      <c r="AB116" s="23">
        <f>EXP(-LN(2)/2)*AB115+(1-EXP(-LN(2)/2))/(LN(2)/2)*V116*Y116*VLOOKUP('Données projet'!$B$9,Paramètres!$A$1:$I$89,3,0)*0.475*44/12</f>
        <v>6.6312292605967166E-9</v>
      </c>
      <c r="AC116" s="24">
        <f t="shared" si="57"/>
        <v>27.935419429938687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1.9895196601282805E-13</v>
      </c>
      <c r="AJ116" s="14">
        <f>AI116*VLOOKUP('Données projet'!$B$10,Paramètres!$A$1:$I$89,3,0)*VLOOKUP('Données projet'!$B$10,Paramètres!$A$1:$I$89,5,0)</f>
        <v>1.8001173884840681E-13</v>
      </c>
      <c r="AK116" s="14">
        <f t="shared" si="89"/>
        <v>2.5254331426407198E-12</v>
      </c>
      <c r="AL116" s="22">
        <f t="shared" si="58"/>
        <v>4.7119831685935622E-12</v>
      </c>
      <c r="AM116" s="62">
        <f t="shared" si="59"/>
        <v>293.33333333333803</v>
      </c>
      <c r="AN116" s="62">
        <f ca="1">AVERAGE(OFFSET($AM$3,0,0,'Données projet'!$E$10+1,1))-AVERAGE(OFFSET($H$3,0,0,'Données projet'!$E$10+1,1))</f>
        <v>249.70045432150511</v>
      </c>
      <c r="AO116" s="62">
        <f t="shared" si="90"/>
        <v>348.75012088192597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19.803319866642699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1.2593892141414085E-9</v>
      </c>
      <c r="AX116" s="23">
        <f t="shared" si="60"/>
        <v>19.80331986790209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-1.7053025658242404E-13</v>
      </c>
      <c r="O117" s="14">
        <f>N117*VLOOKUP('Données projet'!$B$9,Paramètres!$A$1:$I$89,3,0)*VLOOKUP('Données projet'!$B$9,Paramètres!$A$1:$I$89,5,0)</f>
        <v>-1.0197709343628959E-13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150.6643110947133</v>
      </c>
      <c r="T117" s="62">
        <f t="shared" si="88"/>
        <v>231.70571415193996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21.105985811542595</v>
      </c>
      <c r="AA117" s="23">
        <f>EXP(-LN(2)/25)*AA116+(1-EXP(-LN(2)/25))/(LN(2)/25)*Calculateur!V117*Calculateur!X117*VLOOKUP('Données projet'!$B$9,Paramètres!$A$1:$I$89,3,0)*0.475*44/12</f>
        <v>6.2320725205619043</v>
      </c>
      <c r="AB117" s="23">
        <f>EXP(-LN(2)/2)*AB116+(1-EXP(-LN(2)/2))/(LN(2)/2)*V117*Y117*VLOOKUP('Données projet'!$B$9,Paramètres!$A$1:$I$89,3,0)*0.475*44/12</f>
        <v>4.6889871777705938E-9</v>
      </c>
      <c r="AC117" s="24">
        <f t="shared" si="57"/>
        <v>27.338058336793488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1.9895196601282805E-13</v>
      </c>
      <c r="AJ117" s="14">
        <f>AI117*VLOOKUP('Données projet'!$B$10,Paramètres!$A$1:$I$89,3,0)*VLOOKUP('Données projet'!$B$10,Paramètres!$A$1:$I$89,5,0)</f>
        <v>1.8001173884840681E-13</v>
      </c>
      <c r="AK117" s="14">
        <f t="shared" si="89"/>
        <v>2.5254331426407198E-12</v>
      </c>
      <c r="AL117" s="22">
        <f t="shared" si="58"/>
        <v>4.7119831685935622E-12</v>
      </c>
      <c r="AM117" s="62">
        <f t="shared" si="59"/>
        <v>293.33333333333803</v>
      </c>
      <c r="AN117" s="62">
        <f ca="1">AVERAGE(OFFSET($AM$3,0,0,'Données projet'!$E$10+1,1))-AVERAGE(OFFSET($H$3,0,0,'Données projet'!$E$10+1,1))</f>
        <v>249.70045432150511</v>
      </c>
      <c r="AO117" s="62">
        <f t="shared" si="90"/>
        <v>348.75012088192597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19.414988842890267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8.9052265347258699E-10</v>
      </c>
      <c r="AX117" s="23">
        <f t="shared" si="60"/>
        <v>19.41498884378079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-1.7053025658242404E-13</v>
      </c>
      <c r="O118" s="14">
        <f>N118*VLOOKUP('Données projet'!$B$9,Paramètres!$A$1:$I$89,3,0)*VLOOKUP('Données projet'!$B$9,Paramètres!$A$1:$I$89,5,0)</f>
        <v>-1.0197709343628959E-13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150.6643110947133</v>
      </c>
      <c r="T118" s="62">
        <f t="shared" si="88"/>
        <v>231.70571415193996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20.692110303158451</v>
      </c>
      <c r="AA118" s="23">
        <f>EXP(-LN(2)/25)*AA117+(1-EXP(-LN(2)/25))/(LN(2)/25)*Calculateur!V118*Calculateur!X118*VLOOKUP('Données projet'!$B$9,Paramètres!$A$1:$I$89,3,0)*0.475*44/12</f>
        <v>6.0616561697566889</v>
      </c>
      <c r="AB118" s="23">
        <f>EXP(-LN(2)/2)*AB117+(1-EXP(-LN(2)/2))/(LN(2)/2)*V118*Y118*VLOOKUP('Données projet'!$B$9,Paramètres!$A$1:$I$89,3,0)*0.475*44/12</f>
        <v>3.3156146302983583E-9</v>
      </c>
      <c r="AC118" s="24">
        <f t="shared" si="57"/>
        <v>26.753766476230755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1.9895196601282805E-13</v>
      </c>
      <c r="AJ118" s="14">
        <f>AI118*VLOOKUP('Données projet'!$B$10,Paramètres!$A$1:$I$89,3,0)*VLOOKUP('Données projet'!$B$10,Paramètres!$A$1:$I$89,5,0)</f>
        <v>1.8001173884840681E-13</v>
      </c>
      <c r="AK118" s="14">
        <f t="shared" si="89"/>
        <v>2.5254331426407198E-12</v>
      </c>
      <c r="AL118" s="22">
        <f t="shared" si="58"/>
        <v>4.7119831685935622E-12</v>
      </c>
      <c r="AM118" s="62">
        <f t="shared" si="59"/>
        <v>293.33333333333803</v>
      </c>
      <c r="AN118" s="62">
        <f ca="1">AVERAGE(OFFSET($AM$3,0,0,'Données projet'!$E$10+1,1))-AVERAGE(OFFSET($H$3,0,0,'Données projet'!$E$10+1,1))</f>
        <v>249.70045432150511</v>
      </c>
      <c r="AO118" s="62">
        <f t="shared" si="90"/>
        <v>348.75012088192597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19.034272753655085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6.2969460707070425E-10</v>
      </c>
      <c r="AX118" s="23">
        <f t="shared" si="60"/>
        <v>19.034272754284778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-1.7053025658242404E-13</v>
      </c>
      <c r="O119" s="14">
        <f>N119*VLOOKUP('Données projet'!$B$9,Paramètres!$A$1:$I$89,3,0)*VLOOKUP('Données projet'!$B$9,Paramètres!$A$1:$I$89,5,0)</f>
        <v>-1.0197709343628959E-13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150.6643110947133</v>
      </c>
      <c r="T119" s="62">
        <f t="shared" si="88"/>
        <v>231.70571415193996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20.286350641054582</v>
      </c>
      <c r="AA119" s="23">
        <f>EXP(-LN(2)/25)*AA118+(1-EXP(-LN(2)/25))/(LN(2)/25)*Calculateur!V119*Calculateur!X119*VLOOKUP('Données projet'!$B$9,Paramètres!$A$1:$I$89,3,0)*0.475*44/12</f>
        <v>5.895899863026048</v>
      </c>
      <c r="AB119" s="23">
        <f>EXP(-LN(2)/2)*AB118+(1-EXP(-LN(2)/2))/(LN(2)/2)*V119*Y119*VLOOKUP('Données projet'!$B$9,Paramètres!$A$1:$I$89,3,0)*0.475*44/12</f>
        <v>2.3444935888852969E-9</v>
      </c>
      <c r="AC119" s="24">
        <f t="shared" si="57"/>
        <v>26.182250506425124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1.9895196601282805E-13</v>
      </c>
      <c r="AJ119" s="14">
        <f>AI119*VLOOKUP('Données projet'!$B$10,Paramètres!$A$1:$I$89,3,0)*VLOOKUP('Données projet'!$B$10,Paramètres!$A$1:$I$89,5,0)</f>
        <v>1.8001173884840681E-13</v>
      </c>
      <c r="AK119" s="14">
        <f t="shared" si="89"/>
        <v>2.5254331426407198E-12</v>
      </c>
      <c r="AL119" s="22">
        <f t="shared" si="58"/>
        <v>4.7119831685935622E-12</v>
      </c>
      <c r="AM119" s="62">
        <f t="shared" si="59"/>
        <v>293.33333333333803</v>
      </c>
      <c r="AN119" s="62">
        <f ca="1">AVERAGE(OFFSET($AM$3,0,0,'Données projet'!$E$10+1,1))-AVERAGE(OFFSET($H$3,0,0,'Données projet'!$E$10+1,1))</f>
        <v>249.70045432150511</v>
      </c>
      <c r="AO119" s="62">
        <f t="shared" si="90"/>
        <v>348.75012088192597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18.661022274715918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4.452613267362935E-10</v>
      </c>
      <c r="AX119" s="23">
        <f t="shared" si="60"/>
        <v>18.66102227516118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-1.7053025658242404E-13</v>
      </c>
      <c r="O120" s="14">
        <f>N120*VLOOKUP('Données projet'!$B$9,Paramètres!$A$1:$I$89,3,0)*VLOOKUP('Données projet'!$B$9,Paramètres!$A$1:$I$89,5,0)</f>
        <v>-1.0197709343628959E-13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150.6643110947133</v>
      </c>
      <c r="T120" s="62">
        <f t="shared" si="88"/>
        <v>231.70571415193996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19.888547678435618</v>
      </c>
      <c r="AA120" s="23">
        <f>EXP(-LN(2)/25)*AA119+(1-EXP(-LN(2)/25))/(LN(2)/25)*Calculateur!V120*Calculateur!X120*VLOOKUP('Données projet'!$B$9,Paramètres!$A$1:$I$89,3,0)*0.475*44/12</f>
        <v>5.7346761712197019</v>
      </c>
      <c r="AB120" s="23">
        <f>EXP(-LN(2)/2)*AB119+(1-EXP(-LN(2)/2))/(LN(2)/2)*V120*Y120*VLOOKUP('Données projet'!$B$9,Paramètres!$A$1:$I$89,3,0)*0.475*44/12</f>
        <v>1.6578073151491791E-9</v>
      </c>
      <c r="AC120" s="24">
        <f t="shared" si="57"/>
        <v>25.623223851313124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1.9895196601282805E-13</v>
      </c>
      <c r="AJ120" s="14">
        <f>AI120*VLOOKUP('Données projet'!$B$10,Paramètres!$A$1:$I$89,3,0)*VLOOKUP('Données projet'!$B$10,Paramètres!$A$1:$I$89,5,0)</f>
        <v>1.8001173884840681E-13</v>
      </c>
      <c r="AK120" s="14">
        <f t="shared" si="89"/>
        <v>2.5254331426407198E-12</v>
      </c>
      <c r="AL120" s="22">
        <f t="shared" si="58"/>
        <v>4.7119831685935622E-12</v>
      </c>
      <c r="AM120" s="62">
        <f t="shared" si="59"/>
        <v>293.33333333333803</v>
      </c>
      <c r="AN120" s="62">
        <f ca="1">AVERAGE(OFFSET($AM$3,0,0,'Données projet'!$E$10+1,1))-AVERAGE(OFFSET($H$3,0,0,'Données projet'!$E$10+1,1))</f>
        <v>249.70045432150511</v>
      </c>
      <c r="AO120" s="62">
        <f t="shared" si="90"/>
        <v>348.75012088192597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18.295091010008438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3.1484730353535212E-10</v>
      </c>
      <c r="AX120" s="23">
        <f t="shared" si="60"/>
        <v>18.295091010323286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-1.7053025658242404E-13</v>
      </c>
      <c r="O121" s="14">
        <f>N121*VLOOKUP('Données projet'!$B$9,Paramètres!$A$1:$I$89,3,0)*VLOOKUP('Données projet'!$B$9,Paramètres!$A$1:$I$89,5,0)</f>
        <v>-1.0197709343628959E-13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150.6643110947133</v>
      </c>
      <c r="T121" s="62">
        <f t="shared" si="88"/>
        <v>231.70571415193996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19.498545389277762</v>
      </c>
      <c r="AA121" s="23">
        <f>EXP(-LN(2)/25)*AA120+(1-EXP(-LN(2)/25))/(LN(2)/25)*Calculateur!V121*Calculateur!X121*VLOOKUP('Données projet'!$B$9,Paramètres!$A$1:$I$89,3,0)*0.475*44/12</f>
        <v>5.5778611497441863</v>
      </c>
      <c r="AB121" s="23">
        <f>EXP(-LN(2)/2)*AB120+(1-EXP(-LN(2)/2))/(LN(2)/2)*V121*Y121*VLOOKUP('Données projet'!$B$9,Paramètres!$A$1:$I$89,3,0)*0.475*44/12</f>
        <v>1.1722467944426484E-9</v>
      </c>
      <c r="AC121" s="24">
        <f t="shared" si="57"/>
        <v>25.076406540194196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1.9895196601282805E-13</v>
      </c>
      <c r="AJ121" s="14">
        <f>AI121*VLOOKUP('Données projet'!$B$10,Paramètres!$A$1:$I$89,3,0)*VLOOKUP('Données projet'!$B$10,Paramètres!$A$1:$I$89,5,0)</f>
        <v>1.8001173884840681E-13</v>
      </c>
      <c r="AK121" s="14">
        <f t="shared" si="89"/>
        <v>2.5254331426407198E-12</v>
      </c>
      <c r="AL121" s="22">
        <f t="shared" si="58"/>
        <v>4.7119831685935622E-12</v>
      </c>
      <c r="AM121" s="62">
        <f t="shared" si="59"/>
        <v>293.33333333333803</v>
      </c>
      <c r="AN121" s="62">
        <f ca="1">AVERAGE(OFFSET($AM$3,0,0,'Données projet'!$E$10+1,1))-AVERAGE(OFFSET($H$3,0,0,'Données projet'!$E$10+1,1))</f>
        <v>249.70045432150511</v>
      </c>
      <c r="AO121" s="62">
        <f t="shared" si="90"/>
        <v>348.75012088192597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17.936335434205837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2.2263066336814675E-10</v>
      </c>
      <c r="AX121" s="23">
        <f t="shared" si="60"/>
        <v>17.936335434428468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-1.7053025658242404E-13</v>
      </c>
      <c r="O122" s="14">
        <f>N122*VLOOKUP('Données projet'!$B$9,Paramètres!$A$1:$I$89,3,0)*VLOOKUP('Données projet'!$B$9,Paramètres!$A$1:$I$89,5,0)</f>
        <v>-1.0197709343628959E-13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150.6643110947133</v>
      </c>
      <c r="T122" s="62">
        <f t="shared" si="88"/>
        <v>231.70571415193996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19.116190807132384</v>
      </c>
      <c r="AA122" s="23">
        <f>EXP(-LN(2)/25)*AA121+(1-EXP(-LN(2)/25))/(LN(2)/25)*Calculateur!V122*Calculateur!X122*VLOOKUP('Données projet'!$B$9,Paramètres!$A$1:$I$89,3,0)*0.475*44/12</f>
        <v>5.4253342432774625</v>
      </c>
      <c r="AB122" s="23">
        <f>EXP(-LN(2)/2)*AB121+(1-EXP(-LN(2)/2))/(LN(2)/2)*V122*Y122*VLOOKUP('Données projet'!$B$9,Paramètres!$A$1:$I$89,3,0)*0.475*44/12</f>
        <v>8.2890365757458957E-10</v>
      </c>
      <c r="AC122" s="24">
        <f t="shared" si="57"/>
        <v>24.54152505123875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1.9895196601282805E-13</v>
      </c>
      <c r="AJ122" s="14">
        <f>AI122*VLOOKUP('Données projet'!$B$10,Paramètres!$A$1:$I$89,3,0)*VLOOKUP('Données projet'!$B$10,Paramètres!$A$1:$I$89,5,0)</f>
        <v>1.8001173884840681E-13</v>
      </c>
      <c r="AK122" s="14">
        <f t="shared" si="89"/>
        <v>2.5254331426407198E-12</v>
      </c>
      <c r="AL122" s="22">
        <f t="shared" si="58"/>
        <v>4.7119831685935622E-12</v>
      </c>
      <c r="AM122" s="62">
        <f t="shared" si="59"/>
        <v>293.33333333333803</v>
      </c>
      <c r="AN122" s="62">
        <f ca="1">AVERAGE(OFFSET($AM$3,0,0,'Données projet'!$E$10+1,1))-AVERAGE(OFFSET($H$3,0,0,'Données projet'!$E$10+1,1))</f>
        <v>249.70045432150511</v>
      </c>
      <c r="AO122" s="62">
        <f t="shared" si="90"/>
        <v>348.75012088192597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17.58461483642543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1.5742365176767606E-10</v>
      </c>
      <c r="AX122" s="23">
        <f t="shared" si="60"/>
        <v>17.584614836582855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-1.7053025658242404E-13</v>
      </c>
      <c r="O123" s="14">
        <f>N123*VLOOKUP('Données projet'!$B$9,Paramètres!$A$1:$I$89,3,0)*VLOOKUP('Données projet'!$B$9,Paramètres!$A$1:$I$89,5,0)</f>
        <v>-1.0197709343628959E-13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150.6643110947133</v>
      </c>
      <c r="T123" s="62">
        <f t="shared" si="88"/>
        <v>231.70571415193996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18.741333965129609</v>
      </c>
      <c r="AA123" s="23">
        <f>EXP(-LN(2)/25)*AA122+(1-EXP(-LN(2)/25))/(LN(2)/25)*Calculateur!V123*Calculateur!X123*VLOOKUP('Données projet'!$B$9,Paramètres!$A$1:$I$89,3,0)*0.475*44/12</f>
        <v>5.2769781930891124</v>
      </c>
      <c r="AB123" s="23">
        <f>EXP(-LN(2)/2)*AB122+(1-EXP(-LN(2)/2))/(LN(2)/2)*V123*Y123*VLOOKUP('Données projet'!$B$9,Paramètres!$A$1:$I$89,3,0)*0.475*44/12</f>
        <v>5.8612339722132422E-10</v>
      </c>
      <c r="AC123" s="24">
        <f t="shared" si="57"/>
        <v>24.018312158804843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1.9895196601282805E-13</v>
      </c>
      <c r="AJ123" s="14">
        <f>AI123*VLOOKUP('Données projet'!$B$10,Paramètres!$A$1:$I$89,3,0)*VLOOKUP('Données projet'!$B$10,Paramètres!$A$1:$I$89,5,0)</f>
        <v>1.8001173884840681E-13</v>
      </c>
      <c r="AK123" s="14">
        <f t="shared" si="89"/>
        <v>2.5254331426407198E-12</v>
      </c>
      <c r="AL123" s="22">
        <f t="shared" si="58"/>
        <v>4.7119831685935622E-12</v>
      </c>
      <c r="AM123" s="62">
        <f t="shared" si="59"/>
        <v>293.33333333333803</v>
      </c>
      <c r="AN123" s="62">
        <f ca="1">AVERAGE(OFFSET($AM$3,0,0,'Données projet'!$E$10+1,1))-AVERAGE(OFFSET($H$3,0,0,'Données projet'!$E$10+1,1))</f>
        <v>249.70045432150511</v>
      </c>
      <c r="AO123" s="62">
        <f t="shared" si="90"/>
        <v>348.75012088192597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17.239791265039116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1.1131533168407337E-10</v>
      </c>
      <c r="AX123" s="23">
        <f t="shared" si="60"/>
        <v>17.23979126515043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-1.7053025658242404E-13</v>
      </c>
      <c r="O124" s="14">
        <f>N124*VLOOKUP('Données projet'!$B$9,Paramètres!$A$1:$I$89,3,0)*VLOOKUP('Données projet'!$B$9,Paramètres!$A$1:$I$89,5,0)</f>
        <v>-1.0197709343628959E-13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150.6643110947133</v>
      </c>
      <c r="T124" s="62">
        <f t="shared" si="88"/>
        <v>231.70571415193996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18.373827837158409</v>
      </c>
      <c r="AA124" s="23">
        <f>EXP(-LN(2)/25)*AA123+(1-EXP(-LN(2)/25))/(LN(2)/25)*Calculateur!V124*Calculateur!X124*VLOOKUP('Données projet'!$B$9,Paramètres!$A$1:$I$89,3,0)*0.475*44/12</f>
        <v>5.1326789468948686</v>
      </c>
      <c r="AB124" s="23">
        <f>EXP(-LN(2)/2)*AB123+(1-EXP(-LN(2)/2))/(LN(2)/2)*V124*Y124*VLOOKUP('Données projet'!$B$9,Paramètres!$A$1:$I$89,3,0)*0.475*44/12</f>
        <v>4.1445182878729479E-10</v>
      </c>
      <c r="AC124" s="24">
        <f t="shared" si="57"/>
        <v>23.506506784467732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1.9895196601282805E-13</v>
      </c>
      <c r="AJ124" s="14">
        <f>AI124*VLOOKUP('Données projet'!$B$10,Paramètres!$A$1:$I$89,3,0)*VLOOKUP('Données projet'!$B$10,Paramètres!$A$1:$I$89,5,0)</f>
        <v>1.8001173884840681E-13</v>
      </c>
      <c r="AK124" s="14">
        <f t="shared" si="89"/>
        <v>2.5254331426407198E-12</v>
      </c>
      <c r="AL124" s="22">
        <f t="shared" si="58"/>
        <v>4.7119831685935622E-12</v>
      </c>
      <c r="AM124" s="62">
        <f t="shared" si="59"/>
        <v>293.33333333333803</v>
      </c>
      <c r="AN124" s="62">
        <f ca="1">AVERAGE(OFFSET($AM$3,0,0,'Données projet'!$E$10+1,1))-AVERAGE(OFFSET($H$3,0,0,'Données projet'!$E$10+1,1))</f>
        <v>249.70045432150511</v>
      </c>
      <c r="AO124" s="62">
        <f t="shared" si="90"/>
        <v>348.75012088192597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16.901729473566078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7.8711825883838031E-11</v>
      </c>
      <c r="AX124" s="23">
        <f t="shared" si="60"/>
        <v>16.901729473644789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-1.7053025658242404E-13</v>
      </c>
      <c r="O125" s="14">
        <f>N125*VLOOKUP('Données projet'!$B$9,Paramètres!$A$1:$I$89,3,0)*VLOOKUP('Données projet'!$B$9,Paramètres!$A$1:$I$89,5,0)</f>
        <v>-1.0197709343628959E-13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150.6643110947133</v>
      </c>
      <c r="T125" s="62">
        <f t="shared" si="88"/>
        <v>231.70571415193996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18.01352828020012</v>
      </c>
      <c r="AA125" s="23">
        <f>EXP(-LN(2)/25)*AA124+(1-EXP(-LN(2)/25))/(LN(2)/25)*Calculateur!V125*Calculateur!X125*VLOOKUP('Données projet'!$B$9,Paramètres!$A$1:$I$89,3,0)*0.475*44/12</f>
        <v>4.9923255711761731</v>
      </c>
      <c r="AB125" s="23">
        <f>EXP(-LN(2)/2)*AB124+(1-EXP(-LN(2)/2))/(LN(2)/2)*V125*Y125*VLOOKUP('Données projet'!$B$9,Paramètres!$A$1:$I$89,3,0)*0.475*44/12</f>
        <v>2.9306169861066211E-10</v>
      </c>
      <c r="AC125" s="24">
        <f t="shared" si="57"/>
        <v>23.005853851669357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1.9895196601282805E-13</v>
      </c>
      <c r="AJ125" s="14">
        <f>AI125*VLOOKUP('Données projet'!$B$10,Paramètres!$A$1:$I$89,3,0)*VLOOKUP('Données projet'!$B$10,Paramètres!$A$1:$I$89,5,0)</f>
        <v>1.8001173884840681E-13</v>
      </c>
      <c r="AK125" s="14">
        <f t="shared" si="89"/>
        <v>2.5254331426407198E-12</v>
      </c>
      <c r="AL125" s="22">
        <f t="shared" si="58"/>
        <v>4.7119831685935622E-12</v>
      </c>
      <c r="AM125" s="62">
        <f t="shared" si="59"/>
        <v>293.33333333333803</v>
      </c>
      <c r="AN125" s="62">
        <f ca="1">AVERAGE(OFFSET($AM$3,0,0,'Données projet'!$E$10+1,1))-AVERAGE(OFFSET($H$3,0,0,'Données projet'!$E$10+1,1))</f>
        <v>249.70045432150511</v>
      </c>
      <c r="AO125" s="62">
        <f t="shared" si="90"/>
        <v>348.75012088192597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16.570296867626492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5.5657665842036687E-11</v>
      </c>
      <c r="AX125" s="23">
        <f t="shared" si="60"/>
        <v>16.570296867682149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-1.7053025658242404E-13</v>
      </c>
      <c r="O126" s="14">
        <f>N126*VLOOKUP('Données projet'!$B$9,Paramètres!$A$1:$I$89,3,0)*VLOOKUP('Données projet'!$B$9,Paramètres!$A$1:$I$89,5,0)</f>
        <v>-1.0197709343628959E-13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150.6643110947133</v>
      </c>
      <c r="T126" s="62">
        <f t="shared" si="88"/>
        <v>231.70571415193996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17.660293977792755</v>
      </c>
      <c r="AA126" s="23">
        <f>EXP(-LN(2)/25)*AA125+(1-EXP(-LN(2)/25))/(LN(2)/25)*Calculateur!V126*Calculateur!X126*VLOOKUP('Données projet'!$B$9,Paramètres!$A$1:$I$89,3,0)*0.475*44/12</f>
        <v>4.8558101658973687</v>
      </c>
      <c r="AB126" s="23">
        <f>EXP(-LN(2)/2)*AB125+(1-EXP(-LN(2)/2))/(LN(2)/2)*V126*Y126*VLOOKUP('Données projet'!$B$9,Paramètres!$A$1:$I$89,3,0)*0.475*44/12</f>
        <v>2.0722591439364739E-10</v>
      </c>
      <c r="AC126" s="24">
        <f t="shared" si="57"/>
        <v>22.516104143897348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1.9895196601282805E-13</v>
      </c>
      <c r="AJ126" s="14">
        <f>AI126*VLOOKUP('Données projet'!$B$10,Paramètres!$A$1:$I$89,3,0)*VLOOKUP('Données projet'!$B$10,Paramètres!$A$1:$I$89,5,0)</f>
        <v>1.8001173884840681E-13</v>
      </c>
      <c r="AK126" s="14">
        <f t="shared" si="89"/>
        <v>2.5254331426407198E-12</v>
      </c>
      <c r="AL126" s="22">
        <f t="shared" si="58"/>
        <v>4.7119831685935622E-12</v>
      </c>
      <c r="AM126" s="62">
        <f t="shared" si="59"/>
        <v>293.33333333333803</v>
      </c>
      <c r="AN126" s="62">
        <f ca="1">AVERAGE(OFFSET($AM$3,0,0,'Données projet'!$E$10+1,1))-AVERAGE(OFFSET($H$3,0,0,'Données projet'!$E$10+1,1))</f>
        <v>249.70045432150511</v>
      </c>
      <c r="AO126" s="62">
        <f t="shared" si="90"/>
        <v>348.75012088192597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16.245363452935454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3.9355912941919015E-11</v>
      </c>
      <c r="AX126" s="23">
        <f t="shared" si="60"/>
        <v>16.245363452974811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-1.7053025658242404E-13</v>
      </c>
      <c r="O127" s="14">
        <f>N127*VLOOKUP('Données projet'!$B$9,Paramètres!$A$1:$I$89,3,0)*VLOOKUP('Données projet'!$B$9,Paramètres!$A$1:$I$89,5,0)</f>
        <v>-1.0197709343628959E-13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150.6643110947133</v>
      </c>
      <c r="T127" s="62">
        <f t="shared" si="88"/>
        <v>231.70571415193996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17.313986384603947</v>
      </c>
      <c r="AA127" s="23">
        <f>EXP(-LN(2)/25)*AA126+(1-EXP(-LN(2)/25))/(LN(2)/25)*Calculateur!V127*Calculateur!X127*VLOOKUP('Données projet'!$B$9,Paramètres!$A$1:$I$89,3,0)*0.475*44/12</f>
        <v>4.7230277815549462</v>
      </c>
      <c r="AB127" s="23">
        <f>EXP(-LN(2)/2)*AB126+(1-EXP(-LN(2)/2))/(LN(2)/2)*V127*Y127*VLOOKUP('Données projet'!$B$9,Paramètres!$A$1:$I$89,3,0)*0.475*44/12</f>
        <v>1.4653084930533106E-10</v>
      </c>
      <c r="AC127" s="24">
        <f t="shared" si="57"/>
        <v>22.037014166305426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1.9895196601282805E-13</v>
      </c>
      <c r="AJ127" s="14">
        <f>AI127*VLOOKUP('Données projet'!$B$10,Paramètres!$A$1:$I$89,3,0)*VLOOKUP('Données projet'!$B$10,Paramètres!$A$1:$I$89,5,0)</f>
        <v>1.8001173884840681E-13</v>
      </c>
      <c r="AK127" s="14">
        <f t="shared" si="89"/>
        <v>2.5254331426407198E-12</v>
      </c>
      <c r="AL127" s="22">
        <f t="shared" si="58"/>
        <v>4.7119831685935622E-12</v>
      </c>
      <c r="AM127" s="62">
        <f t="shared" si="59"/>
        <v>293.33333333333803</v>
      </c>
      <c r="AN127" s="62">
        <f ca="1">AVERAGE(OFFSET($AM$3,0,0,'Données projet'!$E$10+1,1))-AVERAGE(OFFSET($H$3,0,0,'Données projet'!$E$10+1,1))</f>
        <v>249.70045432150511</v>
      </c>
      <c r="AO127" s="62">
        <f t="shared" si="90"/>
        <v>348.75012088192597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15.926801784316694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2.7828832921018343E-11</v>
      </c>
      <c r="AX127" s="23">
        <f t="shared" si="60"/>
        <v>15.926801784344523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-1.7053025658242404E-13</v>
      </c>
      <c r="O128" s="14">
        <f>N128*VLOOKUP('Données projet'!$B$9,Paramètres!$A$1:$I$89,3,0)*VLOOKUP('Données projet'!$B$9,Paramètres!$A$1:$I$89,5,0)</f>
        <v>-1.0197709343628959E-13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150.6643110947133</v>
      </c>
      <c r="T128" s="62">
        <f t="shared" si="88"/>
        <v>231.70571415193996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16.974469672090795</v>
      </c>
      <c r="AA128" s="23">
        <f>EXP(-LN(2)/25)*AA127+(1-EXP(-LN(2)/25))/(LN(2)/25)*Calculateur!V128*Calculateur!X128*VLOOKUP('Données projet'!$B$9,Paramètres!$A$1:$I$89,3,0)*0.475*44/12</f>
        <v>4.5938763384950896</v>
      </c>
      <c r="AB128" s="23">
        <f>EXP(-LN(2)/2)*AB127+(1-EXP(-LN(2)/2))/(LN(2)/2)*V128*Y128*VLOOKUP('Données projet'!$B$9,Paramètres!$A$1:$I$89,3,0)*0.475*44/12</f>
        <v>1.036129571968237E-10</v>
      </c>
      <c r="AC128" s="24">
        <f t="shared" si="57"/>
        <v>21.568346010689496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1.9895196601282805E-13</v>
      </c>
      <c r="AJ128" s="14">
        <f>AI128*VLOOKUP('Données projet'!$B$10,Paramètres!$A$1:$I$89,3,0)*VLOOKUP('Données projet'!$B$10,Paramètres!$A$1:$I$89,5,0)</f>
        <v>1.8001173884840681E-13</v>
      </c>
      <c r="AK128" s="14">
        <f t="shared" si="89"/>
        <v>2.5254331426407198E-12</v>
      </c>
      <c r="AL128" s="22">
        <f t="shared" si="58"/>
        <v>4.7119831685935622E-12</v>
      </c>
      <c r="AM128" s="62">
        <f t="shared" si="59"/>
        <v>293.33333333333803</v>
      </c>
      <c r="AN128" s="62">
        <f ca="1">AVERAGE(OFFSET($AM$3,0,0,'Données projet'!$E$10+1,1))-AVERAGE(OFFSET($H$3,0,0,'Données projet'!$E$10+1,1))</f>
        <v>249.70045432150511</v>
      </c>
      <c r="AO128" s="62">
        <f t="shared" si="90"/>
        <v>348.75012088192597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15.614486915716116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1.9677956470959508E-11</v>
      </c>
      <c r="AX128" s="23">
        <f t="shared" si="60"/>
        <v>15.614486915735794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-1.7053025658242404E-13</v>
      </c>
      <c r="O129" s="14">
        <f>N129*VLOOKUP('Données projet'!$B$9,Paramètres!$A$1:$I$89,3,0)*VLOOKUP('Données projet'!$B$9,Paramètres!$A$1:$I$89,5,0)</f>
        <v>-1.0197709343628959E-13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150.6643110947133</v>
      </c>
      <c r="T129" s="62">
        <f t="shared" si="88"/>
        <v>231.70571415193996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16.64161067522528</v>
      </c>
      <c r="AA129" s="23">
        <f>EXP(-LN(2)/25)*AA128+(1-EXP(-LN(2)/25))/(LN(2)/25)*Calculateur!V129*Calculateur!X129*VLOOKUP('Données projet'!$B$9,Paramètres!$A$1:$I$89,3,0)*0.475*44/12</f>
        <v>4.4682565484374841</v>
      </c>
      <c r="AB129" s="23">
        <f>EXP(-LN(2)/2)*AB128+(1-EXP(-LN(2)/2))/(LN(2)/2)*V129*Y129*VLOOKUP('Données projet'!$B$9,Paramètres!$A$1:$I$89,3,0)*0.475*44/12</f>
        <v>7.3265424652665528E-11</v>
      </c>
      <c r="AC129" s="24">
        <f t="shared" si="57"/>
        <v>21.109867223736028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1.9895196601282805E-13</v>
      </c>
      <c r="AJ129" s="14">
        <f>AI129*VLOOKUP('Données projet'!$B$10,Paramètres!$A$1:$I$89,3,0)*VLOOKUP('Données projet'!$B$10,Paramètres!$A$1:$I$89,5,0)</f>
        <v>1.8001173884840681E-13</v>
      </c>
      <c r="AK129" s="14">
        <f t="shared" si="89"/>
        <v>2.5254331426407198E-12</v>
      </c>
      <c r="AL129" s="22">
        <f t="shared" si="58"/>
        <v>4.7119831685935622E-12</v>
      </c>
      <c r="AM129" s="62">
        <f t="shared" si="59"/>
        <v>293.33333333333803</v>
      </c>
      <c r="AN129" s="62">
        <f ca="1">AVERAGE(OFFSET($AM$3,0,0,'Données projet'!$E$10+1,1))-AVERAGE(OFFSET($H$3,0,0,'Données projet'!$E$10+1,1))</f>
        <v>249.70045432150511</v>
      </c>
      <c r="AO129" s="62">
        <f t="shared" si="90"/>
        <v>348.75012088192597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15.308296351195535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1.3914416460509172E-11</v>
      </c>
      <c r="AX129" s="23">
        <f t="shared" si="60"/>
        <v>15.308296351209449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-1.7053025658242404E-13</v>
      </c>
      <c r="O130" s="14">
        <f>N130*VLOOKUP('Données projet'!$B$9,Paramètres!$A$1:$I$89,3,0)*VLOOKUP('Données projet'!$B$9,Paramètres!$A$1:$I$89,5,0)</f>
        <v>-1.0197709343628959E-13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150.6643110947133</v>
      </c>
      <c r="T130" s="62">
        <f t="shared" si="88"/>
        <v>231.70571415193996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16.315278840264359</v>
      </c>
      <c r="AA130" s="23">
        <f>EXP(-LN(2)/25)*AA129+(1-EXP(-LN(2)/25))/(LN(2)/25)*Calculateur!V130*Calculateur!X130*VLOOKUP('Données projet'!$B$9,Paramètres!$A$1:$I$89,3,0)*0.475*44/12</f>
        <v>4.3460718381450612</v>
      </c>
      <c r="AB130" s="23">
        <f>EXP(-LN(2)/2)*AB129+(1-EXP(-LN(2)/2))/(LN(2)/2)*V130*Y130*VLOOKUP('Données projet'!$B$9,Paramètres!$A$1:$I$89,3,0)*0.475*44/12</f>
        <v>5.1806478598411848E-11</v>
      </c>
      <c r="AC130" s="24">
        <f t="shared" si="57"/>
        <v>20.661350678461226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1.9895196601282805E-13</v>
      </c>
      <c r="AJ130" s="14">
        <f>AI130*VLOOKUP('Données projet'!$B$10,Paramètres!$A$1:$I$89,3,0)*VLOOKUP('Données projet'!$B$10,Paramètres!$A$1:$I$89,5,0)</f>
        <v>1.8001173884840681E-13</v>
      </c>
      <c r="AK130" s="14">
        <f t="shared" si="89"/>
        <v>2.5254331426407198E-12</v>
      </c>
      <c r="AL130" s="22">
        <f t="shared" si="58"/>
        <v>4.7119831685935622E-12</v>
      </c>
      <c r="AM130" s="62">
        <f t="shared" si="59"/>
        <v>293.33333333333803</v>
      </c>
      <c r="AN130" s="62">
        <f ca="1">AVERAGE(OFFSET($AM$3,0,0,'Données projet'!$E$10+1,1))-AVERAGE(OFFSET($H$3,0,0,'Données projet'!$E$10+1,1))</f>
        <v>249.70045432150511</v>
      </c>
      <c r="AO130" s="62">
        <f t="shared" si="90"/>
        <v>348.75012088192597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15.008109996887399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9.8389782354797539E-12</v>
      </c>
      <c r="AX130" s="23">
        <f t="shared" si="60"/>
        <v>15.008109996897238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-1.7053025658242404E-13</v>
      </c>
      <c r="O131" s="14">
        <f>N131*VLOOKUP('Données projet'!$B$9,Paramètres!$A$1:$I$89,3,0)*VLOOKUP('Données projet'!$B$9,Paramètres!$A$1:$I$89,5,0)</f>
        <v>-1.0197709343628959E-13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150.6643110947133</v>
      </c>
      <c r="T131" s="62">
        <f t="shared" si="88"/>
        <v>231.70571415193996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15.995346173544254</v>
      </c>
      <c r="AA131" s="23">
        <f>EXP(-LN(2)/25)*AA130+(1-EXP(-LN(2)/25))/(LN(2)/25)*Calculateur!V131*Calculateur!X131*VLOOKUP('Données projet'!$B$9,Paramètres!$A$1:$I$89,3,0)*0.475*44/12</f>
        <v>4.227228275181</v>
      </c>
      <c r="AB131" s="23">
        <f>EXP(-LN(2)/2)*AB130+(1-EXP(-LN(2)/2))/(LN(2)/2)*V131*Y131*VLOOKUP('Données projet'!$B$9,Paramètres!$A$1:$I$89,3,0)*0.475*44/12</f>
        <v>3.6632712326332764E-11</v>
      </c>
      <c r="AC131" s="24">
        <f t="shared" si="57"/>
        <v>20.222574448761886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1.9895196601282805E-13</v>
      </c>
      <c r="AJ131" s="14">
        <f>AI131*VLOOKUP('Données projet'!$B$10,Paramètres!$A$1:$I$89,3,0)*VLOOKUP('Données projet'!$B$10,Paramètres!$A$1:$I$89,5,0)</f>
        <v>1.8001173884840681E-13</v>
      </c>
      <c r="AK131" s="14">
        <f t="shared" si="89"/>
        <v>2.5254331426407198E-12</v>
      </c>
      <c r="AL131" s="22">
        <f t="shared" si="58"/>
        <v>4.7119831685935622E-12</v>
      </c>
      <c r="AM131" s="62">
        <f t="shared" si="59"/>
        <v>293.33333333333803</v>
      </c>
      <c r="AN131" s="62">
        <f ca="1">AVERAGE(OFFSET($AM$3,0,0,'Données projet'!$E$10+1,1))-AVERAGE(OFFSET($H$3,0,0,'Données projet'!$E$10+1,1))</f>
        <v>249.70045432150511</v>
      </c>
      <c r="AO131" s="62">
        <f t="shared" si="90"/>
        <v>348.75012088192597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14.713810113891649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6.9572082302545859E-12</v>
      </c>
      <c r="AX131" s="23">
        <f t="shared" si="60"/>
        <v>14.713810113898607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-1.7053025658242404E-13</v>
      </c>
      <c r="O132" s="14">
        <f>N132*VLOOKUP('Données projet'!$B$9,Paramètres!$A$1:$I$89,3,0)*VLOOKUP('Données projet'!$B$9,Paramètres!$A$1:$I$89,5,0)</f>
        <v>-1.0197709343628959E-13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150.6643110947133</v>
      </c>
      <c r="T132" s="62">
        <f t="shared" si="88"/>
        <v>231.70571415193996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15.681687191278872</v>
      </c>
      <c r="AA132" s="23">
        <f>EXP(-LN(2)/25)*AA131+(1-EXP(-LN(2)/25))/(LN(2)/25)*Calculateur!V132*Calculateur!X132*VLOOKUP('Données projet'!$B$9,Paramètres!$A$1:$I$89,3,0)*0.475*44/12</f>
        <v>4.1116344956959017</v>
      </c>
      <c r="AB132" s="23">
        <f>EXP(-LN(2)/2)*AB131+(1-EXP(-LN(2)/2))/(LN(2)/2)*V132*Y132*VLOOKUP('Données projet'!$B$9,Paramètres!$A$1:$I$89,3,0)*0.475*44/12</f>
        <v>2.5903239299205924E-11</v>
      </c>
      <c r="AC132" s="24">
        <f t="shared" ref="AC132:AC153" si="111">SUM(Z132:AB132)</f>
        <v>19.793321687000677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1.9895196601282805E-13</v>
      </c>
      <c r="AJ132" s="14">
        <f>AI132*VLOOKUP('Données projet'!$B$10,Paramètres!$A$1:$I$89,3,0)*VLOOKUP('Données projet'!$B$10,Paramètres!$A$1:$I$89,5,0)</f>
        <v>1.8001173884840681E-13</v>
      </c>
      <c r="AK132" s="14">
        <f t="shared" si="89"/>
        <v>2.5254331426407198E-12</v>
      </c>
      <c r="AL132" s="22">
        <f t="shared" ref="AL132:AL153" si="112">(AJ132+AK132)*0.475*44/12</f>
        <v>4.7119831685935622E-12</v>
      </c>
      <c r="AM132" s="62">
        <f t="shared" ref="AM132:AM195" si="113">AL132+(AD132+AE132)*44/12</f>
        <v>293.33333333333803</v>
      </c>
      <c r="AN132" s="62">
        <f ca="1">AVERAGE(OFFSET($AM$3,0,0,'Données projet'!$E$10+1,1))-AVERAGE(OFFSET($H$3,0,0,'Données projet'!$E$10+1,1))</f>
        <v>249.70045432150511</v>
      </c>
      <c r="AO132" s="62">
        <f t="shared" si="90"/>
        <v>348.75012088192597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14.425281272096241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4.9194891177398769E-12</v>
      </c>
      <c r="AX132" s="23">
        <f t="shared" ref="AX132:AX153" si="114">SUM(AU132:AW132)</f>
        <v>14.425281272101159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-1.7053025658242404E-13</v>
      </c>
      <c r="O133" s="14">
        <f>N133*VLOOKUP('Données projet'!$B$9,Paramètres!$A$1:$I$89,3,0)*VLOOKUP('Données projet'!$B$9,Paramètres!$A$1:$I$89,5,0)</f>
        <v>-1.0197709343628959E-13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150.6643110947133</v>
      </c>
      <c r="T133" s="62">
        <f t="shared" ref="T133:T196" si="142">$T$3</f>
        <v>231.70571415193996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15.374178870342625</v>
      </c>
      <c r="AA133" s="23">
        <f>EXP(-LN(2)/25)*AA132+(1-EXP(-LN(2)/25))/(LN(2)/25)*Calculateur!V133*Calculateur!X133*VLOOKUP('Données projet'!$B$9,Paramètres!$A$1:$I$89,3,0)*0.475*44/12</f>
        <v>3.9992016341896366</v>
      </c>
      <c r="AB133" s="23">
        <f>EXP(-LN(2)/2)*AB132+(1-EXP(-LN(2)/2))/(LN(2)/2)*V133*Y133*VLOOKUP('Données projet'!$B$9,Paramètres!$A$1:$I$89,3,0)*0.475*44/12</f>
        <v>1.8316356163166382E-11</v>
      </c>
      <c r="AC133" s="24">
        <f t="shared" si="111"/>
        <v>19.373380504550578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1.9895196601282805E-13</v>
      </c>
      <c r="AJ133" s="14">
        <f>AI133*VLOOKUP('Données projet'!$B$10,Paramètres!$A$1:$I$89,3,0)*VLOOKUP('Données projet'!$B$10,Paramètres!$A$1:$I$89,5,0)</f>
        <v>1.8001173884840681E-13</v>
      </c>
      <c r="AK133" s="14">
        <f t="shared" ref="AK133:AK153" si="143">EXP(-1.0587+0.8836*LN(AJ133)+0.284)</f>
        <v>2.5254331426407198E-12</v>
      </c>
      <c r="AL133" s="22">
        <f t="shared" si="112"/>
        <v>4.7119831685935622E-12</v>
      </c>
      <c r="AM133" s="62">
        <f t="shared" si="113"/>
        <v>293.33333333333803</v>
      </c>
      <c r="AN133" s="62">
        <f ca="1">AVERAGE(OFFSET($AM$3,0,0,'Données projet'!$E$10+1,1))-AVERAGE(OFFSET($H$3,0,0,'Données projet'!$E$10+1,1))</f>
        <v>249.70045432150511</v>
      </c>
      <c r="AO133" s="62">
        <f t="shared" ref="AO133:AO196" si="144">$AO$3</f>
        <v>348.75012088192597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14.142410304903224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3.4786041151272929E-12</v>
      </c>
      <c r="AX133" s="23">
        <f t="shared" si="114"/>
        <v>14.142410304906702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-1.7053025658242404E-13</v>
      </c>
      <c r="O134" s="14">
        <f>N134*VLOOKUP('Données projet'!$B$9,Paramètres!$A$1:$I$89,3,0)*VLOOKUP('Données projet'!$B$9,Paramètres!$A$1:$I$89,5,0)</f>
        <v>-1.0197709343628959E-13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150.6643110947133</v>
      </c>
      <c r="T134" s="62">
        <f t="shared" si="142"/>
        <v>231.70571415193996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15.072700600018383</v>
      </c>
      <c r="AA134" s="23">
        <f>EXP(-LN(2)/25)*AA133+(1-EXP(-LN(2)/25))/(LN(2)/25)*Calculateur!V134*Calculateur!X134*VLOOKUP('Données projet'!$B$9,Paramètres!$A$1:$I$89,3,0)*0.475*44/12</f>
        <v>3.8898432551938473</v>
      </c>
      <c r="AB134" s="23">
        <f>EXP(-LN(2)/2)*AB133+(1-EXP(-LN(2)/2))/(LN(2)/2)*V134*Y134*VLOOKUP('Données projet'!$B$9,Paramètres!$A$1:$I$89,3,0)*0.475*44/12</f>
        <v>1.2951619649602962E-11</v>
      </c>
      <c r="AC134" s="24">
        <f t="shared" si="111"/>
        <v>18.962543855225185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1.9895196601282805E-13</v>
      </c>
      <c r="AJ134" s="14">
        <f>AI134*VLOOKUP('Données projet'!$B$10,Paramètres!$A$1:$I$89,3,0)*VLOOKUP('Données projet'!$B$10,Paramètres!$A$1:$I$89,5,0)</f>
        <v>1.8001173884840681E-13</v>
      </c>
      <c r="AK134" s="14">
        <f t="shared" si="143"/>
        <v>2.5254331426407198E-12</v>
      </c>
      <c r="AL134" s="22">
        <f t="shared" si="112"/>
        <v>4.7119831685935622E-12</v>
      </c>
      <c r="AM134" s="62">
        <f t="shared" si="113"/>
        <v>293.33333333333803</v>
      </c>
      <c r="AN134" s="62">
        <f ca="1">AVERAGE(OFFSET($AM$3,0,0,'Données projet'!$E$10+1,1))-AVERAGE(OFFSET($H$3,0,0,'Données projet'!$E$10+1,1))</f>
        <v>249.70045432150511</v>
      </c>
      <c r="AO134" s="62">
        <f t="shared" si="144"/>
        <v>348.75012088192597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13.86508626484261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2.4597445588699385E-12</v>
      </c>
      <c r="AX134" s="23">
        <f t="shared" si="114"/>
        <v>13.86508626484507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-1.7053025658242404E-13</v>
      </c>
      <c r="O135" s="14">
        <f>N135*VLOOKUP('Données projet'!$B$9,Paramètres!$A$1:$I$89,3,0)*VLOOKUP('Données projet'!$B$9,Paramètres!$A$1:$I$89,5,0)</f>
        <v>-1.0197709343628959E-13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150.6643110947133</v>
      </c>
      <c r="T135" s="62">
        <f t="shared" si="142"/>
        <v>231.70571415193996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14.777134134691611</v>
      </c>
      <c r="AA135" s="23">
        <f>EXP(-LN(2)/25)*AA134+(1-EXP(-LN(2)/25))/(LN(2)/25)*Calculateur!V135*Calculateur!X135*VLOOKUP('Données projet'!$B$9,Paramètres!$A$1:$I$89,3,0)*0.475*44/12</f>
        <v>3.7834752868226049</v>
      </c>
      <c r="AB135" s="23">
        <f>EXP(-LN(2)/2)*AB134+(1-EXP(-LN(2)/2))/(LN(2)/2)*V135*Y135*VLOOKUP('Données projet'!$B$9,Paramètres!$A$1:$I$89,3,0)*0.475*44/12</f>
        <v>9.158178081583191E-12</v>
      </c>
      <c r="AC135" s="24">
        <f t="shared" si="111"/>
        <v>18.560609421523374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1.9895196601282805E-13</v>
      </c>
      <c r="AJ135" s="14">
        <f>AI135*VLOOKUP('Données projet'!$B$10,Paramètres!$A$1:$I$89,3,0)*VLOOKUP('Données projet'!$B$10,Paramètres!$A$1:$I$89,5,0)</f>
        <v>1.8001173884840681E-13</v>
      </c>
      <c r="AK135" s="14">
        <f t="shared" si="143"/>
        <v>2.5254331426407198E-12</v>
      </c>
      <c r="AL135" s="22">
        <f t="shared" si="112"/>
        <v>4.7119831685935622E-12</v>
      </c>
      <c r="AM135" s="62">
        <f t="shared" si="113"/>
        <v>293.33333333333803</v>
      </c>
      <c r="AN135" s="62">
        <f ca="1">AVERAGE(OFFSET($AM$3,0,0,'Données projet'!$E$10+1,1))-AVERAGE(OFFSET($H$3,0,0,'Données projet'!$E$10+1,1))</f>
        <v>249.70045432150511</v>
      </c>
      <c r="AO135" s="62">
        <f t="shared" si="144"/>
        <v>348.75012088192597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13.593200380056622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1.7393020575636465E-12</v>
      </c>
      <c r="AX135" s="23">
        <f t="shared" si="114"/>
        <v>13.593200380058361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-1.7053025658242404E-13</v>
      </c>
      <c r="O136" s="14">
        <f>N136*VLOOKUP('Données projet'!$B$9,Paramètres!$A$1:$I$89,3,0)*VLOOKUP('Données projet'!$B$9,Paramètres!$A$1:$I$89,5,0)</f>
        <v>-1.0197709343628959E-13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150.6643110947133</v>
      </c>
      <c r="T136" s="62">
        <f t="shared" si="142"/>
        <v>231.70571415193996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14.487363547472155</v>
      </c>
      <c r="AA136" s="23">
        <f>EXP(-LN(2)/25)*AA135+(1-EXP(-LN(2)/25))/(LN(2)/25)*Calculateur!V136*Calculateur!X136*VLOOKUP('Données projet'!$B$9,Paramètres!$A$1:$I$89,3,0)*0.475*44/12</f>
        <v>3.6800159561401227</v>
      </c>
      <c r="AB136" s="23">
        <f>EXP(-LN(2)/2)*AB135+(1-EXP(-LN(2)/2))/(LN(2)/2)*V136*Y136*VLOOKUP('Données projet'!$B$9,Paramètres!$A$1:$I$89,3,0)*0.475*44/12</f>
        <v>6.475809824801481E-12</v>
      </c>
      <c r="AC136" s="24">
        <f t="shared" si="111"/>
        <v>18.167379503618754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1.9895196601282805E-13</v>
      </c>
      <c r="AJ136" s="14">
        <f>AI136*VLOOKUP('Données projet'!$B$10,Paramètres!$A$1:$I$89,3,0)*VLOOKUP('Données projet'!$B$10,Paramètres!$A$1:$I$89,5,0)</f>
        <v>1.8001173884840681E-13</v>
      </c>
      <c r="AK136" s="14">
        <f t="shared" si="143"/>
        <v>2.5254331426407198E-12</v>
      </c>
      <c r="AL136" s="22">
        <f t="shared" si="112"/>
        <v>4.7119831685935622E-12</v>
      </c>
      <c r="AM136" s="62">
        <f t="shared" si="113"/>
        <v>293.33333333333803</v>
      </c>
      <c r="AN136" s="62">
        <f ca="1">AVERAGE(OFFSET($AM$3,0,0,'Données projet'!$E$10+1,1))-AVERAGE(OFFSET($H$3,0,0,'Données projet'!$E$10+1,1))</f>
        <v>249.70045432150511</v>
      </c>
      <c r="AO136" s="62">
        <f t="shared" si="144"/>
        <v>348.75012088192597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13.326646011637273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1.2298722794349692E-12</v>
      </c>
      <c r="AX136" s="23">
        <f t="shared" si="114"/>
        <v>13.326646011638502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-1.7053025658242404E-13</v>
      </c>
      <c r="O137" s="14">
        <f>N137*VLOOKUP('Données projet'!$B$9,Paramètres!$A$1:$I$89,3,0)*VLOOKUP('Données projet'!$B$9,Paramètres!$A$1:$I$89,5,0)</f>
        <v>-1.0197709343628959E-13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150.6643110947133</v>
      </c>
      <c r="T137" s="62">
        <f t="shared" si="142"/>
        <v>231.70571415193996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14.203275184725467</v>
      </c>
      <c r="AA137" s="23">
        <f>EXP(-LN(2)/25)*AA136+(1-EXP(-LN(2)/25))/(LN(2)/25)*Calculateur!V137*Calculateur!X137*VLOOKUP('Données projet'!$B$9,Paramètres!$A$1:$I$89,3,0)*0.475*44/12</f>
        <v>3.5793857262958428</v>
      </c>
      <c r="AB137" s="23">
        <f>EXP(-LN(2)/2)*AB136+(1-EXP(-LN(2)/2))/(LN(2)/2)*V137*Y137*VLOOKUP('Données projet'!$B$9,Paramètres!$A$1:$I$89,3,0)*0.475*44/12</f>
        <v>4.5790890407915955E-12</v>
      </c>
      <c r="AC137" s="24">
        <f t="shared" si="111"/>
        <v>17.782660911025889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1.9895196601282805E-13</v>
      </c>
      <c r="AJ137" s="14">
        <f>AI137*VLOOKUP('Données projet'!$B$10,Paramètres!$A$1:$I$89,3,0)*VLOOKUP('Données projet'!$B$10,Paramètres!$A$1:$I$89,5,0)</f>
        <v>1.8001173884840681E-13</v>
      </c>
      <c r="AK137" s="14">
        <f t="shared" si="143"/>
        <v>2.5254331426407198E-12</v>
      </c>
      <c r="AL137" s="22">
        <f t="shared" si="112"/>
        <v>4.7119831685935622E-12</v>
      </c>
      <c r="AM137" s="62">
        <f t="shared" si="113"/>
        <v>293.33333333333803</v>
      </c>
      <c r="AN137" s="62">
        <f ca="1">AVERAGE(OFFSET($AM$3,0,0,'Données projet'!$E$10+1,1))-AVERAGE(OFFSET($H$3,0,0,'Données projet'!$E$10+1,1))</f>
        <v>249.70045432150511</v>
      </c>
      <c r="AO137" s="62">
        <f t="shared" si="144"/>
        <v>348.75012088192597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13.065318611800516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8.6965102878182323E-13</v>
      </c>
      <c r="AX137" s="23">
        <f t="shared" si="114"/>
        <v>13.065318611801386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-1.7053025658242404E-13</v>
      </c>
      <c r="O138" s="14">
        <f>N138*VLOOKUP('Données projet'!$B$9,Paramètres!$A$1:$I$89,3,0)*VLOOKUP('Données projet'!$B$9,Paramètres!$A$1:$I$89,5,0)</f>
        <v>-1.0197709343628959E-13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150.6643110947133</v>
      </c>
      <c r="T138" s="62">
        <f t="shared" si="142"/>
        <v>231.70571415193996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13.924757621495448</v>
      </c>
      <c r="AA138" s="23">
        <f>EXP(-LN(2)/25)*AA137+(1-EXP(-LN(2)/25))/(LN(2)/25)*Calculateur!V138*Calculateur!X138*VLOOKUP('Données projet'!$B$9,Paramètres!$A$1:$I$89,3,0)*0.475*44/12</f>
        <v>3.4815072353785683</v>
      </c>
      <c r="AB138" s="23">
        <f>EXP(-LN(2)/2)*AB137+(1-EXP(-LN(2)/2))/(LN(2)/2)*V138*Y138*VLOOKUP('Données projet'!$B$9,Paramètres!$A$1:$I$89,3,0)*0.475*44/12</f>
        <v>3.2379049124007405E-12</v>
      </c>
      <c r="AC138" s="24">
        <f t="shared" si="111"/>
        <v>17.406264856877254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1.9895196601282805E-13</v>
      </c>
      <c r="AJ138" s="14">
        <f>AI138*VLOOKUP('Données projet'!$B$10,Paramètres!$A$1:$I$89,3,0)*VLOOKUP('Données projet'!$B$10,Paramètres!$A$1:$I$89,5,0)</f>
        <v>1.8001173884840681E-13</v>
      </c>
      <c r="AK138" s="14">
        <f t="shared" si="143"/>
        <v>2.5254331426407198E-12</v>
      </c>
      <c r="AL138" s="22">
        <f t="shared" si="112"/>
        <v>4.7119831685935622E-12</v>
      </c>
      <c r="AM138" s="62">
        <f t="shared" si="113"/>
        <v>293.33333333333803</v>
      </c>
      <c r="AN138" s="62">
        <f ca="1">AVERAGE(OFFSET($AM$3,0,0,'Données projet'!$E$10+1,1))-AVERAGE(OFFSET($H$3,0,0,'Données projet'!$E$10+1,1))</f>
        <v>249.70045432150511</v>
      </c>
      <c r="AO138" s="62">
        <f t="shared" si="144"/>
        <v>348.75012088192597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12.809115682880581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6.1493613971748462E-13</v>
      </c>
      <c r="AX138" s="23">
        <f t="shared" si="114"/>
        <v>12.809115682881195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-1.7053025658242404E-13</v>
      </c>
      <c r="O139" s="14">
        <f>N139*VLOOKUP('Données projet'!$B$9,Paramètres!$A$1:$I$89,3,0)*VLOOKUP('Données projet'!$B$9,Paramètres!$A$1:$I$89,5,0)</f>
        <v>-1.0197709343628959E-13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150.6643110947133</v>
      </c>
      <c r="T139" s="62">
        <f t="shared" si="142"/>
        <v>231.70571415193996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13.651701617801432</v>
      </c>
      <c r="AA139" s="23">
        <f>EXP(-LN(2)/25)*AA138+(1-EXP(-LN(2)/25))/(LN(2)/25)*Calculateur!V139*Calculateur!X139*VLOOKUP('Données projet'!$B$9,Paramètres!$A$1:$I$89,3,0)*0.475*44/12</f>
        <v>3.3863052369426327</v>
      </c>
      <c r="AB139" s="23">
        <f>EXP(-LN(2)/2)*AB138+(1-EXP(-LN(2)/2))/(LN(2)/2)*V139*Y139*VLOOKUP('Données projet'!$B$9,Paramètres!$A$1:$I$89,3,0)*0.475*44/12</f>
        <v>2.2895445203957977E-12</v>
      </c>
      <c r="AC139" s="24">
        <f t="shared" si="111"/>
        <v>17.038006854746353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1.9895196601282805E-13</v>
      </c>
      <c r="AJ139" s="14">
        <f>AI139*VLOOKUP('Données projet'!$B$10,Paramètres!$A$1:$I$89,3,0)*VLOOKUP('Données projet'!$B$10,Paramètres!$A$1:$I$89,5,0)</f>
        <v>1.8001173884840681E-13</v>
      </c>
      <c r="AK139" s="14">
        <f t="shared" si="143"/>
        <v>2.5254331426407198E-12</v>
      </c>
      <c r="AL139" s="22">
        <f t="shared" si="112"/>
        <v>4.7119831685935622E-12</v>
      </c>
      <c r="AM139" s="62">
        <f t="shared" si="113"/>
        <v>293.33333333333803</v>
      </c>
      <c r="AN139" s="62">
        <f ca="1">AVERAGE(OFFSET($AM$3,0,0,'Données projet'!$E$10+1,1))-AVERAGE(OFFSET($H$3,0,0,'Données projet'!$E$10+1,1))</f>
        <v>249.70045432150511</v>
      </c>
      <c r="AO139" s="62">
        <f t="shared" si="144"/>
        <v>348.75012088192597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12.55793673712841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4.3482551439091162E-13</v>
      </c>
      <c r="AX139" s="23">
        <f t="shared" si="114"/>
        <v>12.557936737128845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-1.7053025658242404E-13</v>
      </c>
      <c r="O140" s="14">
        <f>N140*VLOOKUP('Données projet'!$B$9,Paramètres!$A$1:$I$89,3,0)*VLOOKUP('Données projet'!$B$9,Paramètres!$A$1:$I$89,5,0)</f>
        <v>-1.0197709343628959E-13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150.6643110947133</v>
      </c>
      <c r="T140" s="62">
        <f t="shared" si="142"/>
        <v>231.70571415193996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13.384000075792137</v>
      </c>
      <c r="AA140" s="23">
        <f>EXP(-LN(2)/25)*AA139+(1-EXP(-LN(2)/25))/(LN(2)/25)*Calculateur!V140*Calculateur!X140*VLOOKUP('Données projet'!$B$9,Paramètres!$A$1:$I$89,3,0)*0.475*44/12</f>
        <v>3.2937065421603835</v>
      </c>
      <c r="AB140" s="23">
        <f>EXP(-LN(2)/2)*AB139+(1-EXP(-LN(2)/2))/(LN(2)/2)*V140*Y140*VLOOKUP('Données projet'!$B$9,Paramètres!$A$1:$I$89,3,0)*0.475*44/12</f>
        <v>1.6189524562003703E-12</v>
      </c>
      <c r="AC140" s="24">
        <f t="shared" si="111"/>
        <v>16.67770661795414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1.9895196601282805E-13</v>
      </c>
      <c r="AJ140" s="14">
        <f>AI140*VLOOKUP('Données projet'!$B$10,Paramètres!$A$1:$I$89,3,0)*VLOOKUP('Données projet'!$B$10,Paramètres!$A$1:$I$89,5,0)</f>
        <v>1.8001173884840681E-13</v>
      </c>
      <c r="AK140" s="14">
        <f t="shared" si="143"/>
        <v>2.5254331426407198E-12</v>
      </c>
      <c r="AL140" s="22">
        <f t="shared" si="112"/>
        <v>4.7119831685935622E-12</v>
      </c>
      <c r="AM140" s="62">
        <f t="shared" si="113"/>
        <v>293.33333333333803</v>
      </c>
      <c r="AN140" s="62">
        <f ca="1">AVERAGE(OFFSET($AM$3,0,0,'Données projet'!$E$10+1,1))-AVERAGE(OFFSET($H$3,0,0,'Données projet'!$E$10+1,1))</f>
        <v>249.70045432150511</v>
      </c>
      <c r="AO140" s="62">
        <f t="shared" si="144"/>
        <v>348.75012088192597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12.311683257298411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3.0746806985874231E-13</v>
      </c>
      <c r="AX140" s="23">
        <f t="shared" si="114"/>
        <v>12.311683257298718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-1.7053025658242404E-13</v>
      </c>
      <c r="O141" s="14">
        <f>N141*VLOOKUP('Données projet'!$B$9,Paramètres!$A$1:$I$89,3,0)*VLOOKUP('Données projet'!$B$9,Paramètres!$A$1:$I$89,5,0)</f>
        <v>-1.0197709343628959E-13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150.6643110947133</v>
      </c>
      <c r="T141" s="62">
        <f t="shared" si="142"/>
        <v>231.70571415193996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13.121547997739828</v>
      </c>
      <c r="AA141" s="23">
        <f>EXP(-LN(2)/25)*AA140+(1-EXP(-LN(2)/25))/(LN(2)/25)*Calculateur!V141*Calculateur!X141*VLOOKUP('Données projet'!$B$9,Paramètres!$A$1:$I$89,3,0)*0.475*44/12</f>
        <v>3.2036399635565087</v>
      </c>
      <c r="AB141" s="23">
        <f>EXP(-LN(2)/2)*AB140+(1-EXP(-LN(2)/2))/(LN(2)/2)*V141*Y141*VLOOKUP('Données projet'!$B$9,Paramètres!$A$1:$I$89,3,0)*0.475*44/12</f>
        <v>1.1447722601978989E-12</v>
      </c>
      <c r="AC141" s="24">
        <f t="shared" si="111"/>
        <v>16.32518796129748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1.9895196601282805E-13</v>
      </c>
      <c r="AJ141" s="14">
        <f>AI141*VLOOKUP('Données projet'!$B$10,Paramètres!$A$1:$I$89,3,0)*VLOOKUP('Données projet'!$B$10,Paramètres!$A$1:$I$89,5,0)</f>
        <v>1.8001173884840681E-13</v>
      </c>
      <c r="AK141" s="14">
        <f t="shared" si="143"/>
        <v>2.5254331426407198E-12</v>
      </c>
      <c r="AL141" s="22">
        <f t="shared" si="112"/>
        <v>4.7119831685935622E-12</v>
      </c>
      <c r="AM141" s="62">
        <f t="shared" si="113"/>
        <v>293.33333333333803</v>
      </c>
      <c r="AN141" s="62">
        <f ca="1">AVERAGE(OFFSET($AM$3,0,0,'Données projet'!$E$10+1,1))-AVERAGE(OFFSET($H$3,0,0,'Données projet'!$E$10+1,1))</f>
        <v>249.70045432150511</v>
      </c>
      <c r="AO141" s="62">
        <f t="shared" si="144"/>
        <v>348.75012088192597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12.070258658008086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2.1741275719545581E-13</v>
      </c>
      <c r="AX141" s="23">
        <f t="shared" si="114"/>
        <v>12.070258658008303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-1.7053025658242404E-13</v>
      </c>
      <c r="O142" s="14">
        <f>N142*VLOOKUP('Données projet'!$B$9,Paramètres!$A$1:$I$89,3,0)*VLOOKUP('Données projet'!$B$9,Paramètres!$A$1:$I$89,5,0)</f>
        <v>-1.0197709343628959E-13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150.6643110947133</v>
      </c>
      <c r="T142" s="62">
        <f t="shared" si="142"/>
        <v>231.70571415193996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12.864242444858164</v>
      </c>
      <c r="AA142" s="23">
        <f>EXP(-LN(2)/25)*AA141+(1-EXP(-LN(2)/25))/(LN(2)/25)*Calculateur!V142*Calculateur!X142*VLOOKUP('Données projet'!$B$9,Paramètres!$A$1:$I$89,3,0)*0.475*44/12</f>
        <v>3.1160362602809522</v>
      </c>
      <c r="AB142" s="23">
        <f>EXP(-LN(2)/2)*AB141+(1-EXP(-LN(2)/2))/(LN(2)/2)*V142*Y142*VLOOKUP('Données projet'!$B$9,Paramètres!$A$1:$I$89,3,0)*0.475*44/12</f>
        <v>8.0947622810018513E-13</v>
      </c>
      <c r="AC142" s="24">
        <f t="shared" si="111"/>
        <v>15.980278705139925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1.9895196601282805E-13</v>
      </c>
      <c r="AJ142" s="14">
        <f>AI142*VLOOKUP('Données projet'!$B$10,Paramètres!$A$1:$I$89,3,0)*VLOOKUP('Données projet'!$B$10,Paramètres!$A$1:$I$89,5,0)</f>
        <v>1.8001173884840681E-13</v>
      </c>
      <c r="AK142" s="14">
        <f t="shared" si="143"/>
        <v>2.5254331426407198E-12</v>
      </c>
      <c r="AL142" s="22">
        <f t="shared" si="112"/>
        <v>4.7119831685935622E-12</v>
      </c>
      <c r="AM142" s="62">
        <f t="shared" si="113"/>
        <v>293.33333333333803</v>
      </c>
      <c r="AN142" s="62">
        <f ca="1">AVERAGE(OFFSET($AM$3,0,0,'Données projet'!$E$10+1,1))-AVERAGE(OFFSET($H$3,0,0,'Données projet'!$E$10+1,1))</f>
        <v>249.70045432150511</v>
      </c>
      <c r="AO142" s="62">
        <f t="shared" si="144"/>
        <v>348.75012088192597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11.833568247855379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1.5373403492937115E-13</v>
      </c>
      <c r="AX142" s="23">
        <f t="shared" si="114"/>
        <v>11.833568247855533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-1.7053025658242404E-13</v>
      </c>
      <c r="O143" s="14">
        <f>N143*VLOOKUP('Données projet'!$B$9,Paramètres!$A$1:$I$89,3,0)*VLOOKUP('Données projet'!$B$9,Paramètres!$A$1:$I$89,5,0)</f>
        <v>-1.0197709343628959E-13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150.6643110947133</v>
      </c>
      <c r="T143" s="62">
        <f t="shared" si="142"/>
        <v>231.70571415193996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12.611982496927617</v>
      </c>
      <c r="AA143" s="23">
        <f>EXP(-LN(2)/25)*AA142+(1-EXP(-LN(2)/25))/(LN(2)/25)*Calculateur!V143*Calculateur!X143*VLOOKUP('Données projet'!$B$9,Paramètres!$A$1:$I$89,3,0)*0.475*44/12</f>
        <v>3.0308280848783444</v>
      </c>
      <c r="AB143" s="23">
        <f>EXP(-LN(2)/2)*AB142+(1-EXP(-LN(2)/2))/(LN(2)/2)*V143*Y143*VLOOKUP('Données projet'!$B$9,Paramètres!$A$1:$I$89,3,0)*0.475*44/12</f>
        <v>5.7238613009894944E-13</v>
      </c>
      <c r="AC143" s="24">
        <f t="shared" si="111"/>
        <v>15.642810581806533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1.9895196601282805E-13</v>
      </c>
      <c r="AJ143" s="14">
        <f>AI143*VLOOKUP('Données projet'!$B$10,Paramètres!$A$1:$I$89,3,0)*VLOOKUP('Données projet'!$B$10,Paramètres!$A$1:$I$89,5,0)</f>
        <v>1.8001173884840681E-13</v>
      </c>
      <c r="AK143" s="14">
        <f t="shared" si="143"/>
        <v>2.5254331426407198E-12</v>
      </c>
      <c r="AL143" s="22">
        <f t="shared" si="112"/>
        <v>4.7119831685935622E-12</v>
      </c>
      <c r="AM143" s="62">
        <f t="shared" si="113"/>
        <v>293.33333333333803</v>
      </c>
      <c r="AN143" s="62">
        <f ca="1">AVERAGE(OFFSET($AM$3,0,0,'Données projet'!$E$10+1,1))-AVERAGE(OFFSET($H$3,0,0,'Données projet'!$E$10+1,1))</f>
        <v>249.70045432150511</v>
      </c>
      <c r="AO143" s="62">
        <f t="shared" si="144"/>
        <v>348.75012088192597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11.601519192278872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1.087063785977279E-13</v>
      </c>
      <c r="AX143" s="23">
        <f t="shared" si="114"/>
        <v>11.60151919227898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-1.7053025658242404E-13</v>
      </c>
      <c r="O144" s="14">
        <f>N144*VLOOKUP('Données projet'!$B$9,Paramètres!$A$1:$I$89,3,0)*VLOOKUP('Données projet'!$B$9,Paramètres!$A$1:$I$89,5,0)</f>
        <v>-1.0197709343628959E-13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150.6643110947133</v>
      </c>
      <c r="T144" s="62">
        <f t="shared" si="142"/>
        <v>231.70571415193996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12.364669212712613</v>
      </c>
      <c r="AA144" s="23">
        <f>EXP(-LN(2)/25)*AA143+(1-EXP(-LN(2)/25))/(LN(2)/25)*Calculateur!V144*Calculateur!X144*VLOOKUP('Données projet'!$B$9,Paramètres!$A$1:$I$89,3,0)*0.475*44/12</f>
        <v>2.947949931513024</v>
      </c>
      <c r="AB144" s="23">
        <f>EXP(-LN(2)/2)*AB143+(1-EXP(-LN(2)/2))/(LN(2)/2)*V144*Y144*VLOOKUP('Données projet'!$B$9,Paramètres!$A$1:$I$89,3,0)*0.475*44/12</f>
        <v>4.0473811405009257E-13</v>
      </c>
      <c r="AC144" s="24">
        <f t="shared" si="111"/>
        <v>15.312619144226042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1.9895196601282805E-13</v>
      </c>
      <c r="AJ144" s="14">
        <f>AI144*VLOOKUP('Données projet'!$B$10,Paramètres!$A$1:$I$89,3,0)*VLOOKUP('Données projet'!$B$10,Paramètres!$A$1:$I$89,5,0)</f>
        <v>1.8001173884840681E-13</v>
      </c>
      <c r="AK144" s="14">
        <f t="shared" si="143"/>
        <v>2.5254331426407198E-12</v>
      </c>
      <c r="AL144" s="22">
        <f t="shared" si="112"/>
        <v>4.7119831685935622E-12</v>
      </c>
      <c r="AM144" s="62">
        <f t="shared" si="113"/>
        <v>293.33333333333803</v>
      </c>
      <c r="AN144" s="62">
        <f ca="1">AVERAGE(OFFSET($AM$3,0,0,'Données projet'!$E$10+1,1))-AVERAGE(OFFSET($H$3,0,0,'Données projet'!$E$10+1,1))</f>
        <v>249.70045432150511</v>
      </c>
      <c r="AO144" s="62">
        <f t="shared" si="144"/>
        <v>348.75012088192597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11.374020477146271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7.6867017464685577E-14</v>
      </c>
      <c r="AX144" s="23">
        <f t="shared" si="114"/>
        <v>11.374020477146347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-1.7053025658242404E-13</v>
      </c>
      <c r="O145" s="14">
        <f>N145*VLOOKUP('Données projet'!$B$9,Paramètres!$A$1:$I$89,3,0)*VLOOKUP('Données projet'!$B$9,Paramètres!$A$1:$I$89,5,0)</f>
        <v>-1.0197709343628959E-13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150.6643110947133</v>
      </c>
      <c r="T145" s="62">
        <f t="shared" si="142"/>
        <v>231.70571415193996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12.122205591154858</v>
      </c>
      <c r="AA145" s="23">
        <f>EXP(-LN(2)/25)*AA144+(1-EXP(-LN(2)/25))/(LN(2)/25)*Calculateur!V145*Calculateur!X145*VLOOKUP('Données projet'!$B$9,Paramètres!$A$1:$I$89,3,0)*0.475*44/12</f>
        <v>2.8673380856098509</v>
      </c>
      <c r="AB145" s="23">
        <f>EXP(-LN(2)/2)*AB144+(1-EXP(-LN(2)/2))/(LN(2)/2)*V145*Y145*VLOOKUP('Données projet'!$B$9,Paramètres!$A$1:$I$89,3,0)*0.475*44/12</f>
        <v>2.8619306504947472E-13</v>
      </c>
      <c r="AC145" s="24">
        <f t="shared" si="111"/>
        <v>14.989543676764994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1.9895196601282805E-13</v>
      </c>
      <c r="AJ145" s="14">
        <f>AI145*VLOOKUP('Données projet'!$B$10,Paramètres!$A$1:$I$89,3,0)*VLOOKUP('Données projet'!$B$10,Paramètres!$A$1:$I$89,5,0)</f>
        <v>1.8001173884840681E-13</v>
      </c>
      <c r="AK145" s="14">
        <f t="shared" si="143"/>
        <v>2.5254331426407198E-12</v>
      </c>
      <c r="AL145" s="22">
        <f t="shared" si="112"/>
        <v>4.7119831685935622E-12</v>
      </c>
      <c r="AM145" s="62">
        <f t="shared" si="113"/>
        <v>293.33333333333803</v>
      </c>
      <c r="AN145" s="62">
        <f ca="1">AVERAGE(OFFSET($AM$3,0,0,'Données projet'!$E$10+1,1))-AVERAGE(OFFSET($H$3,0,0,'Données projet'!$E$10+1,1))</f>
        <v>249.70045432150511</v>
      </c>
      <c r="AO145" s="62">
        <f t="shared" si="144"/>
        <v>348.75012088192597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11.150982873056906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5.4353189298863952E-14</v>
      </c>
      <c r="AX145" s="23">
        <f t="shared" si="114"/>
        <v>11.150982873056961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-1.7053025658242404E-13</v>
      </c>
      <c r="O146" s="14">
        <f>N146*VLOOKUP('Données projet'!$B$9,Paramètres!$A$1:$I$89,3,0)*VLOOKUP('Données projet'!$B$9,Paramètres!$A$1:$I$89,5,0)</f>
        <v>-1.0197709343628959E-13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150.6643110947133</v>
      </c>
      <c r="T146" s="62">
        <f t="shared" si="142"/>
        <v>231.70571415193996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11.884496533327642</v>
      </c>
      <c r="AA146" s="23">
        <f>EXP(-LN(2)/25)*AA145+(1-EXP(-LN(2)/25))/(LN(2)/25)*Calculateur!V146*Calculateur!X146*VLOOKUP('Données projet'!$B$9,Paramètres!$A$1:$I$89,3,0)*0.475*44/12</f>
        <v>2.7889305748720932</v>
      </c>
      <c r="AB146" s="23">
        <f>EXP(-LN(2)/2)*AB145+(1-EXP(-LN(2)/2))/(LN(2)/2)*V146*Y146*VLOOKUP('Données projet'!$B$9,Paramètres!$A$1:$I$89,3,0)*0.475*44/12</f>
        <v>2.0236905702504628E-13</v>
      </c>
      <c r="AC146" s="24">
        <f t="shared" si="111"/>
        <v>14.673427108199938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1.9895196601282805E-13</v>
      </c>
      <c r="AJ146" s="14">
        <f>AI146*VLOOKUP('Données projet'!$B$10,Paramètres!$A$1:$I$89,3,0)*VLOOKUP('Données projet'!$B$10,Paramètres!$A$1:$I$89,5,0)</f>
        <v>1.8001173884840681E-13</v>
      </c>
      <c r="AK146" s="14">
        <f t="shared" si="143"/>
        <v>2.5254331426407198E-12</v>
      </c>
      <c r="AL146" s="22">
        <f t="shared" si="112"/>
        <v>4.7119831685935622E-12</v>
      </c>
      <c r="AM146" s="62">
        <f t="shared" si="113"/>
        <v>293.33333333333803</v>
      </c>
      <c r="AN146" s="62">
        <f ca="1">AVERAGE(OFFSET($AM$3,0,0,'Données projet'!$E$10+1,1))-AVERAGE(OFFSET($H$3,0,0,'Données projet'!$E$10+1,1))</f>
        <v>249.70045432150511</v>
      </c>
      <c r="AO146" s="62">
        <f t="shared" si="144"/>
        <v>348.75012088192597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10.932318900344228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3.8433508732342789E-14</v>
      </c>
      <c r="AX146" s="23">
        <f t="shared" si="114"/>
        <v>10.932318900344267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-1.7053025658242404E-13</v>
      </c>
      <c r="O147" s="14">
        <f>N147*VLOOKUP('Données projet'!$B$9,Paramètres!$A$1:$I$89,3,0)*VLOOKUP('Données projet'!$B$9,Paramètres!$A$1:$I$89,5,0)</f>
        <v>-1.0197709343628959E-13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150.6643110947133</v>
      </c>
      <c r="T147" s="62">
        <f t="shared" si="142"/>
        <v>231.70571415193996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11.65144880513621</v>
      </c>
      <c r="AA147" s="23">
        <f>EXP(-LN(2)/25)*AA146+(1-EXP(-LN(2)/25))/(LN(2)/25)*Calculateur!V147*Calculateur!X147*VLOOKUP('Données projet'!$B$9,Paramètres!$A$1:$I$89,3,0)*0.475*44/12</f>
        <v>2.7126671216387312</v>
      </c>
      <c r="AB147" s="23">
        <f>EXP(-LN(2)/2)*AB146+(1-EXP(-LN(2)/2))/(LN(2)/2)*V147*Y147*VLOOKUP('Données projet'!$B$9,Paramètres!$A$1:$I$89,3,0)*0.475*44/12</f>
        <v>1.4309653252473736E-13</v>
      </c>
      <c r="AC147" s="24">
        <f t="shared" si="111"/>
        <v>14.364115926775085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1.9895196601282805E-13</v>
      </c>
      <c r="AJ147" s="14">
        <f>AI147*VLOOKUP('Données projet'!$B$10,Paramètres!$A$1:$I$89,3,0)*VLOOKUP('Données projet'!$B$10,Paramètres!$A$1:$I$89,5,0)</f>
        <v>1.8001173884840681E-13</v>
      </c>
      <c r="AK147" s="14">
        <f t="shared" si="143"/>
        <v>2.5254331426407198E-12</v>
      </c>
      <c r="AL147" s="22">
        <f t="shared" si="112"/>
        <v>4.7119831685935622E-12</v>
      </c>
      <c r="AM147" s="62">
        <f t="shared" si="113"/>
        <v>293.33333333333803</v>
      </c>
      <c r="AN147" s="62">
        <f ca="1">AVERAGE(OFFSET($AM$3,0,0,'Données projet'!$E$10+1,1))-AVERAGE(OFFSET($H$3,0,0,'Données projet'!$E$10+1,1))</f>
        <v>249.70045432150511</v>
      </c>
      <c r="AO147" s="62">
        <f t="shared" si="144"/>
        <v>348.75012088192597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10.717942794764591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2.7176594649431976E-14</v>
      </c>
      <c r="AX147" s="23">
        <f t="shared" si="114"/>
        <v>10.717942794764618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-1.7053025658242404E-13</v>
      </c>
      <c r="O148" s="14">
        <f>N148*VLOOKUP('Données projet'!$B$9,Paramètres!$A$1:$I$89,3,0)*VLOOKUP('Données projet'!$B$9,Paramètres!$A$1:$I$89,5,0)</f>
        <v>-1.0197709343628959E-13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150.6643110947133</v>
      </c>
      <c r="T148" s="62">
        <f t="shared" si="142"/>
        <v>231.70571415193996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11.422971000749534</v>
      </c>
      <c r="AA148" s="23">
        <f>EXP(-LN(2)/25)*AA147+(1-EXP(-LN(2)/25))/(LN(2)/25)*Calculateur!V148*Calculateur!X148*VLOOKUP('Données projet'!$B$9,Paramètres!$A$1:$I$89,3,0)*0.475*44/12</f>
        <v>2.6384890965445562</v>
      </c>
      <c r="AB148" s="23">
        <f>EXP(-LN(2)/2)*AB147+(1-EXP(-LN(2)/2))/(LN(2)/2)*V148*Y148*VLOOKUP('Données projet'!$B$9,Paramètres!$A$1:$I$89,3,0)*0.475*44/12</f>
        <v>1.0118452851252314E-13</v>
      </c>
      <c r="AC148" s="24">
        <f t="shared" si="111"/>
        <v>14.061460097294193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1.9895196601282805E-13</v>
      </c>
      <c r="AJ148" s="14">
        <f>AI148*VLOOKUP('Données projet'!$B$10,Paramètres!$A$1:$I$89,3,0)*VLOOKUP('Données projet'!$B$10,Paramètres!$A$1:$I$89,5,0)</f>
        <v>1.8001173884840681E-13</v>
      </c>
      <c r="AK148" s="14">
        <f t="shared" si="143"/>
        <v>2.5254331426407198E-12</v>
      </c>
      <c r="AL148" s="22">
        <f t="shared" si="112"/>
        <v>4.7119831685935622E-12</v>
      </c>
      <c r="AM148" s="62">
        <f t="shared" si="113"/>
        <v>293.33333333333803</v>
      </c>
      <c r="AN148" s="62">
        <f ca="1">AVERAGE(OFFSET($AM$3,0,0,'Données projet'!$E$10+1,1))-AVERAGE(OFFSET($H$3,0,0,'Données projet'!$E$10+1,1))</f>
        <v>249.70045432150511</v>
      </c>
      <c r="AO148" s="62">
        <f t="shared" si="144"/>
        <v>348.75012088192597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10.507770473858857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1.9216754366171394E-14</v>
      </c>
      <c r="AX148" s="23">
        <f t="shared" si="114"/>
        <v>10.507770473858876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-1.7053025658242404E-13</v>
      </c>
      <c r="O149" s="14">
        <f>N149*VLOOKUP('Données projet'!$B$9,Paramètres!$A$1:$I$89,3,0)*VLOOKUP('Données projet'!$B$9,Paramètres!$A$1:$I$89,5,0)</f>
        <v>-1.0197709343628959E-13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150.6643110947133</v>
      </c>
      <c r="T149" s="62">
        <f t="shared" si="142"/>
        <v>231.70571415193996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11.19897350674918</v>
      </c>
      <c r="AA149" s="23">
        <f>EXP(-LN(2)/25)*AA148+(1-EXP(-LN(2)/25))/(LN(2)/25)*Calculateur!V149*Calculateur!X149*VLOOKUP('Données projet'!$B$9,Paramètres!$A$1:$I$89,3,0)*0.475*44/12</f>
        <v>2.5663394734474343</v>
      </c>
      <c r="AB149" s="23">
        <f>EXP(-LN(2)/2)*AB148+(1-EXP(-LN(2)/2))/(LN(2)/2)*V149*Y149*VLOOKUP('Données projet'!$B$9,Paramètres!$A$1:$I$89,3,0)*0.475*44/12</f>
        <v>7.154826626236868E-14</v>
      </c>
      <c r="AC149" s="24">
        <f t="shared" si="111"/>
        <v>13.765312980196686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1.9895196601282805E-13</v>
      </c>
      <c r="AJ149" s="14">
        <f>AI149*VLOOKUP('Données projet'!$B$10,Paramètres!$A$1:$I$89,3,0)*VLOOKUP('Données projet'!$B$10,Paramètres!$A$1:$I$89,5,0)</f>
        <v>1.8001173884840681E-13</v>
      </c>
      <c r="AK149" s="14">
        <f t="shared" si="143"/>
        <v>2.5254331426407198E-12</v>
      </c>
      <c r="AL149" s="22">
        <f t="shared" si="112"/>
        <v>4.7119831685935622E-12</v>
      </c>
      <c r="AM149" s="62">
        <f t="shared" si="113"/>
        <v>293.33333333333803</v>
      </c>
      <c r="AN149" s="62">
        <f ca="1">AVERAGE(OFFSET($AM$3,0,0,'Données projet'!$E$10+1,1))-AVERAGE(OFFSET($H$3,0,0,'Données projet'!$E$10+1,1))</f>
        <v>249.70045432150511</v>
      </c>
      <c r="AO149" s="62">
        <f t="shared" si="144"/>
        <v>348.75012088192597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10.301719503973628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1.3588297324715988E-14</v>
      </c>
      <c r="AX149" s="23">
        <f t="shared" si="114"/>
        <v>10.301719503973642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-1.7053025658242404E-13</v>
      </c>
      <c r="O150" s="14">
        <f>N150*VLOOKUP('Données projet'!$B$9,Paramètres!$A$1:$I$89,3,0)*VLOOKUP('Données projet'!$B$9,Paramètres!$A$1:$I$89,5,0)</f>
        <v>-1.0197709343628959E-13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150.6643110947133</v>
      </c>
      <c r="T150" s="62">
        <f t="shared" si="142"/>
        <v>231.70571415193996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10.979368466981192</v>
      </c>
      <c r="AA150" s="23">
        <f>EXP(-LN(2)/25)*AA149+(1-EXP(-LN(2)/25))/(LN(2)/25)*Calculateur!V150*Calculateur!X150*VLOOKUP('Données projet'!$B$9,Paramètres!$A$1:$I$89,3,0)*0.475*44/12</f>
        <v>2.4961627855880866</v>
      </c>
      <c r="AB150" s="23">
        <f>EXP(-LN(2)/2)*AB149+(1-EXP(-LN(2)/2))/(LN(2)/2)*V150*Y150*VLOOKUP('Données projet'!$B$9,Paramètres!$A$1:$I$89,3,0)*0.475*44/12</f>
        <v>5.0592264256261571E-14</v>
      </c>
      <c r="AC150" s="24">
        <f t="shared" si="111"/>
        <v>13.475531252569329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1.9895196601282805E-13</v>
      </c>
      <c r="AJ150" s="14">
        <f>AI150*VLOOKUP('Données projet'!$B$10,Paramètres!$A$1:$I$89,3,0)*VLOOKUP('Données projet'!$B$10,Paramètres!$A$1:$I$89,5,0)</f>
        <v>1.8001173884840681E-13</v>
      </c>
      <c r="AK150" s="14">
        <f t="shared" si="143"/>
        <v>2.5254331426407198E-12</v>
      </c>
      <c r="AL150" s="22">
        <f t="shared" si="112"/>
        <v>4.7119831685935622E-12</v>
      </c>
      <c r="AM150" s="62">
        <f t="shared" si="113"/>
        <v>293.33333333333803</v>
      </c>
      <c r="AN150" s="62">
        <f ca="1">AVERAGE(OFFSET($AM$3,0,0,'Données projet'!$E$10+1,1))-AVERAGE(OFFSET($H$3,0,0,'Données projet'!$E$10+1,1))</f>
        <v>249.70045432150511</v>
      </c>
      <c r="AO150" s="62">
        <f t="shared" si="144"/>
        <v>348.75012088192597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10.099709067929165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9.6083771830856971E-15</v>
      </c>
      <c r="AX150" s="23">
        <f t="shared" si="114"/>
        <v>10.099709067929174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-1.7053025658242404E-13</v>
      </c>
      <c r="O151" s="14">
        <f>N151*VLOOKUP('Données projet'!$B$9,Paramètres!$A$1:$I$89,3,0)*VLOOKUP('Données projet'!$B$9,Paramètres!$A$1:$I$89,5,0)</f>
        <v>-1.0197709343628959E-13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150.6643110947133</v>
      </c>
      <c r="T151" s="62">
        <f t="shared" si="142"/>
        <v>231.70571415193996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10.764069748097207</v>
      </c>
      <c r="AA151" s="23">
        <f>EXP(-LN(2)/25)*AA150+(1-EXP(-LN(2)/25))/(LN(2)/25)*Calculateur!V151*Calculateur!X151*VLOOKUP('Données projet'!$B$9,Paramètres!$A$1:$I$89,3,0)*0.475*44/12</f>
        <v>2.4279050829486843</v>
      </c>
      <c r="AB151" s="23">
        <f>EXP(-LN(2)/2)*AB150+(1-EXP(-LN(2)/2))/(LN(2)/2)*V151*Y151*VLOOKUP('Données projet'!$B$9,Paramètres!$A$1:$I$89,3,0)*0.475*44/12</f>
        <v>3.577413313118434E-14</v>
      </c>
      <c r="AC151" s="24">
        <f t="shared" si="111"/>
        <v>13.191974831045925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1.9895196601282805E-13</v>
      </c>
      <c r="AJ151" s="14">
        <f>AI151*VLOOKUP('Données projet'!$B$10,Paramètres!$A$1:$I$89,3,0)*VLOOKUP('Données projet'!$B$10,Paramètres!$A$1:$I$89,5,0)</f>
        <v>1.8001173884840681E-13</v>
      </c>
      <c r="AK151" s="14">
        <f t="shared" si="143"/>
        <v>2.5254331426407198E-12</v>
      </c>
      <c r="AL151" s="22">
        <f t="shared" si="112"/>
        <v>4.7119831685935622E-12</v>
      </c>
      <c r="AM151" s="62">
        <f t="shared" si="113"/>
        <v>293.33333333333803</v>
      </c>
      <c r="AN151" s="62">
        <f ca="1">AVERAGE(OFFSET($AM$3,0,0,'Données projet'!$E$10+1,1))-AVERAGE(OFFSET($H$3,0,0,'Données projet'!$E$10+1,1))</f>
        <v>249.70045432150511</v>
      </c>
      <c r="AO151" s="62">
        <f t="shared" si="144"/>
        <v>348.75012088192597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9.9016599333213353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6.794148662357994E-15</v>
      </c>
      <c r="AX151" s="23">
        <f t="shared" si="114"/>
        <v>9.9016599333213424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-1.7053025658242404E-13</v>
      </c>
      <c r="O152" s="14">
        <f>N152*VLOOKUP('Données projet'!$B$9,Paramètres!$A$1:$I$89,3,0)*VLOOKUP('Données projet'!$B$9,Paramètres!$A$1:$I$89,5,0)</f>
        <v>-1.0197709343628959E-13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150.6643110947133</v>
      </c>
      <c r="T152" s="62">
        <f t="shared" si="142"/>
        <v>231.70571415193996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10.552992905771283</v>
      </c>
      <c r="AA152" s="23">
        <f>EXP(-LN(2)/25)*AA151+(1-EXP(-LN(2)/25))/(LN(2)/25)*Calculateur!V152*Calculateur!X152*VLOOKUP('Données projet'!$B$9,Paramètres!$A$1:$I$89,3,0)*0.475*44/12</f>
        <v>2.3615138907774731</v>
      </c>
      <c r="AB152" s="23">
        <f>EXP(-LN(2)/2)*AB151+(1-EXP(-LN(2)/2))/(LN(2)/2)*V152*Y152*VLOOKUP('Données projet'!$B$9,Paramètres!$A$1:$I$89,3,0)*0.475*44/12</f>
        <v>2.5296132128130785E-14</v>
      </c>
      <c r="AC152" s="24">
        <f t="shared" si="111"/>
        <v>12.914506796548782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1.9895196601282805E-13</v>
      </c>
      <c r="AJ152" s="14">
        <f>AI152*VLOOKUP('Données projet'!$B$10,Paramètres!$A$1:$I$89,3,0)*VLOOKUP('Données projet'!$B$10,Paramètres!$A$1:$I$89,5,0)</f>
        <v>1.8001173884840681E-13</v>
      </c>
      <c r="AK152" s="14">
        <f t="shared" si="143"/>
        <v>2.5254331426407198E-12</v>
      </c>
      <c r="AL152" s="22">
        <f t="shared" si="112"/>
        <v>4.7119831685935622E-12</v>
      </c>
      <c r="AM152" s="62">
        <f t="shared" si="113"/>
        <v>293.33333333333803</v>
      </c>
      <c r="AN152" s="62">
        <f ca="1">AVERAGE(OFFSET($AM$3,0,0,'Données projet'!$E$10+1,1))-AVERAGE(OFFSET($H$3,0,0,'Données projet'!$E$10+1,1))</f>
        <v>249.70045432150511</v>
      </c>
      <c r="AO152" s="62">
        <f t="shared" si="144"/>
        <v>348.75012088192597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9.7074944214451211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4.8041885915428486E-15</v>
      </c>
      <c r="AX152" s="23">
        <f t="shared" si="114"/>
        <v>9.7074944214451264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-1.7053025658242404E-13</v>
      </c>
      <c r="O153" s="14">
        <f>N153*VLOOKUP('Données projet'!$B$9,Paramètres!$A$1:$I$89,3,0)*VLOOKUP('Données projet'!$B$9,Paramètres!$A$1:$I$89,5,0)</f>
        <v>-1.0197709343628959E-13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150.6643110947133</v>
      </c>
      <c r="T153" s="62">
        <f t="shared" si="142"/>
        <v>231.70571415193996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10.346055151579211</v>
      </c>
      <c r="AA153" s="23">
        <f>EXP(-LN(2)/25)*AA152+(1-EXP(-LN(2)/25))/(LN(2)/25)*Calculateur!V153*Calculateur!X153*VLOOKUP('Données projet'!$B$9,Paramètres!$A$1:$I$89,3,0)*0.475*44/12</f>
        <v>2.2969381692475448</v>
      </c>
      <c r="AB153" s="23">
        <f>EXP(-LN(2)/2)*AB152+(1-EXP(-LN(2)/2))/(LN(2)/2)*V153*Y153*VLOOKUP('Données projet'!$B$9,Paramètres!$A$1:$I$89,3,0)*0.475*44/12</f>
        <v>1.788706656559217E-14</v>
      </c>
      <c r="AC153" s="24">
        <f t="shared" si="111"/>
        <v>12.642993320826774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1.9895196601282805E-13</v>
      </c>
      <c r="AJ153" s="14">
        <f>AI153*VLOOKUP('Données projet'!$B$10,Paramètres!$A$1:$I$89,3,0)*VLOOKUP('Données projet'!$B$10,Paramètres!$A$1:$I$89,5,0)</f>
        <v>1.8001173884840681E-13</v>
      </c>
      <c r="AK153" s="14">
        <f t="shared" si="143"/>
        <v>2.5254331426407198E-12</v>
      </c>
      <c r="AL153" s="22">
        <f t="shared" si="112"/>
        <v>4.7119831685935622E-12</v>
      </c>
      <c r="AM153" s="62">
        <f t="shared" si="113"/>
        <v>293.33333333333803</v>
      </c>
      <c r="AN153" s="62">
        <f ca="1">AVERAGE(OFFSET($AM$3,0,0,'Données projet'!$E$10+1,1))-AVERAGE(OFFSET($H$3,0,0,'Données projet'!$E$10+1,1))</f>
        <v>249.70045432150511</v>
      </c>
      <c r="AO153" s="62">
        <f t="shared" si="144"/>
        <v>348.75012088192597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9.5171363768275299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3.397074331178997E-15</v>
      </c>
      <c r="AX153" s="23">
        <f t="shared" si="114"/>
        <v>9.5171363768275334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-1.7053025658242404E-13</v>
      </c>
      <c r="O154" s="14">
        <f>N154*VLOOKUP('Données projet'!$B$9,Paramètres!$A$1:$I$89,3,0)*VLOOKUP('Données projet'!$B$9,Paramètres!$A$1:$I$89,5,0)</f>
        <v>-1.0197709343628959E-13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150.6643110947133</v>
      </c>
      <c r="T154" s="62">
        <f t="shared" si="142"/>
        <v>231.70571415193996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10.143175320527279</v>
      </c>
      <c r="AA154" s="23">
        <f>EXP(-LN(2)/25)*AA153+(1-EXP(-LN(2)/25))/(LN(2)/25)*Calculateur!V154*Calculateur!X154*VLOOKUP('Données projet'!$B$9,Paramètres!$A$1:$I$89,3,0)*0.475*44/12</f>
        <v>2.234128274218742</v>
      </c>
      <c r="AB154" s="23">
        <f>EXP(-LN(2)/2)*AB153+(1-EXP(-LN(2)/2))/(LN(2)/2)*V154*Y154*VLOOKUP('Données projet'!$B$9,Paramètres!$A$1:$I$89,3,0)*0.475*44/12</f>
        <v>1.2648066064065393E-14</v>
      </c>
      <c r="AC154" s="24">
        <f t="shared" ref="AC154:AC203" si="163">SUM(Z154:AB154)</f>
        <v>12.377303594746033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1.9895196601282805E-13</v>
      </c>
      <c r="AJ154" s="14">
        <f>AI154*VLOOKUP('Données projet'!$B$10,Paramètres!$A$1:$I$89,3,0)*VLOOKUP('Données projet'!$B$10,Paramètres!$A$1:$I$89,5,0)</f>
        <v>1.8001173884840681E-13</v>
      </c>
      <c r="AK154" s="14">
        <f t="shared" ref="AK154:AK203" si="164">EXP(-1.0587+0.8836*LN(AJ154)+0.284)</f>
        <v>2.5254331426407198E-12</v>
      </c>
      <c r="AL154" s="22">
        <f t="shared" ref="AL154:AL203" si="165">(AJ154+AK154)*0.475*44/12</f>
        <v>4.7119831685935622E-12</v>
      </c>
      <c r="AM154" s="62">
        <f t="shared" si="113"/>
        <v>293.33333333333803</v>
      </c>
      <c r="AN154" s="62">
        <f ca="1">AVERAGE(OFFSET($AM$3,0,0,'Données projet'!$E$10+1,1))-AVERAGE(OFFSET($H$3,0,0,'Données projet'!$E$10+1,1))</f>
        <v>249.70045432150511</v>
      </c>
      <c r="AO154" s="62">
        <f t="shared" si="144"/>
        <v>348.75012088192597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9.3305111373579468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2.4020942957714243E-15</v>
      </c>
      <c r="AX154" s="23">
        <f t="shared" ref="AX154:AX203" si="166">SUM(AU154:AW154)</f>
        <v>9.3305111373579486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-1.7053025658242404E-13</v>
      </c>
      <c r="O155" s="14">
        <f>N155*VLOOKUP('Données projet'!$B$9,Paramètres!$A$1:$I$89,3,0)*VLOOKUP('Données projet'!$B$9,Paramètres!$A$1:$I$89,5,0)</f>
        <v>-1.0197709343628959E-13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150.6643110947133</v>
      </c>
      <c r="T155" s="62">
        <f t="shared" si="142"/>
        <v>231.70571415193996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9.9442738392177965</v>
      </c>
      <c r="AA155" s="23">
        <f>EXP(-LN(2)/25)*AA154+(1-EXP(-LN(2)/25))/(LN(2)/25)*Calculateur!V155*Calculateur!X155*VLOOKUP('Données projet'!$B$9,Paramètres!$A$1:$I$89,3,0)*0.475*44/12</f>
        <v>2.1730359190725306</v>
      </c>
      <c r="AB155" s="23">
        <f>EXP(-LN(2)/2)*AB154+(1-EXP(-LN(2)/2))/(LN(2)/2)*V155*Y155*VLOOKUP('Données projet'!$B$9,Paramètres!$A$1:$I$89,3,0)*0.475*44/12</f>
        <v>8.9435332827960849E-15</v>
      </c>
      <c r="AC155" s="24">
        <f t="shared" si="163"/>
        <v>12.117309758290336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1.9895196601282805E-13</v>
      </c>
      <c r="AJ155" s="14">
        <f>AI155*VLOOKUP('Données projet'!$B$10,Paramètres!$A$1:$I$89,3,0)*VLOOKUP('Données projet'!$B$10,Paramètres!$A$1:$I$89,5,0)</f>
        <v>1.8001173884840681E-13</v>
      </c>
      <c r="AK155" s="14">
        <f t="shared" si="164"/>
        <v>2.5254331426407198E-12</v>
      </c>
      <c r="AL155" s="22">
        <f t="shared" si="165"/>
        <v>4.7119831685935622E-12</v>
      </c>
      <c r="AM155" s="62">
        <f t="shared" si="113"/>
        <v>293.33333333333803</v>
      </c>
      <c r="AN155" s="62">
        <f ca="1">AVERAGE(OFFSET($AM$3,0,0,'Données projet'!$E$10+1,1))-AVERAGE(OFFSET($H$3,0,0,'Données projet'!$E$10+1,1))</f>
        <v>249.70045432150511</v>
      </c>
      <c r="AO155" s="62">
        <f t="shared" si="144"/>
        <v>348.75012088192597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9.1475455050042065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1.6985371655894985E-15</v>
      </c>
      <c r="AX155" s="23">
        <f t="shared" si="166"/>
        <v>9.1475455050042083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-1.7053025658242404E-13</v>
      </c>
      <c r="O156" s="14">
        <f>N156*VLOOKUP('Données projet'!$B$9,Paramètres!$A$1:$I$89,3,0)*VLOOKUP('Données projet'!$B$9,Paramètres!$A$1:$I$89,5,0)</f>
        <v>-1.0197709343628959E-13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150.6643110947133</v>
      </c>
      <c r="T156" s="62">
        <f t="shared" si="142"/>
        <v>231.70571415193996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9.7492726946388686</v>
      </c>
      <c r="AA156" s="23">
        <f>EXP(-LN(2)/25)*AA155+(1-EXP(-LN(2)/25))/(LN(2)/25)*Calculateur!V156*Calculateur!X156*VLOOKUP('Données projet'!$B$9,Paramètres!$A$1:$I$89,3,0)*0.475*44/12</f>
        <v>2.1136141375905</v>
      </c>
      <c r="AB156" s="23">
        <f>EXP(-LN(2)/2)*AB155+(1-EXP(-LN(2)/2))/(LN(2)/2)*V156*Y156*VLOOKUP('Données projet'!$B$9,Paramètres!$A$1:$I$89,3,0)*0.475*44/12</f>
        <v>6.3240330320326963E-15</v>
      </c>
      <c r="AC156" s="24">
        <f t="shared" si="163"/>
        <v>11.862886832229375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1.9895196601282805E-13</v>
      </c>
      <c r="AJ156" s="14">
        <f>AI156*VLOOKUP('Données projet'!$B$10,Paramètres!$A$1:$I$89,3,0)*VLOOKUP('Données projet'!$B$10,Paramètres!$A$1:$I$89,5,0)</f>
        <v>1.8001173884840681E-13</v>
      </c>
      <c r="AK156" s="14">
        <f t="shared" si="164"/>
        <v>2.5254331426407198E-12</v>
      </c>
      <c r="AL156" s="22">
        <f t="shared" si="165"/>
        <v>4.7119831685935622E-12</v>
      </c>
      <c r="AM156" s="62">
        <f t="shared" si="113"/>
        <v>293.33333333333803</v>
      </c>
      <c r="AN156" s="62">
        <f ca="1">AVERAGE(OFFSET($AM$3,0,0,'Données projet'!$E$10+1,1))-AVERAGE(OFFSET($H$3,0,0,'Données projet'!$E$10+1,1))</f>
        <v>249.70045432150511</v>
      </c>
      <c r="AO156" s="62">
        <f t="shared" si="144"/>
        <v>348.75012088192597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8.9681677171029062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1.2010471478857121E-15</v>
      </c>
      <c r="AX156" s="23">
        <f t="shared" si="166"/>
        <v>8.9681677171029079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-1.7053025658242404E-13</v>
      </c>
      <c r="O157" s="14">
        <f>N157*VLOOKUP('Données projet'!$B$9,Paramètres!$A$1:$I$89,3,0)*VLOOKUP('Données projet'!$B$9,Paramètres!$A$1:$I$89,5,0)</f>
        <v>-1.0197709343628959E-13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150.6643110947133</v>
      </c>
      <c r="T157" s="62">
        <f t="shared" si="142"/>
        <v>231.70571415193996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9.5580954035661794</v>
      </c>
      <c r="AA157" s="23">
        <f>EXP(-LN(2)/25)*AA156+(1-EXP(-LN(2)/25))/(LN(2)/25)*Calculateur!V157*Calculateur!X157*VLOOKUP('Données projet'!$B$9,Paramètres!$A$1:$I$89,3,0)*0.475*44/12</f>
        <v>2.0558172478479508</v>
      </c>
      <c r="AB157" s="23">
        <f>EXP(-LN(2)/2)*AB156+(1-EXP(-LN(2)/2))/(LN(2)/2)*V157*Y157*VLOOKUP('Données projet'!$B$9,Paramètres!$A$1:$I$89,3,0)*0.475*44/12</f>
        <v>4.4717666413980425E-15</v>
      </c>
      <c r="AC157" s="24">
        <f t="shared" si="163"/>
        <v>11.613912651414136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1.9895196601282805E-13</v>
      </c>
      <c r="AJ157" s="14">
        <f>AI157*VLOOKUP('Données projet'!$B$10,Paramètres!$A$1:$I$89,3,0)*VLOOKUP('Données projet'!$B$10,Paramètres!$A$1:$I$89,5,0)</f>
        <v>1.8001173884840681E-13</v>
      </c>
      <c r="AK157" s="14">
        <f t="shared" si="164"/>
        <v>2.5254331426407198E-12</v>
      </c>
      <c r="AL157" s="22">
        <f t="shared" si="165"/>
        <v>4.7119831685935622E-12</v>
      </c>
      <c r="AM157" s="62">
        <f t="shared" si="113"/>
        <v>293.33333333333803</v>
      </c>
      <c r="AN157" s="62">
        <f ca="1">AVERAGE(OFFSET($AM$3,0,0,'Données projet'!$E$10+1,1))-AVERAGE(OFFSET($H$3,0,0,'Données projet'!$E$10+1,1))</f>
        <v>249.70045432150511</v>
      </c>
      <c r="AO157" s="62">
        <f t="shared" si="144"/>
        <v>348.75012088192597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8.7923074182127046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8.4926858279474925E-16</v>
      </c>
      <c r="AX157" s="23">
        <f t="shared" si="166"/>
        <v>8.7923074182127046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-1.7053025658242404E-13</v>
      </c>
      <c r="O158" s="14">
        <f>N158*VLOOKUP('Données projet'!$B$9,Paramètres!$A$1:$I$89,3,0)*VLOOKUP('Données projet'!$B$9,Paramètres!$A$1:$I$89,5,0)</f>
        <v>-1.0197709343628959E-13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150.6643110947133</v>
      </c>
      <c r="T158" s="62">
        <f t="shared" si="142"/>
        <v>231.70571415193996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9.3706669825647921</v>
      </c>
      <c r="AA158" s="23">
        <f>EXP(-LN(2)/25)*AA157+(1-EXP(-LN(2)/25))/(LN(2)/25)*Calculateur!V158*Calculateur!X158*VLOOKUP('Données projet'!$B$9,Paramètres!$A$1:$I$89,3,0)*0.475*44/12</f>
        <v>1.9996008170948183</v>
      </c>
      <c r="AB158" s="23">
        <f>EXP(-LN(2)/2)*AB157+(1-EXP(-LN(2)/2))/(LN(2)/2)*V158*Y158*VLOOKUP('Données projet'!$B$9,Paramètres!$A$1:$I$89,3,0)*0.475*44/12</f>
        <v>3.1620165160163482E-15</v>
      </c>
      <c r="AC158" s="24">
        <f t="shared" si="163"/>
        <v>11.370267799659613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1.9895196601282805E-13</v>
      </c>
      <c r="AJ158" s="14">
        <f>AI158*VLOOKUP('Données projet'!$B$10,Paramètres!$A$1:$I$89,3,0)*VLOOKUP('Données projet'!$B$10,Paramètres!$A$1:$I$89,5,0)</f>
        <v>1.8001173884840681E-13</v>
      </c>
      <c r="AK158" s="14">
        <f t="shared" si="164"/>
        <v>2.5254331426407198E-12</v>
      </c>
      <c r="AL158" s="22">
        <f t="shared" si="165"/>
        <v>4.7119831685935622E-12</v>
      </c>
      <c r="AM158" s="62">
        <f t="shared" si="113"/>
        <v>293.33333333333803</v>
      </c>
      <c r="AN158" s="62">
        <f ca="1">AVERAGE(OFFSET($AM$3,0,0,'Données projet'!$E$10+1,1))-AVERAGE(OFFSET($H$3,0,0,'Données projet'!$E$10+1,1))</f>
        <v>249.70045432150511</v>
      </c>
      <c r="AO158" s="62">
        <f t="shared" si="144"/>
        <v>348.75012088192597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8.6198956325195475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6.0052357394285607E-16</v>
      </c>
      <c r="AX158" s="23">
        <f t="shared" si="166"/>
        <v>8.6198956325195475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-1.7053025658242404E-13</v>
      </c>
      <c r="O159" s="14">
        <f>N159*VLOOKUP('Données projet'!$B$9,Paramètres!$A$1:$I$89,3,0)*VLOOKUP('Données projet'!$B$9,Paramètres!$A$1:$I$89,5,0)</f>
        <v>-1.0197709343628959E-13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150.6643110947133</v>
      </c>
      <c r="T159" s="62">
        <f t="shared" si="142"/>
        <v>231.70571415193996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9.1869139185791937</v>
      </c>
      <c r="AA159" s="23">
        <f>EXP(-LN(2)/25)*AA158+(1-EXP(-LN(2)/25))/(LN(2)/25)*Calculateur!V159*Calculateur!X159*VLOOKUP('Données projet'!$B$9,Paramètres!$A$1:$I$89,3,0)*0.475*44/12</f>
        <v>1.9449216275969237</v>
      </c>
      <c r="AB159" s="23">
        <f>EXP(-LN(2)/2)*AB158+(1-EXP(-LN(2)/2))/(LN(2)/2)*V159*Y159*VLOOKUP('Données projet'!$B$9,Paramètres!$A$1:$I$89,3,0)*0.475*44/12</f>
        <v>2.2358833206990212E-15</v>
      </c>
      <c r="AC159" s="24">
        <f t="shared" si="163"/>
        <v>11.131835546176118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1.9895196601282805E-13</v>
      </c>
      <c r="AJ159" s="14">
        <f>AI159*VLOOKUP('Données projet'!$B$10,Paramètres!$A$1:$I$89,3,0)*VLOOKUP('Données projet'!$B$10,Paramètres!$A$1:$I$89,5,0)</f>
        <v>1.8001173884840681E-13</v>
      </c>
      <c r="AK159" s="14">
        <f t="shared" si="164"/>
        <v>2.5254331426407198E-12</v>
      </c>
      <c r="AL159" s="22">
        <f t="shared" si="165"/>
        <v>4.7119831685935622E-12</v>
      </c>
      <c r="AM159" s="62">
        <f t="shared" si="113"/>
        <v>293.33333333333803</v>
      </c>
      <c r="AN159" s="62">
        <f ca="1">AVERAGE(OFFSET($AM$3,0,0,'Données projet'!$E$10+1,1))-AVERAGE(OFFSET($H$3,0,0,'Données projet'!$E$10+1,1))</f>
        <v>249.70045432150511</v>
      </c>
      <c r="AO159" s="62">
        <f t="shared" si="144"/>
        <v>348.75012088192597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8.4508647367830285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4.2463429139737463E-16</v>
      </c>
      <c r="AX159" s="23">
        <f t="shared" si="166"/>
        <v>8.4508647367830285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-1.7053025658242404E-13</v>
      </c>
      <c r="O160" s="14">
        <f>N160*VLOOKUP('Données projet'!$B$9,Paramètres!$A$1:$I$89,3,0)*VLOOKUP('Données projet'!$B$9,Paramètres!$A$1:$I$89,5,0)</f>
        <v>-1.0197709343628959E-13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150.6643110947133</v>
      </c>
      <c r="T160" s="62">
        <f t="shared" si="142"/>
        <v>231.70571415193996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9.0067641401000493</v>
      </c>
      <c r="AA160" s="23">
        <f>EXP(-LN(2)/25)*AA159+(1-EXP(-LN(2)/25))/(LN(2)/25)*Calculateur!V160*Calculateur!X160*VLOOKUP('Données projet'!$B$9,Paramètres!$A$1:$I$89,3,0)*0.475*44/12</f>
        <v>1.8917376434113025</v>
      </c>
      <c r="AB160" s="23">
        <f>EXP(-LN(2)/2)*AB159+(1-EXP(-LN(2)/2))/(LN(2)/2)*V160*Y160*VLOOKUP('Données projet'!$B$9,Paramètres!$A$1:$I$89,3,0)*0.475*44/12</f>
        <v>1.5810082580081741E-15</v>
      </c>
      <c r="AC160" s="24">
        <f t="shared" si="163"/>
        <v>10.898501783511353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1.9895196601282805E-13</v>
      </c>
      <c r="AJ160" s="14">
        <f>AI160*VLOOKUP('Données projet'!$B$10,Paramètres!$A$1:$I$89,3,0)*VLOOKUP('Données projet'!$B$10,Paramètres!$A$1:$I$89,5,0)</f>
        <v>1.8001173884840681E-13</v>
      </c>
      <c r="AK160" s="14">
        <f t="shared" si="164"/>
        <v>2.5254331426407198E-12</v>
      </c>
      <c r="AL160" s="22">
        <f t="shared" si="165"/>
        <v>4.7119831685935622E-12</v>
      </c>
      <c r="AM160" s="62">
        <f t="shared" si="113"/>
        <v>293.33333333333803</v>
      </c>
      <c r="AN160" s="62">
        <f ca="1">AVERAGE(OFFSET($AM$3,0,0,'Données projet'!$E$10+1,1))-AVERAGE(OFFSET($H$3,0,0,'Données projet'!$E$10+1,1))</f>
        <v>249.70045432150511</v>
      </c>
      <c r="AO160" s="62">
        <f t="shared" si="144"/>
        <v>348.75012088192597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8.2851484338132355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3.0026178697142804E-16</v>
      </c>
      <c r="AX160" s="23">
        <f t="shared" si="166"/>
        <v>8.2851484338132355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-1.7053025658242404E-13</v>
      </c>
      <c r="O161" s="14">
        <f>N161*VLOOKUP('Données projet'!$B$9,Paramètres!$A$1:$I$89,3,0)*VLOOKUP('Données projet'!$B$9,Paramètres!$A$1:$I$89,5,0)</f>
        <v>-1.0197709343628959E-13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150.6643110947133</v>
      </c>
      <c r="T161" s="62">
        <f t="shared" si="142"/>
        <v>231.70571415193996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8.8301469888963666</v>
      </c>
      <c r="AA161" s="23">
        <f>EXP(-LN(2)/25)*AA160+(1-EXP(-LN(2)/25))/(LN(2)/25)*Calculateur!V161*Calculateur!X161*VLOOKUP('Données projet'!$B$9,Paramètres!$A$1:$I$89,3,0)*0.475*44/12</f>
        <v>1.8400079780700613</v>
      </c>
      <c r="AB161" s="23">
        <f>EXP(-LN(2)/2)*AB160+(1-EXP(-LN(2)/2))/(LN(2)/2)*V161*Y161*VLOOKUP('Données projet'!$B$9,Paramètres!$A$1:$I$89,3,0)*0.475*44/12</f>
        <v>1.1179416603495106E-15</v>
      </c>
      <c r="AC161" s="24">
        <f t="shared" si="163"/>
        <v>10.670154966966431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1.9895196601282805E-13</v>
      </c>
      <c r="AJ161" s="14">
        <f>AI161*VLOOKUP('Données projet'!$B$10,Paramètres!$A$1:$I$89,3,0)*VLOOKUP('Données projet'!$B$10,Paramètres!$A$1:$I$89,5,0)</f>
        <v>1.8001173884840681E-13</v>
      </c>
      <c r="AK161" s="14">
        <f t="shared" si="164"/>
        <v>2.5254331426407198E-12</v>
      </c>
      <c r="AL161" s="22">
        <f t="shared" si="165"/>
        <v>4.7119831685935622E-12</v>
      </c>
      <c r="AM161" s="62">
        <f t="shared" si="113"/>
        <v>293.33333333333803</v>
      </c>
      <c r="AN161" s="62">
        <f ca="1">AVERAGE(OFFSET($AM$3,0,0,'Données projet'!$E$10+1,1))-AVERAGE(OFFSET($H$3,0,0,'Données projet'!$E$10+1,1))</f>
        <v>249.70045432150511</v>
      </c>
      <c r="AO161" s="62">
        <f t="shared" si="144"/>
        <v>348.75012088192597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8.1226817264677162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2.1231714569868731E-16</v>
      </c>
      <c r="AX161" s="23">
        <f t="shared" si="166"/>
        <v>8.1226817264677162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-1.7053025658242404E-13</v>
      </c>
      <c r="O162" s="14">
        <f>N162*VLOOKUP('Données projet'!$B$9,Paramètres!$A$1:$I$89,3,0)*VLOOKUP('Données projet'!$B$9,Paramètres!$A$1:$I$89,5,0)</f>
        <v>-1.0197709343628959E-13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150.6643110947133</v>
      </c>
      <c r="T162" s="62">
        <f t="shared" si="142"/>
        <v>231.70571415193996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8.6569931923019627</v>
      </c>
      <c r="AA162" s="23">
        <f>EXP(-LN(2)/25)*AA161+(1-EXP(-LN(2)/25))/(LN(2)/25)*Calculateur!V162*Calculateur!X162*VLOOKUP('Données projet'!$B$9,Paramètres!$A$1:$I$89,3,0)*0.475*44/12</f>
        <v>1.7896928631479214</v>
      </c>
      <c r="AB162" s="23">
        <f>EXP(-LN(2)/2)*AB161+(1-EXP(-LN(2)/2))/(LN(2)/2)*V162*Y162*VLOOKUP('Données projet'!$B$9,Paramètres!$A$1:$I$89,3,0)*0.475*44/12</f>
        <v>7.9050412900408704E-16</v>
      </c>
      <c r="AC162" s="24">
        <f t="shared" si="163"/>
        <v>10.446686055449884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1.9895196601282805E-13</v>
      </c>
      <c r="AJ162" s="14">
        <f>AI162*VLOOKUP('Données projet'!$B$10,Paramètres!$A$1:$I$89,3,0)*VLOOKUP('Données projet'!$B$10,Paramètres!$A$1:$I$89,5,0)</f>
        <v>1.8001173884840681E-13</v>
      </c>
      <c r="AK162" s="14">
        <f t="shared" si="164"/>
        <v>2.5254331426407198E-12</v>
      </c>
      <c r="AL162" s="22">
        <f t="shared" si="165"/>
        <v>4.7119831685935622E-12</v>
      </c>
      <c r="AM162" s="62">
        <f t="shared" si="113"/>
        <v>293.33333333333803</v>
      </c>
      <c r="AN162" s="62">
        <f ca="1">AVERAGE(OFFSET($AM$3,0,0,'Données projet'!$E$10+1,1))-AVERAGE(OFFSET($H$3,0,0,'Données projet'!$E$10+1,1))</f>
        <v>249.70045432150511</v>
      </c>
      <c r="AO162" s="62">
        <f t="shared" si="144"/>
        <v>348.75012088192597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7.9634008921583366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1.5013089348571402E-16</v>
      </c>
      <c r="AX162" s="23">
        <f t="shared" si="166"/>
        <v>7.9634008921583366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-1.7053025658242404E-13</v>
      </c>
      <c r="O163" s="14">
        <f>N163*VLOOKUP('Données projet'!$B$9,Paramètres!$A$1:$I$89,3,0)*VLOOKUP('Données projet'!$B$9,Paramètres!$A$1:$I$89,5,0)</f>
        <v>-1.0197709343628959E-13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150.6643110947133</v>
      </c>
      <c r="T163" s="62">
        <f t="shared" si="142"/>
        <v>231.70571415193996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8.4872348360453884</v>
      </c>
      <c r="AA163" s="23">
        <f>EXP(-LN(2)/25)*AA162+(1-EXP(-LN(2)/25))/(LN(2)/25)*Calculateur!V163*Calculateur!X163*VLOOKUP('Données projet'!$B$9,Paramètres!$A$1:$I$89,3,0)*0.475*44/12</f>
        <v>1.7407536176892842</v>
      </c>
      <c r="AB163" s="23">
        <f>EXP(-LN(2)/2)*AB162+(1-EXP(-LN(2)/2))/(LN(2)/2)*V163*Y163*VLOOKUP('Données projet'!$B$9,Paramètres!$A$1:$I$89,3,0)*0.475*44/12</f>
        <v>5.5897083017475531E-16</v>
      </c>
      <c r="AC163" s="24">
        <f t="shared" si="163"/>
        <v>10.227988453734673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1.9895196601282805E-13</v>
      </c>
      <c r="AJ163" s="14">
        <f>AI163*VLOOKUP('Données projet'!$B$10,Paramètres!$A$1:$I$89,3,0)*VLOOKUP('Données projet'!$B$10,Paramètres!$A$1:$I$89,5,0)</f>
        <v>1.8001173884840681E-13</v>
      </c>
      <c r="AK163" s="14">
        <f t="shared" si="164"/>
        <v>2.5254331426407198E-12</v>
      </c>
      <c r="AL163" s="22">
        <f t="shared" si="165"/>
        <v>4.7119831685935622E-12</v>
      </c>
      <c r="AM163" s="62">
        <f t="shared" si="113"/>
        <v>293.33333333333803</v>
      </c>
      <c r="AN163" s="62">
        <f ca="1">AVERAGE(OFFSET($AM$3,0,0,'Données projet'!$E$10+1,1))-AVERAGE(OFFSET($H$3,0,0,'Données projet'!$E$10+1,1))</f>
        <v>249.70045432150511</v>
      </c>
      <c r="AO163" s="62">
        <f t="shared" si="144"/>
        <v>348.75012088192597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7.8072434578580481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1.0615857284934366E-16</v>
      </c>
      <c r="AX163" s="23">
        <f t="shared" si="166"/>
        <v>7.8072434578580481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-1.7053025658242404E-13</v>
      </c>
      <c r="O164" s="14">
        <f>N164*VLOOKUP('Données projet'!$B$9,Paramètres!$A$1:$I$89,3,0)*VLOOKUP('Données projet'!$B$9,Paramètres!$A$1:$I$89,5,0)</f>
        <v>-1.0197709343628959E-13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150.6643110947133</v>
      </c>
      <c r="T164" s="62">
        <f t="shared" si="142"/>
        <v>231.70571415193996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8.3208053376126312</v>
      </c>
      <c r="AA164" s="23">
        <f>EXP(-LN(2)/25)*AA163+(1-EXP(-LN(2)/25))/(LN(2)/25)*Calculateur!V164*Calculateur!X164*VLOOKUP('Données projet'!$B$9,Paramètres!$A$1:$I$89,3,0)*0.475*44/12</f>
        <v>1.6931526184713164</v>
      </c>
      <c r="AB164" s="23">
        <f>EXP(-LN(2)/2)*AB163+(1-EXP(-LN(2)/2))/(LN(2)/2)*V164*Y164*VLOOKUP('Données projet'!$B$9,Paramètres!$A$1:$I$89,3,0)*0.475*44/12</f>
        <v>3.9525206450204352E-16</v>
      </c>
      <c r="AC164" s="24">
        <f t="shared" si="163"/>
        <v>10.013957956083948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1.9895196601282805E-13</v>
      </c>
      <c r="AJ164" s="14">
        <f>AI164*VLOOKUP('Données projet'!$B$10,Paramètres!$A$1:$I$89,3,0)*VLOOKUP('Données projet'!$B$10,Paramètres!$A$1:$I$89,5,0)</f>
        <v>1.8001173884840681E-13</v>
      </c>
      <c r="AK164" s="14">
        <f t="shared" si="164"/>
        <v>2.5254331426407198E-12</v>
      </c>
      <c r="AL164" s="22">
        <f t="shared" si="165"/>
        <v>4.7119831685935622E-12</v>
      </c>
      <c r="AM164" s="62">
        <f t="shared" si="113"/>
        <v>293.33333333333803</v>
      </c>
      <c r="AN164" s="62">
        <f ca="1">AVERAGE(OFFSET($AM$3,0,0,'Données projet'!$E$10+1,1))-AVERAGE(OFFSET($H$3,0,0,'Données projet'!$E$10+1,1))</f>
        <v>249.70045432150511</v>
      </c>
      <c r="AO164" s="62">
        <f t="shared" si="144"/>
        <v>348.75012088192597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7.6541481755977578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7.5065446742857009E-17</v>
      </c>
      <c r="AX164" s="23">
        <f t="shared" si="166"/>
        <v>7.6541481755977578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-1.7053025658242404E-13</v>
      </c>
      <c r="O165" s="14">
        <f>N165*VLOOKUP('Données projet'!$B$9,Paramètres!$A$1:$I$89,3,0)*VLOOKUP('Données projet'!$B$9,Paramètres!$A$1:$I$89,5,0)</f>
        <v>-1.0197709343628959E-13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150.6643110947133</v>
      </c>
      <c r="T165" s="62">
        <f t="shared" si="142"/>
        <v>231.70571415193996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8.1576394201321705</v>
      </c>
      <c r="AA165" s="23">
        <f>EXP(-LN(2)/25)*AA164+(1-EXP(-LN(2)/25))/(LN(2)/25)*Calculateur!V165*Calculateur!X165*VLOOKUP('Données projet'!$B$9,Paramètres!$A$1:$I$89,3,0)*0.475*44/12</f>
        <v>1.6468532710801917</v>
      </c>
      <c r="AB165" s="23">
        <f>EXP(-LN(2)/2)*AB164+(1-EXP(-LN(2)/2))/(LN(2)/2)*V165*Y165*VLOOKUP('Données projet'!$B$9,Paramètres!$A$1:$I$89,3,0)*0.475*44/12</f>
        <v>2.7948541508737765E-16</v>
      </c>
      <c r="AC165" s="24">
        <f t="shared" si="163"/>
        <v>9.8044926912123618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1.9895196601282805E-13</v>
      </c>
      <c r="AJ165" s="14">
        <f>AI165*VLOOKUP('Données projet'!$B$10,Paramètres!$A$1:$I$89,3,0)*VLOOKUP('Données projet'!$B$10,Paramètres!$A$1:$I$89,5,0)</f>
        <v>1.8001173884840681E-13</v>
      </c>
      <c r="AK165" s="14">
        <f t="shared" si="164"/>
        <v>2.5254331426407198E-12</v>
      </c>
      <c r="AL165" s="22">
        <f t="shared" si="165"/>
        <v>4.7119831685935622E-12</v>
      </c>
      <c r="AM165" s="62">
        <f t="shared" si="113"/>
        <v>293.33333333333803</v>
      </c>
      <c r="AN165" s="62">
        <f ca="1">AVERAGE(OFFSET($AM$3,0,0,'Données projet'!$E$10+1,1))-AVERAGE(OFFSET($H$3,0,0,'Données projet'!$E$10+1,1))</f>
        <v>249.70045432150511</v>
      </c>
      <c r="AO165" s="62">
        <f t="shared" si="144"/>
        <v>348.75012088192597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7.5040549984436904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5.3079286424671828E-17</v>
      </c>
      <c r="AX165" s="23">
        <f t="shared" si="166"/>
        <v>7.5040549984436904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-1.7053025658242404E-13</v>
      </c>
      <c r="O166" s="14">
        <f>N166*VLOOKUP('Données projet'!$B$9,Paramètres!$A$1:$I$89,3,0)*VLOOKUP('Données projet'!$B$9,Paramètres!$A$1:$I$89,5,0)</f>
        <v>-1.0197709343628959E-13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150.6643110947133</v>
      </c>
      <c r="T166" s="62">
        <f t="shared" si="142"/>
        <v>231.70571415193996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7.9976730867721182</v>
      </c>
      <c r="AA166" s="23">
        <f>EXP(-LN(2)/25)*AA165+(1-EXP(-LN(2)/25))/(LN(2)/25)*Calculateur!V166*Calculateur!X166*VLOOKUP('Données projet'!$B$9,Paramètres!$A$1:$I$89,3,0)*0.475*44/12</f>
        <v>1.6018199817782544</v>
      </c>
      <c r="AB166" s="23">
        <f>EXP(-LN(2)/2)*AB165+(1-EXP(-LN(2)/2))/(LN(2)/2)*V166*Y166*VLOOKUP('Données projet'!$B$9,Paramètres!$A$1:$I$89,3,0)*0.475*44/12</f>
        <v>1.9762603225102176E-16</v>
      </c>
      <c r="AC166" s="24">
        <f t="shared" si="163"/>
        <v>9.5994930685503732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1.9895196601282805E-13</v>
      </c>
      <c r="AJ166" s="14">
        <f>AI166*VLOOKUP('Données projet'!$B$10,Paramètres!$A$1:$I$89,3,0)*VLOOKUP('Données projet'!$B$10,Paramètres!$A$1:$I$89,5,0)</f>
        <v>1.8001173884840681E-13</v>
      </c>
      <c r="AK166" s="14">
        <f t="shared" si="164"/>
        <v>2.5254331426407198E-12</v>
      </c>
      <c r="AL166" s="22">
        <f t="shared" si="165"/>
        <v>4.7119831685935622E-12</v>
      </c>
      <c r="AM166" s="62">
        <f t="shared" si="113"/>
        <v>293.33333333333803</v>
      </c>
      <c r="AN166" s="62">
        <f ca="1">AVERAGE(OFFSET($AM$3,0,0,'Données projet'!$E$10+1,1))-AVERAGE(OFFSET($H$3,0,0,'Données projet'!$E$10+1,1))</f>
        <v>249.70045432150511</v>
      </c>
      <c r="AO166" s="62">
        <f t="shared" si="144"/>
        <v>348.75012088192597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7.3569050569458154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3.7532723371428504E-17</v>
      </c>
      <c r="AX166" s="23">
        <f t="shared" si="166"/>
        <v>7.3569050569458154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-1.7053025658242404E-13</v>
      </c>
      <c r="O167" s="14">
        <f>N167*VLOOKUP('Données projet'!$B$9,Paramètres!$A$1:$I$89,3,0)*VLOOKUP('Données projet'!$B$9,Paramètres!$A$1:$I$89,5,0)</f>
        <v>-1.0197709343628959E-13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150.6643110947133</v>
      </c>
      <c r="T167" s="62">
        <f t="shared" si="142"/>
        <v>231.70571415193996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7.840843595639428</v>
      </c>
      <c r="AA167" s="23">
        <f>EXP(-LN(2)/25)*AA166+(1-EXP(-LN(2)/25))/(LN(2)/25)*Calculateur!V167*Calculateur!X167*VLOOKUP('Données projet'!$B$9,Paramètres!$A$1:$I$89,3,0)*0.475*44/12</f>
        <v>1.5580181301404761</v>
      </c>
      <c r="AB167" s="23">
        <f>EXP(-LN(2)/2)*AB166+(1-EXP(-LN(2)/2))/(LN(2)/2)*V167*Y167*VLOOKUP('Données projet'!$B$9,Paramètres!$A$1:$I$89,3,0)*0.475*44/12</f>
        <v>1.3974270754368883E-16</v>
      </c>
      <c r="AC167" s="24">
        <f t="shared" si="163"/>
        <v>9.3988617257799039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1.9895196601282805E-13</v>
      </c>
      <c r="AJ167" s="14">
        <f>AI167*VLOOKUP('Données projet'!$B$10,Paramètres!$A$1:$I$89,3,0)*VLOOKUP('Données projet'!$B$10,Paramètres!$A$1:$I$89,5,0)</f>
        <v>1.8001173884840681E-13</v>
      </c>
      <c r="AK167" s="14">
        <f t="shared" si="164"/>
        <v>2.5254331426407198E-12</v>
      </c>
      <c r="AL167" s="22">
        <f t="shared" si="165"/>
        <v>4.7119831685935622E-12</v>
      </c>
      <c r="AM167" s="62">
        <f t="shared" si="113"/>
        <v>293.33333333333803</v>
      </c>
      <c r="AN167" s="62">
        <f ca="1">AVERAGE(OFFSET($AM$3,0,0,'Données projet'!$E$10+1,1))-AVERAGE(OFFSET($H$3,0,0,'Données projet'!$E$10+1,1))</f>
        <v>249.70045432150511</v>
      </c>
      <c r="AO167" s="62">
        <f t="shared" si="144"/>
        <v>348.75012088192597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7.2126406360481115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2.6539643212335914E-17</v>
      </c>
      <c r="AX167" s="23">
        <f t="shared" si="166"/>
        <v>7.2126406360481115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-1.7053025658242404E-13</v>
      </c>
      <c r="O168" s="14">
        <f>N168*VLOOKUP('Données projet'!$B$9,Paramètres!$A$1:$I$89,3,0)*VLOOKUP('Données projet'!$B$9,Paramètres!$A$1:$I$89,5,0)</f>
        <v>-1.0197709343628959E-13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150.6643110947133</v>
      </c>
      <c r="T168" s="62">
        <f t="shared" si="142"/>
        <v>231.70571415193996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7.6870894351713055</v>
      </c>
      <c r="AA168" s="23">
        <f>EXP(-LN(2)/25)*AA167+(1-EXP(-LN(2)/25))/(LN(2)/25)*Calculateur!V168*Calculateur!X168*VLOOKUP('Données projet'!$B$9,Paramètres!$A$1:$I$89,3,0)*0.475*44/12</f>
        <v>1.5154140424391722</v>
      </c>
      <c r="AB168" s="23">
        <f>EXP(-LN(2)/2)*AB167+(1-EXP(-LN(2)/2))/(LN(2)/2)*V168*Y168*VLOOKUP('Données projet'!$B$9,Paramètres!$A$1:$I$89,3,0)*0.475*44/12</f>
        <v>9.881301612551088E-17</v>
      </c>
      <c r="AC168" s="24">
        <f t="shared" si="163"/>
        <v>9.2025034776104775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1.9895196601282805E-13</v>
      </c>
      <c r="AJ168" s="14">
        <f>AI168*VLOOKUP('Données projet'!$B$10,Paramètres!$A$1:$I$89,3,0)*VLOOKUP('Données projet'!$B$10,Paramètres!$A$1:$I$89,5,0)</f>
        <v>1.8001173884840681E-13</v>
      </c>
      <c r="AK168" s="14">
        <f t="shared" si="164"/>
        <v>2.5254331426407198E-12</v>
      </c>
      <c r="AL168" s="22">
        <f t="shared" si="165"/>
        <v>4.7119831685935622E-12</v>
      </c>
      <c r="AM168" s="62">
        <f t="shared" si="113"/>
        <v>293.33333333333803</v>
      </c>
      <c r="AN168" s="62">
        <f ca="1">AVERAGE(OFFSET($AM$3,0,0,'Données projet'!$E$10+1,1))-AVERAGE(OFFSET($H$3,0,0,'Données projet'!$E$10+1,1))</f>
        <v>249.70045432150511</v>
      </c>
      <c r="AO168" s="62">
        <f t="shared" si="144"/>
        <v>348.75012088192597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7.0712051524516033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1.8766361685714252E-17</v>
      </c>
      <c r="AX168" s="23">
        <f t="shared" si="166"/>
        <v>7.0712051524516033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-1.7053025658242404E-13</v>
      </c>
      <c r="O169" s="14">
        <f>N169*VLOOKUP('Données projet'!$B$9,Paramètres!$A$1:$I$89,3,0)*VLOOKUP('Données projet'!$B$9,Paramètres!$A$1:$I$89,5,0)</f>
        <v>-1.0197709343628959E-13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150.6643110947133</v>
      </c>
      <c r="T169" s="62">
        <f t="shared" si="142"/>
        <v>231.70571415193996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7.5363503000091852</v>
      </c>
      <c r="AA169" s="23">
        <f>EXP(-LN(2)/25)*AA168+(1-EXP(-LN(2)/25))/(LN(2)/25)*Calculateur!V169*Calculateur!X169*VLOOKUP('Données projet'!$B$9,Paramètres!$A$1:$I$89,3,0)*0.475*44/12</f>
        <v>1.473974965756512</v>
      </c>
      <c r="AB169" s="23">
        <f>EXP(-LN(2)/2)*AB168+(1-EXP(-LN(2)/2))/(LN(2)/2)*V169*Y169*VLOOKUP('Données projet'!$B$9,Paramètres!$A$1:$I$89,3,0)*0.475*44/12</f>
        <v>6.9871353771844414E-17</v>
      </c>
      <c r="AC169" s="24">
        <f t="shared" si="163"/>
        <v>9.0103252657656974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1.9895196601282805E-13</v>
      </c>
      <c r="AJ169" s="14">
        <f>AI169*VLOOKUP('Données projet'!$B$10,Paramètres!$A$1:$I$89,3,0)*VLOOKUP('Données projet'!$B$10,Paramètres!$A$1:$I$89,5,0)</f>
        <v>1.8001173884840681E-13</v>
      </c>
      <c r="AK169" s="14">
        <f t="shared" si="164"/>
        <v>2.5254331426407198E-12</v>
      </c>
      <c r="AL169" s="22">
        <f t="shared" si="165"/>
        <v>4.7119831685935622E-12</v>
      </c>
      <c r="AM169" s="62">
        <f t="shared" si="113"/>
        <v>293.33333333333803</v>
      </c>
      <c r="AN169" s="62">
        <f ca="1">AVERAGE(OFFSET($AM$3,0,0,'Données projet'!$E$10+1,1))-AVERAGE(OFFSET($H$3,0,0,'Données projet'!$E$10+1,1))</f>
        <v>249.70045432150511</v>
      </c>
      <c r="AO169" s="62">
        <f t="shared" si="144"/>
        <v>348.75012088192597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6.9325431324212961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1.3269821606167957E-17</v>
      </c>
      <c r="AX169" s="23">
        <f t="shared" si="166"/>
        <v>6.9325431324212961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-1.7053025658242404E-13</v>
      </c>
      <c r="O170" s="14">
        <f>N170*VLOOKUP('Données projet'!$B$9,Paramètres!$A$1:$I$89,3,0)*VLOOKUP('Données projet'!$B$9,Paramètres!$A$1:$I$89,5,0)</f>
        <v>-1.0197709343628959E-13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150.6643110947133</v>
      </c>
      <c r="T170" s="62">
        <f t="shared" si="142"/>
        <v>231.70571415193996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7.3885670673457993</v>
      </c>
      <c r="AA170" s="23">
        <f>EXP(-LN(2)/25)*AA169+(1-EXP(-LN(2)/25))/(LN(2)/25)*Calculateur!V170*Calculateur!X170*VLOOKUP('Données projet'!$B$9,Paramètres!$A$1:$I$89,3,0)*0.475*44/12</f>
        <v>1.4336690428049255</v>
      </c>
      <c r="AB170" s="23">
        <f>EXP(-LN(2)/2)*AB169+(1-EXP(-LN(2)/2))/(LN(2)/2)*V170*Y170*VLOOKUP('Données projet'!$B$9,Paramètres!$A$1:$I$89,3,0)*0.475*44/12</f>
        <v>4.940650806275544E-17</v>
      </c>
      <c r="AC170" s="24">
        <f t="shared" si="163"/>
        <v>8.8222361101507243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1.9895196601282805E-13</v>
      </c>
      <c r="AJ170" s="14">
        <f>AI170*VLOOKUP('Données projet'!$B$10,Paramètres!$A$1:$I$89,3,0)*VLOOKUP('Données projet'!$B$10,Paramètres!$A$1:$I$89,5,0)</f>
        <v>1.8001173884840681E-13</v>
      </c>
      <c r="AK170" s="14">
        <f t="shared" si="164"/>
        <v>2.5254331426407198E-12</v>
      </c>
      <c r="AL170" s="22">
        <f t="shared" si="165"/>
        <v>4.7119831685935622E-12</v>
      </c>
      <c r="AM170" s="62">
        <f t="shared" si="113"/>
        <v>293.33333333333803</v>
      </c>
      <c r="AN170" s="62">
        <f ca="1">AVERAGE(OFFSET($AM$3,0,0,'Données projet'!$E$10+1,1))-AVERAGE(OFFSET($H$3,0,0,'Données projet'!$E$10+1,1))</f>
        <v>249.70045432150511</v>
      </c>
      <c r="AO170" s="62">
        <f t="shared" si="144"/>
        <v>348.75012088192597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6.7966001900283022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9.3831808428571261E-18</v>
      </c>
      <c r="AX170" s="23">
        <f t="shared" si="166"/>
        <v>6.7966001900283022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-1.7053025658242404E-13</v>
      </c>
      <c r="O171" s="14">
        <f>N171*VLOOKUP('Données projet'!$B$9,Paramètres!$A$1:$I$89,3,0)*VLOOKUP('Données projet'!$B$9,Paramètres!$A$1:$I$89,5,0)</f>
        <v>-1.0197709343628959E-13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150.6643110947133</v>
      </c>
      <c r="T171" s="62">
        <f t="shared" si="142"/>
        <v>231.70571415193996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7.2436817737360712</v>
      </c>
      <c r="AA171" s="23">
        <f>EXP(-LN(2)/25)*AA170+(1-EXP(-LN(2)/25))/(LN(2)/25)*Calculateur!V171*Calculateur!X171*VLOOKUP('Données projet'!$B$9,Paramètres!$A$1:$I$89,3,0)*0.475*44/12</f>
        <v>1.3944652874360466</v>
      </c>
      <c r="AB171" s="23">
        <f>EXP(-LN(2)/2)*AB170+(1-EXP(-LN(2)/2))/(LN(2)/2)*V171*Y171*VLOOKUP('Données projet'!$B$9,Paramètres!$A$1:$I$89,3,0)*0.475*44/12</f>
        <v>3.4935676885922207E-17</v>
      </c>
      <c r="AC171" s="24">
        <f t="shared" si="163"/>
        <v>8.6381470611721181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1.9895196601282805E-13</v>
      </c>
      <c r="AJ171" s="14">
        <f>AI171*VLOOKUP('Données projet'!$B$10,Paramètres!$A$1:$I$89,3,0)*VLOOKUP('Données projet'!$B$10,Paramètres!$A$1:$I$89,5,0)</f>
        <v>1.8001173884840681E-13</v>
      </c>
      <c r="AK171" s="14">
        <f t="shared" si="164"/>
        <v>2.5254331426407198E-12</v>
      </c>
      <c r="AL171" s="22">
        <f t="shared" si="165"/>
        <v>4.7119831685935622E-12</v>
      </c>
      <c r="AM171" s="62">
        <f t="shared" si="113"/>
        <v>293.33333333333803</v>
      </c>
      <c r="AN171" s="62">
        <f ca="1">AVERAGE(OFFSET($AM$3,0,0,'Données projet'!$E$10+1,1))-AVERAGE(OFFSET($H$3,0,0,'Données projet'!$E$10+1,1))</f>
        <v>249.70045432150511</v>
      </c>
      <c r="AO171" s="62">
        <f t="shared" si="144"/>
        <v>348.75012088192597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6.6633230058186275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6.6349108030839785E-18</v>
      </c>
      <c r="AX171" s="23">
        <f t="shared" si="166"/>
        <v>6.6633230058186275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-1.7053025658242404E-13</v>
      </c>
      <c r="O172" s="14">
        <f>N172*VLOOKUP('Données projet'!$B$9,Paramètres!$A$1:$I$89,3,0)*VLOOKUP('Données projet'!$B$9,Paramètres!$A$1:$I$89,5,0)</f>
        <v>-1.0197709343628959E-13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150.6643110947133</v>
      </c>
      <c r="T172" s="62">
        <f t="shared" si="142"/>
        <v>231.70571415193996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7.1016375923627271</v>
      </c>
      <c r="AA172" s="23">
        <f>EXP(-LN(2)/25)*AA171+(1-EXP(-LN(2)/25))/(LN(2)/25)*Calculateur!V172*Calculateur!X172*VLOOKUP('Données projet'!$B$9,Paramètres!$A$1:$I$89,3,0)*0.475*44/12</f>
        <v>1.3563335608193656</v>
      </c>
      <c r="AB172" s="23">
        <f>EXP(-LN(2)/2)*AB171+(1-EXP(-LN(2)/2))/(LN(2)/2)*V172*Y172*VLOOKUP('Données projet'!$B$9,Paramètres!$A$1:$I$89,3,0)*0.475*44/12</f>
        <v>2.470325403137772E-17</v>
      </c>
      <c r="AC172" s="24">
        <f t="shared" si="163"/>
        <v>8.4579711531820934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1.9895196601282805E-13</v>
      </c>
      <c r="AJ172" s="14">
        <f>AI172*VLOOKUP('Données projet'!$B$10,Paramètres!$A$1:$I$89,3,0)*VLOOKUP('Données projet'!$B$10,Paramètres!$A$1:$I$89,5,0)</f>
        <v>1.8001173884840681E-13</v>
      </c>
      <c r="AK172" s="14">
        <f t="shared" si="164"/>
        <v>2.5254331426407198E-12</v>
      </c>
      <c r="AL172" s="22">
        <f t="shared" si="165"/>
        <v>4.7119831685935622E-12</v>
      </c>
      <c r="AM172" s="62">
        <f t="shared" si="113"/>
        <v>293.33333333333803</v>
      </c>
      <c r="AN172" s="62">
        <f ca="1">AVERAGE(OFFSET($AM$3,0,0,'Données projet'!$E$10+1,1))-AVERAGE(OFFSET($H$3,0,0,'Données projet'!$E$10+1,1))</f>
        <v>249.70045432150511</v>
      </c>
      <c r="AO172" s="62">
        <f t="shared" si="144"/>
        <v>348.75012088192597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6.5326593059002489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4.6915904214285631E-18</v>
      </c>
      <c r="AX172" s="23">
        <f t="shared" si="166"/>
        <v>6.5326593059002489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-1.7053025658242404E-13</v>
      </c>
      <c r="O173" s="14">
        <f>N173*VLOOKUP('Données projet'!$B$9,Paramètres!$A$1:$I$89,3,0)*VLOOKUP('Données projet'!$B$9,Paramètres!$A$1:$I$89,5,0)</f>
        <v>-1.0197709343628959E-13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150.6643110947133</v>
      </c>
      <c r="T173" s="62">
        <f t="shared" si="142"/>
        <v>231.70571415193996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6.962378810747718</v>
      </c>
      <c r="AA173" s="23">
        <f>EXP(-LN(2)/25)*AA172+(1-EXP(-LN(2)/25))/(LN(2)/25)*Calculateur!V173*Calculateur!X173*VLOOKUP('Données projet'!$B$9,Paramètres!$A$1:$I$89,3,0)*0.475*44/12</f>
        <v>1.3192445482722781</v>
      </c>
      <c r="AB173" s="23">
        <f>EXP(-LN(2)/2)*AB172+(1-EXP(-LN(2)/2))/(LN(2)/2)*V173*Y173*VLOOKUP('Données projet'!$B$9,Paramètres!$A$1:$I$89,3,0)*0.475*44/12</f>
        <v>1.7467838442961103E-17</v>
      </c>
      <c r="AC173" s="24">
        <f t="shared" si="163"/>
        <v>8.2816233590199957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1.9895196601282805E-13</v>
      </c>
      <c r="AJ173" s="14">
        <f>AI173*VLOOKUP('Données projet'!$B$10,Paramètres!$A$1:$I$89,3,0)*VLOOKUP('Données projet'!$B$10,Paramètres!$A$1:$I$89,5,0)</f>
        <v>1.8001173884840681E-13</v>
      </c>
      <c r="AK173" s="14">
        <f t="shared" si="164"/>
        <v>2.5254331426407198E-12</v>
      </c>
      <c r="AL173" s="22">
        <f t="shared" si="165"/>
        <v>4.7119831685935622E-12</v>
      </c>
      <c r="AM173" s="62">
        <f t="shared" si="113"/>
        <v>293.33333333333803</v>
      </c>
      <c r="AN173" s="62">
        <f ca="1">AVERAGE(OFFSET($AM$3,0,0,'Données projet'!$E$10+1,1))-AVERAGE(OFFSET($H$3,0,0,'Données projet'!$E$10+1,1))</f>
        <v>249.70045432150511</v>
      </c>
      <c r="AO173" s="62">
        <f t="shared" si="144"/>
        <v>348.75012088192597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6.4045578414402824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3.3174554015419893E-18</v>
      </c>
      <c r="AX173" s="23">
        <f t="shared" si="166"/>
        <v>6.4045578414402824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-1.7053025658242404E-13</v>
      </c>
      <c r="O174" s="14">
        <f>N174*VLOOKUP('Données projet'!$B$9,Paramètres!$A$1:$I$89,3,0)*VLOOKUP('Données projet'!$B$9,Paramètres!$A$1:$I$89,5,0)</f>
        <v>-1.0197709343628959E-13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150.6643110947133</v>
      </c>
      <c r="T174" s="62">
        <f t="shared" si="142"/>
        <v>231.70571415193996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6.8258508089007099</v>
      </c>
      <c r="AA174" s="23">
        <f>EXP(-LN(2)/25)*AA173+(1-EXP(-LN(2)/25))/(LN(2)/25)*Calculateur!V174*Calculateur!X174*VLOOKUP('Données projet'!$B$9,Paramètres!$A$1:$I$89,3,0)*0.475*44/12</f>
        <v>1.2831697367237171</v>
      </c>
      <c r="AB174" s="23">
        <f>EXP(-LN(2)/2)*AB173+(1-EXP(-LN(2)/2))/(LN(2)/2)*V174*Y174*VLOOKUP('Données projet'!$B$9,Paramètres!$A$1:$I$89,3,0)*0.475*44/12</f>
        <v>1.235162701568886E-17</v>
      </c>
      <c r="AC174" s="24">
        <f t="shared" si="163"/>
        <v>8.1090205456244266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1.9895196601282805E-13</v>
      </c>
      <c r="AJ174" s="14">
        <f>AI174*VLOOKUP('Données projet'!$B$10,Paramètres!$A$1:$I$89,3,0)*VLOOKUP('Données projet'!$B$10,Paramètres!$A$1:$I$89,5,0)</f>
        <v>1.8001173884840681E-13</v>
      </c>
      <c r="AK174" s="14">
        <f t="shared" si="164"/>
        <v>2.5254331426407198E-12</v>
      </c>
      <c r="AL174" s="22">
        <f t="shared" si="165"/>
        <v>4.7119831685935622E-12</v>
      </c>
      <c r="AM174" s="62">
        <f t="shared" si="113"/>
        <v>293.33333333333803</v>
      </c>
      <c r="AN174" s="62">
        <f ca="1">AVERAGE(OFFSET($AM$3,0,0,'Données projet'!$E$10+1,1))-AVERAGE(OFFSET($H$3,0,0,'Données projet'!$E$10+1,1))</f>
        <v>249.70045432150511</v>
      </c>
      <c r="AO174" s="62">
        <f t="shared" si="144"/>
        <v>348.75012088192597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6.2789683685641977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2.3457952107142815E-18</v>
      </c>
      <c r="AX174" s="23">
        <f t="shared" si="166"/>
        <v>6.2789683685641977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-1.7053025658242404E-13</v>
      </c>
      <c r="O175" s="14">
        <f>N175*VLOOKUP('Données projet'!$B$9,Paramètres!$A$1:$I$89,3,0)*VLOOKUP('Données projet'!$B$9,Paramètres!$A$1:$I$89,5,0)</f>
        <v>-1.0197709343628959E-13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150.6643110947133</v>
      </c>
      <c r="T175" s="62">
        <f t="shared" si="142"/>
        <v>231.70571415193996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6.6920000378960633</v>
      </c>
      <c r="AA175" s="23">
        <f>EXP(-LN(2)/25)*AA174+(1-EXP(-LN(2)/25))/(LN(2)/25)*Calculateur!V175*Calculateur!X175*VLOOKUP('Données projet'!$B$9,Paramètres!$A$1:$I$89,3,0)*0.475*44/12</f>
        <v>1.2480813927940433</v>
      </c>
      <c r="AB175" s="23">
        <f>EXP(-LN(2)/2)*AB174+(1-EXP(-LN(2)/2))/(LN(2)/2)*V175*Y175*VLOOKUP('Données projet'!$B$9,Paramètres!$A$1:$I$89,3,0)*0.475*44/12</f>
        <v>8.7339192214805517E-18</v>
      </c>
      <c r="AC175" s="24">
        <f t="shared" si="163"/>
        <v>7.9400814306901069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1.9895196601282805E-13</v>
      </c>
      <c r="AJ175" s="14">
        <f>AI175*VLOOKUP('Données projet'!$B$10,Paramètres!$A$1:$I$89,3,0)*VLOOKUP('Données projet'!$B$10,Paramètres!$A$1:$I$89,5,0)</f>
        <v>1.8001173884840681E-13</v>
      </c>
      <c r="AK175" s="14">
        <f t="shared" si="164"/>
        <v>2.5254331426407198E-12</v>
      </c>
      <c r="AL175" s="22">
        <f t="shared" si="165"/>
        <v>4.7119831685935622E-12</v>
      </c>
      <c r="AM175" s="62">
        <f t="shared" si="113"/>
        <v>293.33333333333803</v>
      </c>
      <c r="AN175" s="62">
        <f ca="1">AVERAGE(OFFSET($AM$3,0,0,'Données projet'!$E$10+1,1))-AVERAGE(OFFSET($H$3,0,0,'Données projet'!$E$10+1,1))</f>
        <v>249.70045432150511</v>
      </c>
      <c r="AO175" s="62">
        <f t="shared" si="144"/>
        <v>348.75012088192597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6.1558416286491981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1.6587277007709946E-18</v>
      </c>
      <c r="AX175" s="23">
        <f t="shared" si="166"/>
        <v>6.1558416286491981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-1.7053025658242404E-13</v>
      </c>
      <c r="O176" s="14">
        <f>N176*VLOOKUP('Données projet'!$B$9,Paramètres!$A$1:$I$89,3,0)*VLOOKUP('Données projet'!$B$9,Paramètres!$A$1:$I$89,5,0)</f>
        <v>-1.0197709343628959E-13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150.6643110947133</v>
      </c>
      <c r="T176" s="62">
        <f t="shared" si="142"/>
        <v>231.70571415193996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6.5607739988699088</v>
      </c>
      <c r="AA176" s="23">
        <f>EXP(-LN(2)/25)*AA175+(1-EXP(-LN(2)/25))/(LN(2)/25)*Calculateur!V176*Calculateur!X176*VLOOKUP('Données projet'!$B$9,Paramètres!$A$1:$I$89,3,0)*0.475*44/12</f>
        <v>1.2139525414743422</v>
      </c>
      <c r="AB176" s="23">
        <f>EXP(-LN(2)/2)*AB175+(1-EXP(-LN(2)/2))/(LN(2)/2)*V176*Y176*VLOOKUP('Données projet'!$B$9,Paramètres!$A$1:$I$89,3,0)*0.475*44/12</f>
        <v>6.17581350784443E-18</v>
      </c>
      <c r="AC176" s="24">
        <f t="shared" si="163"/>
        <v>7.7747265403442505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1.9895196601282805E-13</v>
      </c>
      <c r="AJ176" s="14">
        <f>AI176*VLOOKUP('Données projet'!$B$10,Paramètres!$A$1:$I$89,3,0)*VLOOKUP('Données projet'!$B$10,Paramètres!$A$1:$I$89,5,0)</f>
        <v>1.8001173884840681E-13</v>
      </c>
      <c r="AK176" s="14">
        <f t="shared" si="164"/>
        <v>2.5254331426407198E-12</v>
      </c>
      <c r="AL176" s="22">
        <f t="shared" si="165"/>
        <v>4.7119831685935622E-12</v>
      </c>
      <c r="AM176" s="62">
        <f t="shared" si="113"/>
        <v>293.33333333333803</v>
      </c>
      <c r="AN176" s="62">
        <f ca="1">AVERAGE(OFFSET($AM$3,0,0,'Données projet'!$E$10+1,1))-AVERAGE(OFFSET($H$3,0,0,'Données projet'!$E$10+1,1))</f>
        <v>249.70045432150511</v>
      </c>
      <c r="AO176" s="62">
        <f t="shared" si="144"/>
        <v>348.75012088192597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6.035129329004036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1.1728976053571408E-18</v>
      </c>
      <c r="AX176" s="23">
        <f t="shared" si="166"/>
        <v>6.035129329004036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-1.7053025658242404E-13</v>
      </c>
      <c r="O177" s="14">
        <f>N177*VLOOKUP('Données projet'!$B$9,Paramètres!$A$1:$I$89,3,0)*VLOOKUP('Données projet'!$B$9,Paramètres!$A$1:$I$89,5,0)</f>
        <v>-1.0197709343628959E-13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150.6643110947133</v>
      </c>
      <c r="T177" s="62">
        <f t="shared" si="142"/>
        <v>231.70571415193996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6.4321212224290765</v>
      </c>
      <c r="AA177" s="23">
        <f>EXP(-LN(2)/25)*AA176+(1-EXP(-LN(2)/25))/(LN(2)/25)*Calculateur!V177*Calculateur!X177*VLOOKUP('Données projet'!$B$9,Paramètres!$A$1:$I$89,3,0)*0.475*44/12</f>
        <v>1.1807569453887365</v>
      </c>
      <c r="AB177" s="23">
        <f>EXP(-LN(2)/2)*AB176+(1-EXP(-LN(2)/2))/(LN(2)/2)*V177*Y177*VLOOKUP('Données projet'!$B$9,Paramètres!$A$1:$I$89,3,0)*0.475*44/12</f>
        <v>4.3669596107402758E-18</v>
      </c>
      <c r="AC177" s="24">
        <f t="shared" si="163"/>
        <v>7.6128781678178132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1.9895196601282805E-13</v>
      </c>
      <c r="AJ177" s="14">
        <f>AI177*VLOOKUP('Données projet'!$B$10,Paramètres!$A$1:$I$89,3,0)*VLOOKUP('Données projet'!$B$10,Paramètres!$A$1:$I$89,5,0)</f>
        <v>1.8001173884840681E-13</v>
      </c>
      <c r="AK177" s="14">
        <f t="shared" si="164"/>
        <v>2.5254331426407198E-12</v>
      </c>
      <c r="AL177" s="22">
        <f t="shared" si="165"/>
        <v>4.7119831685935622E-12</v>
      </c>
      <c r="AM177" s="62">
        <f t="shared" si="113"/>
        <v>293.33333333333803</v>
      </c>
      <c r="AN177" s="62">
        <f ca="1">AVERAGE(OFFSET($AM$3,0,0,'Données projet'!$E$10+1,1))-AVERAGE(OFFSET($H$3,0,0,'Données projet'!$E$10+1,1))</f>
        <v>249.70045432150511</v>
      </c>
      <c r="AO177" s="62">
        <f t="shared" si="144"/>
        <v>348.75012088192597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5.9167841239276822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8.2936385038549732E-19</v>
      </c>
      <c r="AX177" s="23">
        <f t="shared" si="166"/>
        <v>5.9167841239276822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-1.7053025658242404E-13</v>
      </c>
      <c r="O178" s="14">
        <f>N178*VLOOKUP('Données projet'!$B$9,Paramètres!$A$1:$I$89,3,0)*VLOOKUP('Données projet'!$B$9,Paramètres!$A$1:$I$89,5,0)</f>
        <v>-1.0197709343628959E-13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150.6643110947133</v>
      </c>
      <c r="T178" s="62">
        <f t="shared" si="142"/>
        <v>231.70571415193996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6.3059912484638039</v>
      </c>
      <c r="AA178" s="23">
        <f>EXP(-LN(2)/25)*AA177+(1-EXP(-LN(2)/25))/(LN(2)/25)*Calculateur!V178*Calculateur!X178*VLOOKUP('Données projet'!$B$9,Paramètres!$A$1:$I$89,3,0)*0.475*44/12</f>
        <v>1.1484690846237724</v>
      </c>
      <c r="AB178" s="23">
        <f>EXP(-LN(2)/2)*AB177+(1-EXP(-LN(2)/2))/(LN(2)/2)*V178*Y178*VLOOKUP('Données projet'!$B$9,Paramètres!$A$1:$I$89,3,0)*0.475*44/12</f>
        <v>3.087906753922215E-18</v>
      </c>
      <c r="AC178" s="24">
        <f t="shared" si="163"/>
        <v>7.4544603330875763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1.9895196601282805E-13</v>
      </c>
      <c r="AJ178" s="14">
        <f>AI178*VLOOKUP('Données projet'!$B$10,Paramètres!$A$1:$I$89,3,0)*VLOOKUP('Données projet'!$B$10,Paramètres!$A$1:$I$89,5,0)</f>
        <v>1.8001173884840681E-13</v>
      </c>
      <c r="AK178" s="14">
        <f t="shared" si="164"/>
        <v>2.5254331426407198E-12</v>
      </c>
      <c r="AL178" s="22">
        <f t="shared" si="165"/>
        <v>4.7119831685935622E-12</v>
      </c>
      <c r="AM178" s="62">
        <f t="shared" si="113"/>
        <v>293.33333333333803</v>
      </c>
      <c r="AN178" s="62">
        <f ca="1">AVERAGE(OFFSET($AM$3,0,0,'Données projet'!$E$10+1,1))-AVERAGE(OFFSET($H$3,0,0,'Données projet'!$E$10+1,1))</f>
        <v>249.70045432150511</v>
      </c>
      <c r="AO178" s="62">
        <f t="shared" si="144"/>
        <v>348.75012088192597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5.8007595961394287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5.8644880267857038E-19</v>
      </c>
      <c r="AX178" s="23">
        <f t="shared" si="166"/>
        <v>5.8007595961394287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-1.7053025658242404E-13</v>
      </c>
      <c r="O179" s="14">
        <f>N179*VLOOKUP('Données projet'!$B$9,Paramètres!$A$1:$I$89,3,0)*VLOOKUP('Données projet'!$B$9,Paramètres!$A$1:$I$89,5,0)</f>
        <v>-1.0197709343628959E-13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150.6643110947133</v>
      </c>
      <c r="T179" s="62">
        <f t="shared" si="142"/>
        <v>231.70571415193996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6.1823346063563021</v>
      </c>
      <c r="AA179" s="23">
        <f>EXP(-LN(2)/25)*AA178+(1-EXP(-LN(2)/25))/(LN(2)/25)*Calculateur!V179*Calculateur!X179*VLOOKUP('Données projet'!$B$9,Paramètres!$A$1:$I$89,3,0)*0.475*44/12</f>
        <v>1.117064137109371</v>
      </c>
      <c r="AB179" s="23">
        <f>EXP(-LN(2)/2)*AB178+(1-EXP(-LN(2)/2))/(LN(2)/2)*V179*Y179*VLOOKUP('Données projet'!$B$9,Paramètres!$A$1:$I$89,3,0)*0.475*44/12</f>
        <v>2.1834798053701379E-18</v>
      </c>
      <c r="AC179" s="24">
        <f t="shared" si="163"/>
        <v>7.2993987434656731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1.9895196601282805E-13</v>
      </c>
      <c r="AJ179" s="14">
        <f>AI179*VLOOKUP('Données projet'!$B$10,Paramètres!$A$1:$I$89,3,0)*VLOOKUP('Données projet'!$B$10,Paramètres!$A$1:$I$89,5,0)</f>
        <v>1.8001173884840681E-13</v>
      </c>
      <c r="AK179" s="14">
        <f t="shared" si="164"/>
        <v>2.5254331426407198E-12</v>
      </c>
      <c r="AL179" s="22">
        <f t="shared" si="165"/>
        <v>4.7119831685935622E-12</v>
      </c>
      <c r="AM179" s="62">
        <f t="shared" si="113"/>
        <v>293.33333333333803</v>
      </c>
      <c r="AN179" s="62">
        <f ca="1">AVERAGE(OFFSET($AM$3,0,0,'Données projet'!$E$10+1,1))-AVERAGE(OFFSET($H$3,0,0,'Données projet'!$E$10+1,1))</f>
        <v>249.70045432150511</v>
      </c>
      <c r="AO179" s="62">
        <f t="shared" si="144"/>
        <v>348.75012088192597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5.6870102385731283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4.1468192519274866E-19</v>
      </c>
      <c r="AX179" s="23">
        <f t="shared" si="166"/>
        <v>5.6870102385731283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-1.7053025658242404E-13</v>
      </c>
      <c r="O180" s="14">
        <f>N180*VLOOKUP('Données projet'!$B$9,Paramètres!$A$1:$I$89,3,0)*VLOOKUP('Données projet'!$B$9,Paramètres!$A$1:$I$89,5,0)</f>
        <v>-1.0197709343628959E-13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150.6643110947133</v>
      </c>
      <c r="T180" s="62">
        <f t="shared" si="142"/>
        <v>231.70571415193996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6.0611027955774244</v>
      </c>
      <c r="AA180" s="23">
        <f>EXP(-LN(2)/25)*AA179+(1-EXP(-LN(2)/25))/(LN(2)/25)*Calculateur!V180*Calculateur!X180*VLOOKUP('Données projet'!$B$9,Paramètres!$A$1:$I$89,3,0)*0.475*44/12</f>
        <v>1.0865179595362653</v>
      </c>
      <c r="AB180" s="23">
        <f>EXP(-LN(2)/2)*AB179+(1-EXP(-LN(2)/2))/(LN(2)/2)*V180*Y180*VLOOKUP('Données projet'!$B$9,Paramètres!$A$1:$I$89,3,0)*0.475*44/12</f>
        <v>1.5439533769611075E-18</v>
      </c>
      <c r="AC180" s="24">
        <f t="shared" si="163"/>
        <v>7.1476207551136897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1.9895196601282805E-13</v>
      </c>
      <c r="AJ180" s="14">
        <f>AI180*VLOOKUP('Données projet'!$B$10,Paramètres!$A$1:$I$89,3,0)*VLOOKUP('Données projet'!$B$10,Paramètres!$A$1:$I$89,5,0)</f>
        <v>1.8001173884840681E-13</v>
      </c>
      <c r="AK180" s="14">
        <f t="shared" si="164"/>
        <v>2.5254331426407198E-12</v>
      </c>
      <c r="AL180" s="22">
        <f t="shared" si="165"/>
        <v>4.7119831685935622E-12</v>
      </c>
      <c r="AM180" s="62">
        <f t="shared" si="113"/>
        <v>293.33333333333803</v>
      </c>
      <c r="AN180" s="62">
        <f ca="1">AVERAGE(OFFSET($AM$3,0,0,'Données projet'!$E$10+1,1))-AVERAGE(OFFSET($H$3,0,0,'Données projet'!$E$10+1,1))</f>
        <v>249.70045432150511</v>
      </c>
      <c r="AO180" s="62">
        <f t="shared" si="144"/>
        <v>348.75012088192597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5.5754914365284458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2.9322440133928519E-19</v>
      </c>
      <c r="AX180" s="23">
        <f t="shared" si="166"/>
        <v>5.5754914365284458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-1.7053025658242404E-13</v>
      </c>
      <c r="O181" s="14">
        <f>N181*VLOOKUP('Données projet'!$B$9,Paramètres!$A$1:$I$89,3,0)*VLOOKUP('Données projet'!$B$9,Paramètres!$A$1:$I$89,5,0)</f>
        <v>-1.0197709343628959E-13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150.6643110947133</v>
      </c>
      <c r="T181" s="62">
        <f t="shared" si="142"/>
        <v>231.70571415193996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5.9422482666638174</v>
      </c>
      <c r="AA181" s="23">
        <f>EXP(-LN(2)/25)*AA180+(1-EXP(-LN(2)/25))/(LN(2)/25)*Calculateur!V181*Calculateur!X181*VLOOKUP('Données projet'!$B$9,Paramètres!$A$1:$I$89,3,0)*0.475*44/12</f>
        <v>1.05680706879525</v>
      </c>
      <c r="AB181" s="23">
        <f>EXP(-LN(2)/2)*AB180+(1-EXP(-LN(2)/2))/(LN(2)/2)*V181*Y181*VLOOKUP('Données projet'!$B$9,Paramètres!$A$1:$I$89,3,0)*0.475*44/12</f>
        <v>1.091739902685069E-18</v>
      </c>
      <c r="AC181" s="24">
        <f t="shared" si="163"/>
        <v>6.999055335459067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1.9895196601282805E-13</v>
      </c>
      <c r="AJ181" s="14">
        <f>AI181*VLOOKUP('Données projet'!$B$10,Paramètres!$A$1:$I$89,3,0)*VLOOKUP('Données projet'!$B$10,Paramètres!$A$1:$I$89,5,0)</f>
        <v>1.8001173884840681E-13</v>
      </c>
      <c r="AK181" s="14">
        <f t="shared" si="164"/>
        <v>2.5254331426407198E-12</v>
      </c>
      <c r="AL181" s="22">
        <f t="shared" si="165"/>
        <v>4.7119831685935622E-12</v>
      </c>
      <c r="AM181" s="62">
        <f t="shared" si="113"/>
        <v>293.33333333333803</v>
      </c>
      <c r="AN181" s="62">
        <f ca="1">AVERAGE(OFFSET($AM$3,0,0,'Données projet'!$E$10+1,1))-AVERAGE(OFFSET($H$3,0,0,'Données projet'!$E$10+1,1))</f>
        <v>249.70045432150511</v>
      </c>
      <c r="AO181" s="62">
        <f t="shared" si="144"/>
        <v>348.75012088192597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5.4661594501721069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2.0734096259637433E-19</v>
      </c>
      <c r="AX181" s="23">
        <f t="shared" si="166"/>
        <v>5.4661594501721069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-1.7053025658242404E-13</v>
      </c>
      <c r="O182" s="14">
        <f>N182*VLOOKUP('Données projet'!$B$9,Paramètres!$A$1:$I$89,3,0)*VLOOKUP('Données projet'!$B$9,Paramètres!$A$1:$I$89,5,0)</f>
        <v>-1.0197709343628959E-13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150.6643110947133</v>
      </c>
      <c r="T182" s="62">
        <f t="shared" si="142"/>
        <v>231.70571415193996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5.8257244025681016</v>
      </c>
      <c r="AA182" s="23">
        <f>EXP(-LN(2)/25)*AA181+(1-EXP(-LN(2)/25))/(LN(2)/25)*Calculateur!V182*Calculateur!X182*VLOOKUP('Données projet'!$B$9,Paramètres!$A$1:$I$89,3,0)*0.475*44/12</f>
        <v>1.0279086239239754</v>
      </c>
      <c r="AB182" s="23">
        <f>EXP(-LN(2)/2)*AB181+(1-EXP(-LN(2)/2))/(LN(2)/2)*V182*Y182*VLOOKUP('Données projet'!$B$9,Paramètres!$A$1:$I$89,3,0)*0.475*44/12</f>
        <v>7.7197668848055375E-19</v>
      </c>
      <c r="AC182" s="24">
        <f t="shared" si="163"/>
        <v>6.8536330264920773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1.9895196601282805E-13</v>
      </c>
      <c r="AJ182" s="14">
        <f>AI182*VLOOKUP('Données projet'!$B$10,Paramètres!$A$1:$I$89,3,0)*VLOOKUP('Données projet'!$B$10,Paramètres!$A$1:$I$89,5,0)</f>
        <v>1.8001173884840681E-13</v>
      </c>
      <c r="AK182" s="14">
        <f t="shared" si="164"/>
        <v>2.5254331426407198E-12</v>
      </c>
      <c r="AL182" s="22">
        <f t="shared" si="165"/>
        <v>4.7119831685935622E-12</v>
      </c>
      <c r="AM182" s="62">
        <f t="shared" si="113"/>
        <v>293.33333333333803</v>
      </c>
      <c r="AN182" s="62">
        <f ca="1">AVERAGE(OFFSET($AM$3,0,0,'Données projet'!$E$10+1,1))-AVERAGE(OFFSET($H$3,0,0,'Données projet'!$E$10+1,1))</f>
        <v>249.70045432150511</v>
      </c>
      <c r="AO182" s="62">
        <f t="shared" si="144"/>
        <v>348.75012088192597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5.3589713973822883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1.466122006696426E-19</v>
      </c>
      <c r="AX182" s="23">
        <f t="shared" si="166"/>
        <v>5.3589713973822883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-1.7053025658242404E-13</v>
      </c>
      <c r="O183" s="14">
        <f>N183*VLOOKUP('Données projet'!$B$9,Paramètres!$A$1:$I$89,3,0)*VLOOKUP('Données projet'!$B$9,Paramètres!$A$1:$I$89,5,0)</f>
        <v>-1.0197709343628959E-13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150.6643110947133</v>
      </c>
      <c r="T183" s="62">
        <f t="shared" si="142"/>
        <v>231.70571415193996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5.7114855003747635</v>
      </c>
      <c r="AA183" s="23">
        <f>EXP(-LN(2)/25)*AA182+(1-EXP(-LN(2)/25))/(LN(2)/25)*Calculateur!V183*Calculateur!X183*VLOOKUP('Données projet'!$B$9,Paramètres!$A$1:$I$89,3,0)*0.475*44/12</f>
        <v>0.99980040854740915</v>
      </c>
      <c r="AB183" s="23">
        <f>EXP(-LN(2)/2)*AB182+(1-EXP(-LN(2)/2))/(LN(2)/2)*V183*Y183*VLOOKUP('Données projet'!$B$9,Paramètres!$A$1:$I$89,3,0)*0.475*44/12</f>
        <v>5.4586995134253448E-19</v>
      </c>
      <c r="AC183" s="24">
        <f t="shared" si="163"/>
        <v>6.7112859089221724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1.9895196601282805E-13</v>
      </c>
      <c r="AJ183" s="14">
        <f>AI183*VLOOKUP('Données projet'!$B$10,Paramètres!$A$1:$I$89,3,0)*VLOOKUP('Données projet'!$B$10,Paramètres!$A$1:$I$89,5,0)</f>
        <v>1.8001173884840681E-13</v>
      </c>
      <c r="AK183" s="14">
        <f t="shared" si="164"/>
        <v>2.5254331426407198E-12</v>
      </c>
      <c r="AL183" s="22">
        <f t="shared" si="165"/>
        <v>4.7119831685935622E-12</v>
      </c>
      <c r="AM183" s="62">
        <f t="shared" si="113"/>
        <v>293.33333333333803</v>
      </c>
      <c r="AN183" s="62">
        <f ca="1">AVERAGE(OFFSET($AM$3,0,0,'Données projet'!$E$10+1,1))-AVERAGE(OFFSET($H$3,0,0,'Données projet'!$E$10+1,1))</f>
        <v>249.70045432150511</v>
      </c>
      <c r="AO183" s="62">
        <f t="shared" si="144"/>
        <v>348.75012088192597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5.2538852369294213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1.0367048129818716E-19</v>
      </c>
      <c r="AX183" s="23">
        <f t="shared" si="166"/>
        <v>5.2538852369294213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-1.7053025658242404E-13</v>
      </c>
      <c r="O184" s="14">
        <f>N184*VLOOKUP('Données projet'!$B$9,Paramètres!$A$1:$I$89,3,0)*VLOOKUP('Données projet'!$B$9,Paramètres!$A$1:$I$89,5,0)</f>
        <v>-1.0197709343628959E-13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150.6643110947133</v>
      </c>
      <c r="T184" s="62">
        <f t="shared" si="142"/>
        <v>231.70571415193996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5.5994867533745865</v>
      </c>
      <c r="AA184" s="23">
        <f>EXP(-LN(2)/25)*AA183+(1-EXP(-LN(2)/25))/(LN(2)/25)*Calculateur!V184*Calculateur!X184*VLOOKUP('Données projet'!$B$9,Paramètres!$A$1:$I$89,3,0)*0.475*44/12</f>
        <v>0.97246081379846183</v>
      </c>
      <c r="AB184" s="23">
        <f>EXP(-LN(2)/2)*AB183+(1-EXP(-LN(2)/2))/(LN(2)/2)*V184*Y184*VLOOKUP('Données projet'!$B$9,Paramètres!$A$1:$I$89,3,0)*0.475*44/12</f>
        <v>3.8598834424027688E-19</v>
      </c>
      <c r="AC184" s="24">
        <f t="shared" si="163"/>
        <v>6.5719475671730478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1.9895196601282805E-13</v>
      </c>
      <c r="AJ184" s="14">
        <f>AI184*VLOOKUP('Données projet'!$B$10,Paramètres!$A$1:$I$89,3,0)*VLOOKUP('Données projet'!$B$10,Paramètres!$A$1:$I$89,5,0)</f>
        <v>1.8001173884840681E-13</v>
      </c>
      <c r="AK184" s="14">
        <f t="shared" si="164"/>
        <v>2.5254331426407198E-12</v>
      </c>
      <c r="AL184" s="22">
        <f t="shared" si="165"/>
        <v>4.7119831685935622E-12</v>
      </c>
      <c r="AM184" s="62">
        <f t="shared" si="113"/>
        <v>293.33333333333803</v>
      </c>
      <c r="AN184" s="62">
        <f ca="1">AVERAGE(OFFSET($AM$3,0,0,'Données projet'!$E$10+1,1))-AVERAGE(OFFSET($H$3,0,0,'Données projet'!$E$10+1,1))</f>
        <v>249.70045432150511</v>
      </c>
      <c r="AO184" s="62">
        <f t="shared" si="144"/>
        <v>348.75012088192597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5.1508597519868067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7.3306100334821298E-20</v>
      </c>
      <c r="AX184" s="23">
        <f t="shared" si="166"/>
        <v>5.1508597519868067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-1.7053025658242404E-13</v>
      </c>
      <c r="O185" s="14">
        <f>N185*VLOOKUP('Données projet'!$B$9,Paramètres!$A$1:$I$89,3,0)*VLOOKUP('Données projet'!$B$9,Paramètres!$A$1:$I$89,5,0)</f>
        <v>-1.0197709343628959E-13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150.6643110947133</v>
      </c>
      <c r="T185" s="62">
        <f t="shared" si="142"/>
        <v>231.70571415193996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5.4896842334905926</v>
      </c>
      <c r="AA185" s="23">
        <f>EXP(-LN(2)/25)*AA184+(1-EXP(-LN(2)/25))/(LN(2)/25)*Calculateur!V185*Calculateur!X185*VLOOKUP('Données projet'!$B$9,Paramètres!$A$1:$I$89,3,0)*0.475*44/12</f>
        <v>0.94586882170565123</v>
      </c>
      <c r="AB185" s="23">
        <f>EXP(-LN(2)/2)*AB184+(1-EXP(-LN(2)/2))/(LN(2)/2)*V185*Y185*VLOOKUP('Données projet'!$B$9,Paramètres!$A$1:$I$89,3,0)*0.475*44/12</f>
        <v>2.7293497567126724E-19</v>
      </c>
      <c r="AC185" s="24">
        <f t="shared" si="163"/>
        <v>6.4355530551962437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1.9895196601282805E-13</v>
      </c>
      <c r="AJ185" s="14">
        <f>AI185*VLOOKUP('Données projet'!$B$10,Paramètres!$A$1:$I$89,3,0)*VLOOKUP('Données projet'!$B$10,Paramètres!$A$1:$I$89,5,0)</f>
        <v>1.8001173884840681E-13</v>
      </c>
      <c r="AK185" s="14">
        <f t="shared" si="164"/>
        <v>2.5254331426407198E-12</v>
      </c>
      <c r="AL185" s="22">
        <f t="shared" si="165"/>
        <v>4.7119831685935622E-12</v>
      </c>
      <c r="AM185" s="62">
        <f t="shared" si="113"/>
        <v>293.33333333333803</v>
      </c>
      <c r="AN185" s="62">
        <f ca="1">AVERAGE(OFFSET($AM$3,0,0,'Données projet'!$E$10+1,1))-AVERAGE(OFFSET($H$3,0,0,'Données projet'!$E$10+1,1))</f>
        <v>249.70045432150511</v>
      </c>
      <c r="AO185" s="62">
        <f t="shared" si="144"/>
        <v>348.75012088192597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5.0498545339645755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5.1835240649093582E-20</v>
      </c>
      <c r="AX185" s="23">
        <f t="shared" si="166"/>
        <v>5.0498545339645755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-1.7053025658242404E-13</v>
      </c>
      <c r="O186" s="14">
        <f>N186*VLOOKUP('Données projet'!$B$9,Paramètres!$A$1:$I$89,3,0)*VLOOKUP('Données projet'!$B$9,Paramètres!$A$1:$I$89,5,0)</f>
        <v>-1.0197709343628959E-13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150.6643110947133</v>
      </c>
      <c r="T186" s="62">
        <f t="shared" si="142"/>
        <v>231.70571415193996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5.3820348740485997</v>
      </c>
      <c r="AA186" s="23">
        <f>EXP(-LN(2)/25)*AA185+(1-EXP(-LN(2)/25))/(LN(2)/25)*Calculateur!V186*Calculateur!X186*VLOOKUP('Données projet'!$B$9,Paramètres!$A$1:$I$89,3,0)*0.475*44/12</f>
        <v>0.92000398903503067</v>
      </c>
      <c r="AB186" s="23">
        <f>EXP(-LN(2)/2)*AB185+(1-EXP(-LN(2)/2))/(LN(2)/2)*V186*Y186*VLOOKUP('Données projet'!$B$9,Paramètres!$A$1:$I$89,3,0)*0.475*44/12</f>
        <v>1.9299417212013844E-19</v>
      </c>
      <c r="AC186" s="24">
        <f t="shared" si="163"/>
        <v>6.3020388630836308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1.9895196601282805E-13</v>
      </c>
      <c r="AJ186" s="14">
        <f>AI186*VLOOKUP('Données projet'!$B$10,Paramètres!$A$1:$I$89,3,0)*VLOOKUP('Données projet'!$B$10,Paramètres!$A$1:$I$89,5,0)</f>
        <v>1.8001173884840681E-13</v>
      </c>
      <c r="AK186" s="14">
        <f t="shared" si="164"/>
        <v>2.5254331426407198E-12</v>
      </c>
      <c r="AL186" s="22">
        <f t="shared" si="165"/>
        <v>4.7119831685935622E-12</v>
      </c>
      <c r="AM186" s="62">
        <f t="shared" si="113"/>
        <v>293.33333333333803</v>
      </c>
      <c r="AN186" s="62">
        <f ca="1">AVERAGE(OFFSET($AM$3,0,0,'Données projet'!$E$10+1,1))-AVERAGE(OFFSET($H$3,0,0,'Données projet'!$E$10+1,1))</f>
        <v>249.70045432150511</v>
      </c>
      <c r="AO186" s="62">
        <f t="shared" si="144"/>
        <v>348.75012088192597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4.9508299666606606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3.6653050167410649E-20</v>
      </c>
      <c r="AX186" s="23">
        <f t="shared" si="166"/>
        <v>4.9508299666606606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-1.7053025658242404E-13</v>
      </c>
      <c r="O187" s="14">
        <f>N187*VLOOKUP('Données projet'!$B$9,Paramètres!$A$1:$I$89,3,0)*VLOOKUP('Données projet'!$B$9,Paramètres!$A$1:$I$89,5,0)</f>
        <v>-1.0197709343628959E-13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150.6643110947133</v>
      </c>
      <c r="T187" s="62">
        <f t="shared" si="142"/>
        <v>231.70571415193996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5.2764964528856382</v>
      </c>
      <c r="AA187" s="23">
        <f>EXP(-LN(2)/25)*AA186+(1-EXP(-LN(2)/25))/(LN(2)/25)*Calculateur!V187*Calculateur!X187*VLOOKUP('Données projet'!$B$9,Paramètres!$A$1:$I$89,3,0)*0.475*44/12</f>
        <v>0.89484643157396071</v>
      </c>
      <c r="AB187" s="23">
        <f>EXP(-LN(2)/2)*AB186+(1-EXP(-LN(2)/2))/(LN(2)/2)*V187*Y187*VLOOKUP('Données projet'!$B$9,Paramètres!$A$1:$I$89,3,0)*0.475*44/12</f>
        <v>1.3646748783563362E-19</v>
      </c>
      <c r="AC187" s="24">
        <f t="shared" si="163"/>
        <v>6.171342884459599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1.9895196601282805E-13</v>
      </c>
      <c r="AJ187" s="14">
        <f>AI187*VLOOKUP('Données projet'!$B$10,Paramètres!$A$1:$I$89,3,0)*VLOOKUP('Données projet'!$B$10,Paramètres!$A$1:$I$89,5,0)</f>
        <v>1.8001173884840681E-13</v>
      </c>
      <c r="AK187" s="14">
        <f t="shared" si="164"/>
        <v>2.5254331426407198E-12</v>
      </c>
      <c r="AL187" s="22">
        <f t="shared" si="165"/>
        <v>4.7119831685935622E-12</v>
      </c>
      <c r="AM187" s="62">
        <f t="shared" si="113"/>
        <v>293.33333333333803</v>
      </c>
      <c r="AN187" s="62">
        <f ca="1">AVERAGE(OFFSET($AM$3,0,0,'Données projet'!$E$10+1,1))-AVERAGE(OFFSET($H$3,0,0,'Données projet'!$E$10+1,1))</f>
        <v>249.70045432150511</v>
      </c>
      <c r="AO187" s="62">
        <f t="shared" si="144"/>
        <v>348.75012088192597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4.8537472107225534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2.5917620324546791E-20</v>
      </c>
      <c r="AX187" s="23">
        <f t="shared" si="166"/>
        <v>4.8537472107225534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-1.7053025658242404E-13</v>
      </c>
      <c r="O188" s="14">
        <f>N188*VLOOKUP('Données projet'!$B$9,Paramètres!$A$1:$I$89,3,0)*VLOOKUP('Données projet'!$B$9,Paramètres!$A$1:$I$89,5,0)</f>
        <v>-1.0197709343628959E-13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150.6643110947133</v>
      </c>
      <c r="T188" s="62">
        <f t="shared" si="142"/>
        <v>231.70571415193996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5.173027575789602</v>
      </c>
      <c r="AA188" s="23">
        <f>EXP(-LN(2)/25)*AA187+(1-EXP(-LN(2)/25))/(LN(2)/25)*Calculateur!V188*Calculateur!X188*VLOOKUP('Données projet'!$B$9,Paramètres!$A$1:$I$89,3,0)*0.475*44/12</f>
        <v>0.87037680884464208</v>
      </c>
      <c r="AB188" s="23">
        <f>EXP(-LN(2)/2)*AB187+(1-EXP(-LN(2)/2))/(LN(2)/2)*V188*Y188*VLOOKUP('Données projet'!$B$9,Paramètres!$A$1:$I$89,3,0)*0.475*44/12</f>
        <v>9.6497086060069219E-20</v>
      </c>
      <c r="AC188" s="24">
        <f t="shared" si="163"/>
        <v>6.0434043846342442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1.9895196601282805E-13</v>
      </c>
      <c r="AJ188" s="14">
        <f>AI188*VLOOKUP('Données projet'!$B$10,Paramètres!$A$1:$I$89,3,0)*VLOOKUP('Données projet'!$B$10,Paramètres!$A$1:$I$89,5,0)</f>
        <v>1.8001173884840681E-13</v>
      </c>
      <c r="AK188" s="14">
        <f t="shared" si="164"/>
        <v>2.5254331426407198E-12</v>
      </c>
      <c r="AL188" s="22">
        <f t="shared" si="165"/>
        <v>4.7119831685935622E-12</v>
      </c>
      <c r="AM188" s="62">
        <f t="shared" si="113"/>
        <v>293.33333333333803</v>
      </c>
      <c r="AN188" s="62">
        <f ca="1">AVERAGE(OFFSET($AM$3,0,0,'Données projet'!$E$10+1,1))-AVERAGE(OFFSET($H$3,0,0,'Données projet'!$E$10+1,1))</f>
        <v>249.70045432150511</v>
      </c>
      <c r="AO188" s="62">
        <f t="shared" si="144"/>
        <v>348.75012088192597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4.7585681884137578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1.8326525083705324E-20</v>
      </c>
      <c r="AX188" s="23">
        <f t="shared" si="166"/>
        <v>4.7585681884137578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-1.7053025658242404E-13</v>
      </c>
      <c r="O189" s="14">
        <f>N189*VLOOKUP('Données projet'!$B$9,Paramètres!$A$1:$I$89,3,0)*VLOOKUP('Données projet'!$B$9,Paramètres!$A$1:$I$89,5,0)</f>
        <v>-1.0197709343628959E-13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150.6643110947133</v>
      </c>
      <c r="T189" s="62">
        <f t="shared" si="142"/>
        <v>231.70571415193996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5.0715876602636358</v>
      </c>
      <c r="AA189" s="23">
        <f>EXP(-LN(2)/25)*AA188+(1-EXP(-LN(2)/25))/(LN(2)/25)*Calculateur!V189*Calculateur!X189*VLOOKUP('Données projet'!$B$9,Paramètres!$A$1:$I$89,3,0)*0.475*44/12</f>
        <v>0.84657630923565819</v>
      </c>
      <c r="AB189" s="23">
        <f>EXP(-LN(2)/2)*AB188+(1-EXP(-LN(2)/2))/(LN(2)/2)*V189*Y189*VLOOKUP('Données projet'!$B$9,Paramètres!$A$1:$I$89,3,0)*0.475*44/12</f>
        <v>6.823374391781681E-20</v>
      </c>
      <c r="AC189" s="24">
        <f t="shared" si="163"/>
        <v>5.918163969499294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1.9895196601282805E-13</v>
      </c>
      <c r="AJ189" s="14">
        <f>AI189*VLOOKUP('Données projet'!$B$10,Paramètres!$A$1:$I$89,3,0)*VLOOKUP('Données projet'!$B$10,Paramètres!$A$1:$I$89,5,0)</f>
        <v>1.8001173884840681E-13</v>
      </c>
      <c r="AK189" s="14">
        <f t="shared" si="164"/>
        <v>2.5254331426407198E-12</v>
      </c>
      <c r="AL189" s="22">
        <f t="shared" si="165"/>
        <v>4.7119831685935622E-12</v>
      </c>
      <c r="AM189" s="62">
        <f t="shared" si="113"/>
        <v>293.33333333333803</v>
      </c>
      <c r="AN189" s="62">
        <f ca="1">AVERAGE(OFFSET($AM$3,0,0,'Données projet'!$E$10+1,1))-AVERAGE(OFFSET($H$3,0,0,'Données projet'!$E$10+1,1))</f>
        <v>249.70045432150511</v>
      </c>
      <c r="AO189" s="62">
        <f t="shared" si="144"/>
        <v>348.75012088192597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4.6652555686789672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1.2958810162273396E-20</v>
      </c>
      <c r="AX189" s="23">
        <f t="shared" si="166"/>
        <v>4.6652555686789672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-1.7053025658242404E-13</v>
      </c>
      <c r="O190" s="14">
        <f>N190*VLOOKUP('Données projet'!$B$9,Paramètres!$A$1:$I$89,3,0)*VLOOKUP('Données projet'!$B$9,Paramètres!$A$1:$I$89,5,0)</f>
        <v>-1.0197709343628959E-13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150.6643110947133</v>
      </c>
      <c r="T190" s="62">
        <f t="shared" si="142"/>
        <v>231.70571415193996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4.9721369196088947</v>
      </c>
      <c r="AA190" s="23">
        <f>EXP(-LN(2)/25)*AA189+(1-EXP(-LN(2)/25))/(LN(2)/25)*Calculateur!V190*Calculateur!X190*VLOOKUP('Données projet'!$B$9,Paramètres!$A$1:$I$89,3,0)*0.475*44/12</f>
        <v>0.82342663554009587</v>
      </c>
      <c r="AB190" s="23">
        <f>EXP(-LN(2)/2)*AB189+(1-EXP(-LN(2)/2))/(LN(2)/2)*V190*Y190*VLOOKUP('Données projet'!$B$9,Paramètres!$A$1:$I$89,3,0)*0.475*44/12</f>
        <v>4.8248543030034609E-20</v>
      </c>
      <c r="AC190" s="24">
        <f t="shared" si="163"/>
        <v>5.7955635551489904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1.9895196601282805E-13</v>
      </c>
      <c r="AJ190" s="14">
        <f>AI190*VLOOKUP('Données projet'!$B$10,Paramètres!$A$1:$I$89,3,0)*VLOOKUP('Données projet'!$B$10,Paramètres!$A$1:$I$89,5,0)</f>
        <v>1.8001173884840681E-13</v>
      </c>
      <c r="AK190" s="14">
        <f t="shared" si="164"/>
        <v>2.5254331426407198E-12</v>
      </c>
      <c r="AL190" s="22">
        <f t="shared" si="165"/>
        <v>4.7119831685935622E-12</v>
      </c>
      <c r="AM190" s="62">
        <f t="shared" si="113"/>
        <v>293.33333333333803</v>
      </c>
      <c r="AN190" s="62">
        <f ca="1">AVERAGE(OFFSET($AM$3,0,0,'Données projet'!$E$10+1,1))-AVERAGE(OFFSET($H$3,0,0,'Données projet'!$E$10+1,1))</f>
        <v>249.70045432150511</v>
      </c>
      <c r="AO190" s="62">
        <f t="shared" si="144"/>
        <v>348.75012088192597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4.573772752502097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9.1632625418526622E-21</v>
      </c>
      <c r="AX190" s="23">
        <f t="shared" si="166"/>
        <v>4.573772752502097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-1.7053025658242404E-13</v>
      </c>
      <c r="O191" s="14">
        <f>N191*VLOOKUP('Données projet'!$B$9,Paramètres!$A$1:$I$89,3,0)*VLOOKUP('Données projet'!$B$9,Paramètres!$A$1:$I$89,5,0)</f>
        <v>-1.0197709343628959E-13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150.6643110947133</v>
      </c>
      <c r="T191" s="62">
        <f t="shared" si="142"/>
        <v>231.70571415193996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4.8746363473194307</v>
      </c>
      <c r="AA191" s="23">
        <f>EXP(-LN(2)/25)*AA190+(1-EXP(-LN(2)/25))/(LN(2)/25)*Calculateur!V191*Calculateur!X191*VLOOKUP('Données projet'!$B$9,Paramètres!$A$1:$I$89,3,0)*0.475*44/12</f>
        <v>0.80090999088912718</v>
      </c>
      <c r="AB191" s="23">
        <f>EXP(-LN(2)/2)*AB190+(1-EXP(-LN(2)/2))/(LN(2)/2)*V191*Y191*VLOOKUP('Données projet'!$B$9,Paramètres!$A$1:$I$89,3,0)*0.475*44/12</f>
        <v>3.4116871958908405E-20</v>
      </c>
      <c r="AC191" s="24">
        <f t="shared" si="163"/>
        <v>5.6755463382085578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1.9895196601282805E-13</v>
      </c>
      <c r="AJ191" s="14">
        <f>AI191*VLOOKUP('Données projet'!$B$10,Paramètres!$A$1:$I$89,3,0)*VLOOKUP('Données projet'!$B$10,Paramètres!$A$1:$I$89,5,0)</f>
        <v>1.8001173884840681E-13</v>
      </c>
      <c r="AK191" s="14">
        <f t="shared" si="164"/>
        <v>2.5254331426407198E-12</v>
      </c>
      <c r="AL191" s="22">
        <f t="shared" si="165"/>
        <v>4.7119831685935622E-12</v>
      </c>
      <c r="AM191" s="62">
        <f t="shared" si="113"/>
        <v>293.33333333333803</v>
      </c>
      <c r="AN191" s="62">
        <f ca="1">AVERAGE(OFFSET($AM$3,0,0,'Données projet'!$E$10+1,1))-AVERAGE(OFFSET($H$3,0,0,'Données projet'!$E$10+1,1))</f>
        <v>249.70045432150511</v>
      </c>
      <c r="AO191" s="62">
        <f t="shared" si="144"/>
        <v>348.75012088192597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4.4840838585514478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6.4794050811366978E-21</v>
      </c>
      <c r="AX191" s="23">
        <f t="shared" si="166"/>
        <v>4.4840838585514478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-1.7053025658242404E-13</v>
      </c>
      <c r="O192" s="14">
        <f>N192*VLOOKUP('Données projet'!$B$9,Paramètres!$A$1:$I$89,3,0)*VLOOKUP('Données projet'!$B$9,Paramètres!$A$1:$I$89,5,0)</f>
        <v>-1.0197709343628959E-13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150.6643110947133</v>
      </c>
      <c r="T192" s="62">
        <f t="shared" si="142"/>
        <v>231.70571415193996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4.7790477017830861</v>
      </c>
      <c r="AA192" s="23">
        <f>EXP(-LN(2)/25)*AA191+(1-EXP(-LN(2)/25))/(LN(2)/25)*Calculateur!V192*Calculateur!X192*VLOOKUP('Données projet'!$B$9,Paramètres!$A$1:$I$89,3,0)*0.475*44/12</f>
        <v>0.77900906507023804</v>
      </c>
      <c r="AB192" s="23">
        <f>EXP(-LN(2)/2)*AB191+(1-EXP(-LN(2)/2))/(LN(2)/2)*V192*Y192*VLOOKUP('Données projet'!$B$9,Paramètres!$A$1:$I$89,3,0)*0.475*44/12</f>
        <v>2.4124271515017305E-20</v>
      </c>
      <c r="AC192" s="24">
        <f t="shared" si="163"/>
        <v>5.5580567668533245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1.9895196601282805E-13</v>
      </c>
      <c r="AJ192" s="14">
        <f>AI192*VLOOKUP('Données projet'!$B$10,Paramètres!$A$1:$I$89,3,0)*VLOOKUP('Données projet'!$B$10,Paramètres!$A$1:$I$89,5,0)</f>
        <v>1.8001173884840681E-13</v>
      </c>
      <c r="AK192" s="14">
        <f t="shared" si="164"/>
        <v>2.5254331426407198E-12</v>
      </c>
      <c r="AL192" s="22">
        <f t="shared" si="165"/>
        <v>4.7119831685935622E-12</v>
      </c>
      <c r="AM192" s="62">
        <f t="shared" si="113"/>
        <v>293.33333333333803</v>
      </c>
      <c r="AN192" s="62">
        <f ca="1">AVERAGE(OFFSET($AM$3,0,0,'Données projet'!$E$10+1,1))-AVERAGE(OFFSET($H$3,0,0,'Données projet'!$E$10+1,1))</f>
        <v>249.70045432150511</v>
      </c>
      <c r="AO192" s="62">
        <f t="shared" si="144"/>
        <v>348.75012088192597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4.396153709106347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4.5816312709263311E-21</v>
      </c>
      <c r="AX192" s="23">
        <f t="shared" si="166"/>
        <v>4.396153709106347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-1.7053025658242404E-13</v>
      </c>
      <c r="O193" s="14">
        <f>N193*VLOOKUP('Données projet'!$B$9,Paramètres!$A$1:$I$89,3,0)*VLOOKUP('Données projet'!$B$9,Paramètres!$A$1:$I$89,5,0)</f>
        <v>-1.0197709343628959E-13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150.6643110947133</v>
      </c>
      <c r="T193" s="62">
        <f t="shared" si="142"/>
        <v>231.70571415193996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4.6853334912823925</v>
      </c>
      <c r="AA193" s="23">
        <f>EXP(-LN(2)/25)*AA192+(1-EXP(-LN(2)/25))/(LN(2)/25)*Calculateur!V193*Calculateur!X193*VLOOKUP('Données projet'!$B$9,Paramètres!$A$1:$I$89,3,0)*0.475*44/12</f>
        <v>0.75770702121958611</v>
      </c>
      <c r="AB193" s="23">
        <f>EXP(-LN(2)/2)*AB192+(1-EXP(-LN(2)/2))/(LN(2)/2)*V193*Y193*VLOOKUP('Données projet'!$B$9,Paramètres!$A$1:$I$89,3,0)*0.475*44/12</f>
        <v>1.7058435979454203E-20</v>
      </c>
      <c r="AC193" s="24">
        <f t="shared" si="163"/>
        <v>5.4430405125019785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1.9895196601282805E-13</v>
      </c>
      <c r="AJ193" s="14">
        <f>AI193*VLOOKUP('Données projet'!$B$10,Paramètres!$A$1:$I$89,3,0)*VLOOKUP('Données projet'!$B$10,Paramètres!$A$1:$I$89,5,0)</f>
        <v>1.8001173884840681E-13</v>
      </c>
      <c r="AK193" s="14">
        <f t="shared" si="164"/>
        <v>2.5254331426407198E-12</v>
      </c>
      <c r="AL193" s="22">
        <f t="shared" si="165"/>
        <v>4.7119831685935622E-12</v>
      </c>
      <c r="AM193" s="62">
        <f t="shared" si="113"/>
        <v>293.33333333333803</v>
      </c>
      <c r="AN193" s="62">
        <f ca="1">AVERAGE(OFFSET($AM$3,0,0,'Données projet'!$E$10+1,1))-AVERAGE(OFFSET($H$3,0,0,'Données projet'!$E$10+1,1))</f>
        <v>249.70045432150511</v>
      </c>
      <c r="AO193" s="62">
        <f t="shared" si="144"/>
        <v>348.75012088192597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4.3099478162597693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3.2397025405683489E-21</v>
      </c>
      <c r="AX193" s="23">
        <f t="shared" si="166"/>
        <v>4.3099478162597693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-1.7053025658242404E-13</v>
      </c>
      <c r="O194" s="14">
        <f>N194*VLOOKUP('Données projet'!$B$9,Paramètres!$A$1:$I$89,3,0)*VLOOKUP('Données projet'!$B$9,Paramètres!$A$1:$I$89,5,0)</f>
        <v>-1.0197709343628959E-13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150.6643110947133</v>
      </c>
      <c r="T194" s="62">
        <f t="shared" si="142"/>
        <v>231.70571415193996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4.5934569592895933</v>
      </c>
      <c r="AA194" s="23">
        <f>EXP(-LN(2)/25)*AA193+(1-EXP(-LN(2)/25))/(LN(2)/25)*Calculateur!V194*Calculateur!X194*VLOOKUP('Données projet'!$B$9,Paramètres!$A$1:$I$89,3,0)*0.475*44/12</f>
        <v>0.736987482878256</v>
      </c>
      <c r="AB194" s="23">
        <f>EXP(-LN(2)/2)*AB193+(1-EXP(-LN(2)/2))/(LN(2)/2)*V194*Y194*VLOOKUP('Données projet'!$B$9,Paramètres!$A$1:$I$89,3,0)*0.475*44/12</f>
        <v>1.2062135757508652E-20</v>
      </c>
      <c r="AC194" s="24">
        <f t="shared" si="163"/>
        <v>5.330444442167849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1.9895196601282805E-13</v>
      </c>
      <c r="AJ194" s="14">
        <f>AI194*VLOOKUP('Données projet'!$B$10,Paramètres!$A$1:$I$89,3,0)*VLOOKUP('Données projet'!$B$10,Paramètres!$A$1:$I$89,5,0)</f>
        <v>1.8001173884840681E-13</v>
      </c>
      <c r="AK194" s="14">
        <f t="shared" si="164"/>
        <v>2.5254331426407198E-12</v>
      </c>
      <c r="AL194" s="22">
        <f t="shared" si="165"/>
        <v>4.7119831685935622E-12</v>
      </c>
      <c r="AM194" s="62">
        <f t="shared" si="113"/>
        <v>293.33333333333803</v>
      </c>
      <c r="AN194" s="62">
        <f ca="1">AVERAGE(OFFSET($AM$3,0,0,'Données projet'!$E$10+1,1))-AVERAGE(OFFSET($H$3,0,0,'Données projet'!$E$10+1,1))</f>
        <v>249.70045432150511</v>
      </c>
      <c r="AO194" s="62">
        <f t="shared" si="144"/>
        <v>348.75012088192597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4.2254323683915098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2.2908156354631656E-21</v>
      </c>
      <c r="AX194" s="23">
        <f t="shared" si="166"/>
        <v>4.2254323683915098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-1.7053025658242404E-13</v>
      </c>
      <c r="O195" s="14">
        <f>N195*VLOOKUP('Données projet'!$B$9,Paramètres!$A$1:$I$89,3,0)*VLOOKUP('Données projet'!$B$9,Paramètres!$A$1:$I$89,5,0)</f>
        <v>-1.0197709343628959E-13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150.6643110947133</v>
      </c>
      <c r="T195" s="62">
        <f t="shared" si="142"/>
        <v>231.70571415193996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4.5033820700500211</v>
      </c>
      <c r="AA195" s="23">
        <f>EXP(-LN(2)/25)*AA194+(1-EXP(-LN(2)/25))/(LN(2)/25)*Calculateur!V195*Calculateur!X195*VLOOKUP('Données projet'!$B$9,Paramètres!$A$1:$I$89,3,0)*0.475*44/12</f>
        <v>0.71683452140246273</v>
      </c>
      <c r="AB195" s="23">
        <f>EXP(-LN(2)/2)*AB194+(1-EXP(-LN(2)/2))/(LN(2)/2)*V195*Y195*VLOOKUP('Données projet'!$B$9,Paramètres!$A$1:$I$89,3,0)*0.475*44/12</f>
        <v>8.5292179897271013E-21</v>
      </c>
      <c r="AC195" s="24">
        <f t="shared" si="163"/>
        <v>5.2202165914524841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1.9895196601282805E-13</v>
      </c>
      <c r="AJ195" s="14">
        <f>AI195*VLOOKUP('Données projet'!$B$10,Paramètres!$A$1:$I$89,3,0)*VLOOKUP('Données projet'!$B$10,Paramètres!$A$1:$I$89,5,0)</f>
        <v>1.8001173884840681E-13</v>
      </c>
      <c r="AK195" s="14">
        <f t="shared" si="164"/>
        <v>2.5254331426407198E-12</v>
      </c>
      <c r="AL195" s="22">
        <f t="shared" si="165"/>
        <v>4.7119831685935622E-12</v>
      </c>
      <c r="AM195" s="62">
        <f t="shared" si="113"/>
        <v>293.33333333333803</v>
      </c>
      <c r="AN195" s="62">
        <f ca="1">AVERAGE(OFFSET($AM$3,0,0,'Données projet'!$E$10+1,1))-AVERAGE(OFFSET($H$3,0,0,'Données projet'!$E$10+1,1))</f>
        <v>249.70045432150511</v>
      </c>
      <c r="AO195" s="62">
        <f t="shared" si="144"/>
        <v>348.75012088192597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4.1425742169066142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1.6198512702841744E-21</v>
      </c>
      <c r="AX195" s="23">
        <f t="shared" si="166"/>
        <v>4.1425742169066142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-1.7053025658242404E-13</v>
      </c>
      <c r="O196" s="14">
        <f>N196*VLOOKUP('Données projet'!$B$9,Paramètres!$A$1:$I$89,3,0)*VLOOKUP('Données projet'!$B$9,Paramètres!$A$1:$I$89,5,0)</f>
        <v>-1.0197709343628959E-13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150.6643110947133</v>
      </c>
      <c r="T196" s="62">
        <f t="shared" si="142"/>
        <v>231.70571415193996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4.4150734944481798</v>
      </c>
      <c r="AA196" s="23">
        <f>EXP(-LN(2)/25)*AA195+(1-EXP(-LN(2)/25))/(LN(2)/25)*Calculateur!V196*Calculateur!X196*VLOOKUP('Données projet'!$B$9,Paramètres!$A$1:$I$89,3,0)*0.475*44/12</f>
        <v>0.69723264371802329</v>
      </c>
      <c r="AB196" s="23">
        <f>EXP(-LN(2)/2)*AB195+(1-EXP(-LN(2)/2))/(LN(2)/2)*V196*Y196*VLOOKUP('Données projet'!$B$9,Paramètres!$A$1:$I$89,3,0)*0.475*44/12</f>
        <v>6.0310678787543262E-21</v>
      </c>
      <c r="AC196" s="24">
        <f t="shared" si="163"/>
        <v>5.1123061381662032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1.9895196601282805E-13</v>
      </c>
      <c r="AJ196" s="14">
        <f>AI196*VLOOKUP('Données projet'!$B$10,Paramètres!$A$1:$I$89,3,0)*VLOOKUP('Données projet'!$B$10,Paramètres!$A$1:$I$89,5,0)</f>
        <v>1.8001173884840681E-13</v>
      </c>
      <c r="AK196" s="14">
        <f t="shared" si="164"/>
        <v>2.5254331426407198E-12</v>
      </c>
      <c r="AL196" s="22">
        <f t="shared" si="165"/>
        <v>4.7119831685935622E-12</v>
      </c>
      <c r="AM196" s="62">
        <f t="shared" ref="AM196:AM203" si="193">AL196+(AD196+AE196)*44/12</f>
        <v>293.33333333333803</v>
      </c>
      <c r="AN196" s="62">
        <f ca="1">AVERAGE(OFFSET($AM$3,0,0,'Données projet'!$E$10+1,1))-AVERAGE(OFFSET($H$3,0,0,'Données projet'!$E$10+1,1))</f>
        <v>249.70045432150511</v>
      </c>
      <c r="AO196" s="62">
        <f t="shared" si="144"/>
        <v>348.75012088192597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4.0613408632338546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1.1454078177315828E-21</v>
      </c>
      <c r="AX196" s="23">
        <f t="shared" si="166"/>
        <v>4.0613408632338546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-1.7053025658242404E-13</v>
      </c>
      <c r="O197" s="14">
        <f>N197*VLOOKUP('Données projet'!$B$9,Paramètres!$A$1:$I$89,3,0)*VLOOKUP('Données projet'!$B$9,Paramètres!$A$1:$I$89,5,0)</f>
        <v>-1.0197709343628959E-13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150.6643110947133</v>
      </c>
      <c r="T197" s="62">
        <f t="shared" ref="T197:T203" si="204">$T$3</f>
        <v>231.70571415193996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4.3284965961509778</v>
      </c>
      <c r="AA197" s="23">
        <f>EXP(-LN(2)/25)*AA196+(1-EXP(-LN(2)/25))/(LN(2)/25)*Calculateur!V197*Calculateur!X197*VLOOKUP('Données projet'!$B$9,Paramètres!$A$1:$I$89,3,0)*0.475*44/12</f>
        <v>0.67816678040968281</v>
      </c>
      <c r="AB197" s="23">
        <f>EXP(-LN(2)/2)*AB196+(1-EXP(-LN(2)/2))/(LN(2)/2)*V197*Y197*VLOOKUP('Données projet'!$B$9,Paramètres!$A$1:$I$89,3,0)*0.475*44/12</f>
        <v>4.2646089948635506E-21</v>
      </c>
      <c r="AC197" s="24">
        <f t="shared" si="163"/>
        <v>5.0066633765606605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1.9895196601282805E-13</v>
      </c>
      <c r="AJ197" s="14">
        <f>AI197*VLOOKUP('Données projet'!$B$10,Paramètres!$A$1:$I$89,3,0)*VLOOKUP('Données projet'!$B$10,Paramètres!$A$1:$I$89,5,0)</f>
        <v>1.8001173884840681E-13</v>
      </c>
      <c r="AK197" s="14">
        <f t="shared" si="164"/>
        <v>2.5254331426407198E-12</v>
      </c>
      <c r="AL197" s="22">
        <f t="shared" si="165"/>
        <v>4.7119831685935622E-12</v>
      </c>
      <c r="AM197" s="62">
        <f t="shared" si="193"/>
        <v>293.33333333333803</v>
      </c>
      <c r="AN197" s="62">
        <f ca="1">AVERAGE(OFFSET($AM$3,0,0,'Données projet'!$E$10+1,1))-AVERAGE(OFFSET($H$3,0,0,'Données projet'!$E$10+1,1))</f>
        <v>249.70045432150511</v>
      </c>
      <c r="AO197" s="62">
        <f t="shared" ref="AO197:AO203" si="205">$AO$3</f>
        <v>348.75012088192597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3.9817004460791647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8.0992563514208722E-22</v>
      </c>
      <c r="AX197" s="23">
        <f t="shared" si="166"/>
        <v>3.9817004460791647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-1.7053025658242404E-13</v>
      </c>
      <c r="O198" s="14">
        <f>N198*VLOOKUP('Données projet'!$B$9,Paramètres!$A$1:$I$89,3,0)*VLOOKUP('Données projet'!$B$9,Paramètres!$A$1:$I$89,5,0)</f>
        <v>-1.0197709343628959E-13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150.6643110947133</v>
      </c>
      <c r="T198" s="62">
        <f t="shared" si="204"/>
        <v>231.70571415193996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4.2436174180226907</v>
      </c>
      <c r="AA198" s="23">
        <f>EXP(-LN(2)/25)*AA197+(1-EXP(-LN(2)/25))/(LN(2)/25)*Calculateur!V198*Calculateur!X198*VLOOKUP('Données projet'!$B$9,Paramètres!$A$1:$I$89,3,0)*0.475*44/12</f>
        <v>0.65962227413613905</v>
      </c>
      <c r="AB198" s="23">
        <f>EXP(-LN(2)/2)*AB197+(1-EXP(-LN(2)/2))/(LN(2)/2)*V198*Y198*VLOOKUP('Données projet'!$B$9,Paramètres!$A$1:$I$89,3,0)*0.475*44/12</f>
        <v>3.0155339393771631E-21</v>
      </c>
      <c r="AC198" s="24">
        <f t="shared" si="163"/>
        <v>4.9032396921588299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1.9895196601282805E-13</v>
      </c>
      <c r="AJ198" s="14">
        <f>AI198*VLOOKUP('Données projet'!$B$10,Paramètres!$A$1:$I$89,3,0)*VLOOKUP('Données projet'!$B$10,Paramètres!$A$1:$I$89,5,0)</f>
        <v>1.8001173884840681E-13</v>
      </c>
      <c r="AK198" s="14">
        <f t="shared" si="164"/>
        <v>2.5254331426407198E-12</v>
      </c>
      <c r="AL198" s="22">
        <f t="shared" si="165"/>
        <v>4.7119831685935622E-12</v>
      </c>
      <c r="AM198" s="62">
        <f t="shared" si="193"/>
        <v>293.33333333333803</v>
      </c>
      <c r="AN198" s="62">
        <f ca="1">AVERAGE(OFFSET($AM$3,0,0,'Données projet'!$E$10+1,1))-AVERAGE(OFFSET($H$3,0,0,'Données projet'!$E$10+1,1))</f>
        <v>249.70045432150511</v>
      </c>
      <c r="AO198" s="62">
        <f t="shared" si="205"/>
        <v>348.75012088192597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3.9036217289290205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5.7270390886579139E-22</v>
      </c>
      <c r="AX198" s="23">
        <f t="shared" si="166"/>
        <v>3.9036217289290205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-1.7053025658242404E-13</v>
      </c>
      <c r="O199" s="14">
        <f>N199*VLOOKUP('Données projet'!$B$9,Paramètres!$A$1:$I$89,3,0)*VLOOKUP('Données projet'!$B$9,Paramètres!$A$1:$I$89,5,0)</f>
        <v>-1.0197709343628959E-13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150.6643110947133</v>
      </c>
      <c r="T199" s="62">
        <f t="shared" si="204"/>
        <v>231.70571415193996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4.160402668806312</v>
      </c>
      <c r="AA199" s="23">
        <f>EXP(-LN(2)/25)*AA198+(1-EXP(-LN(2)/25))/(LN(2)/25)*Calculateur!V199*Calculateur!X199*VLOOKUP('Données projet'!$B$9,Paramètres!$A$1:$I$89,3,0)*0.475*44/12</f>
        <v>0.64158486836185857</v>
      </c>
      <c r="AB199" s="23">
        <f>EXP(-LN(2)/2)*AB198+(1-EXP(-LN(2)/2))/(LN(2)/2)*V199*Y199*VLOOKUP('Données projet'!$B$9,Paramètres!$A$1:$I$89,3,0)*0.475*44/12</f>
        <v>2.1323044974317753E-21</v>
      </c>
      <c r="AC199" s="24">
        <f t="shared" si="163"/>
        <v>4.8019875371681708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1.9895196601282805E-13</v>
      </c>
      <c r="AJ199" s="14">
        <f>AI199*VLOOKUP('Données projet'!$B$10,Paramètres!$A$1:$I$89,3,0)*VLOOKUP('Données projet'!$B$10,Paramètres!$A$1:$I$89,5,0)</f>
        <v>1.8001173884840681E-13</v>
      </c>
      <c r="AK199" s="14">
        <f t="shared" si="164"/>
        <v>2.5254331426407198E-12</v>
      </c>
      <c r="AL199" s="22">
        <f t="shared" si="165"/>
        <v>4.7119831685935622E-12</v>
      </c>
      <c r="AM199" s="62">
        <f t="shared" si="193"/>
        <v>293.33333333333803</v>
      </c>
      <c r="AN199" s="62">
        <f ca="1">AVERAGE(OFFSET($AM$3,0,0,'Données projet'!$E$10+1,1))-AVERAGE(OFFSET($H$3,0,0,'Données projet'!$E$10+1,1))</f>
        <v>249.70045432150511</v>
      </c>
      <c r="AO199" s="62">
        <f t="shared" si="205"/>
        <v>348.75012088192597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3.8270740877988754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4.0496281757104361E-22</v>
      </c>
      <c r="AX199" s="23">
        <f t="shared" si="166"/>
        <v>3.8270740877988754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-1.7053025658242404E-13</v>
      </c>
      <c r="O200" s="14">
        <f>N200*VLOOKUP('Données projet'!$B$9,Paramètres!$A$1:$I$89,3,0)*VLOOKUP('Données projet'!$B$9,Paramètres!$A$1:$I$89,5,0)</f>
        <v>-1.0197709343628959E-13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150.6643110947133</v>
      </c>
      <c r="T200" s="62">
        <f t="shared" si="204"/>
        <v>231.70571415193996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4.0788197100660817</v>
      </c>
      <c r="AA200" s="23">
        <f>EXP(-LN(2)/25)*AA199+(1-EXP(-LN(2)/25))/(LN(2)/25)*Calculateur!V200*Calculateur!X200*VLOOKUP('Données projet'!$B$9,Paramètres!$A$1:$I$89,3,0)*0.475*44/12</f>
        <v>0.62404069639702164</v>
      </c>
      <c r="AB200" s="23">
        <f>EXP(-LN(2)/2)*AB199+(1-EXP(-LN(2)/2))/(LN(2)/2)*V200*Y200*VLOOKUP('Données projet'!$B$9,Paramètres!$A$1:$I$89,3,0)*0.475*44/12</f>
        <v>1.5077669696885815E-21</v>
      </c>
      <c r="AC200" s="24">
        <f t="shared" si="163"/>
        <v>4.7028604064631034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1.9895196601282805E-13</v>
      </c>
      <c r="AJ200" s="14">
        <f>AI200*VLOOKUP('Données projet'!$B$10,Paramètres!$A$1:$I$89,3,0)*VLOOKUP('Données projet'!$B$10,Paramètres!$A$1:$I$89,5,0)</f>
        <v>1.8001173884840681E-13</v>
      </c>
      <c r="AK200" s="14">
        <f t="shared" si="164"/>
        <v>2.5254331426407198E-12</v>
      </c>
      <c r="AL200" s="22">
        <f t="shared" si="165"/>
        <v>4.7119831685935622E-12</v>
      </c>
      <c r="AM200" s="62">
        <f t="shared" si="193"/>
        <v>293.33333333333803</v>
      </c>
      <c r="AN200" s="62">
        <f ca="1">AVERAGE(OFFSET($AM$3,0,0,'Données projet'!$E$10+1,1))-AVERAGE(OFFSET($H$3,0,0,'Données projet'!$E$10+1,1))</f>
        <v>249.70045432150511</v>
      </c>
      <c r="AO200" s="62">
        <f t="shared" si="205"/>
        <v>348.75012088192597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3.7520274992218416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2.8635195443289569E-22</v>
      </c>
      <c r="AX200" s="23">
        <f t="shared" si="166"/>
        <v>3.7520274992218416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-1.7053025658242404E-13</v>
      </c>
      <c r="O201" s="14">
        <f>N201*VLOOKUP('Données projet'!$B$9,Paramètres!$A$1:$I$89,3,0)*VLOOKUP('Données projet'!$B$9,Paramètres!$A$1:$I$89,5,0)</f>
        <v>-1.0197709343628959E-13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150.6643110947133</v>
      </c>
      <c r="T201" s="62">
        <f t="shared" si="204"/>
        <v>231.70571415193996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3.9988365433860555</v>
      </c>
      <c r="AA201" s="23">
        <f>EXP(-LN(2)/25)*AA200+(1-EXP(-LN(2)/25))/(LN(2)/25)*Calculateur!V201*Calculateur!X201*VLOOKUP('Données projet'!$B$9,Paramètres!$A$1:$I$89,3,0)*0.475*44/12</f>
        <v>0.60697627073717109</v>
      </c>
      <c r="AB201" s="23">
        <f>EXP(-LN(2)/2)*AB200+(1-EXP(-LN(2)/2))/(LN(2)/2)*V201*Y201*VLOOKUP('Données projet'!$B$9,Paramètres!$A$1:$I$89,3,0)*0.475*44/12</f>
        <v>1.0661522487158877E-21</v>
      </c>
      <c r="AC201" s="24">
        <f t="shared" si="163"/>
        <v>4.6058128141232269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1.9895196601282805E-13</v>
      </c>
      <c r="AJ201" s="14">
        <f>AI201*VLOOKUP('Données projet'!$B$10,Paramètres!$A$1:$I$89,3,0)*VLOOKUP('Données projet'!$B$10,Paramètres!$A$1:$I$89,5,0)</f>
        <v>1.8001173884840681E-13</v>
      </c>
      <c r="AK201" s="14">
        <f t="shared" si="164"/>
        <v>2.5254331426407198E-12</v>
      </c>
      <c r="AL201" s="22">
        <f t="shared" si="165"/>
        <v>4.7119831685935622E-12</v>
      </c>
      <c r="AM201" s="62">
        <f t="shared" si="193"/>
        <v>293.33333333333803</v>
      </c>
      <c r="AN201" s="62">
        <f ca="1">AVERAGE(OFFSET($AM$3,0,0,'Données projet'!$E$10+1,1))-AVERAGE(OFFSET($H$3,0,0,'Données projet'!$E$10+1,1))</f>
        <v>249.70045432150511</v>
      </c>
      <c r="AO201" s="62">
        <f t="shared" si="205"/>
        <v>348.75012088192597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3.6784525284729042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2.0248140878552181E-22</v>
      </c>
      <c r="AX201" s="23">
        <f t="shared" si="166"/>
        <v>3.6784525284729042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-1.7053025658242404E-13</v>
      </c>
      <c r="O202" s="14">
        <f>N202*VLOOKUP('Données projet'!$B$9,Paramètres!$A$1:$I$89,3,0)*VLOOKUP('Données projet'!$B$9,Paramètres!$A$1:$I$89,5,0)</f>
        <v>-1.0197709343628959E-13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150.6643110947133</v>
      </c>
      <c r="T202" s="62">
        <f t="shared" si="204"/>
        <v>231.70571415193996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3.9204217978197105</v>
      </c>
      <c r="AA202" s="23">
        <f>EXP(-LN(2)/25)*AA201+(1-EXP(-LN(2)/25))/(LN(2)/25)*Calculateur!V202*Calculateur!X202*VLOOKUP('Données projet'!$B$9,Paramètres!$A$1:$I$89,3,0)*0.475*44/12</f>
        <v>0.59037847269436827</v>
      </c>
      <c r="AB202" s="23">
        <f>EXP(-LN(2)/2)*AB201+(1-EXP(-LN(2)/2))/(LN(2)/2)*V202*Y202*VLOOKUP('Données projet'!$B$9,Paramètres!$A$1:$I$89,3,0)*0.475*44/12</f>
        <v>7.5388348484429077E-22</v>
      </c>
      <c r="AC202" s="24">
        <f t="shared" si="163"/>
        <v>4.5108002705140784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1.9895196601282805E-13</v>
      </c>
      <c r="AJ202" s="14">
        <f>AI202*VLOOKUP('Données projet'!$B$10,Paramètres!$A$1:$I$89,3,0)*VLOOKUP('Données projet'!$B$10,Paramètres!$A$1:$I$89,5,0)</f>
        <v>1.8001173884840681E-13</v>
      </c>
      <c r="AK202" s="14">
        <f t="shared" si="164"/>
        <v>2.5254331426407198E-12</v>
      </c>
      <c r="AL202" s="22">
        <f t="shared" si="165"/>
        <v>4.7119831685935622E-12</v>
      </c>
      <c r="AM202" s="62">
        <f t="shared" si="193"/>
        <v>293.33333333333803</v>
      </c>
      <c r="AN202" s="62">
        <f ca="1">AVERAGE(OFFSET($AM$3,0,0,'Données projet'!$E$10+1,1))-AVERAGE(OFFSET($H$3,0,0,'Données projet'!$E$10+1,1))</f>
        <v>249.70045432150511</v>
      </c>
      <c r="AO202" s="62">
        <f t="shared" si="205"/>
        <v>348.75012088192597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3.6063203180240522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1.4317597721644785E-22</v>
      </c>
      <c r="AX202" s="23">
        <f t="shared" si="166"/>
        <v>3.6063203180240522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-1.7053025658242404E-13</v>
      </c>
      <c r="O203" s="14">
        <f>N203*VLOOKUP('Données projet'!$B$9,Paramètres!$A$1:$I$89,3,0)*VLOOKUP('Données projet'!$B$9,Paramètres!$A$1:$I$89,5,0)</f>
        <v>-1.0197709343628959E-13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150.6643110947133</v>
      </c>
      <c r="T203" s="62">
        <f t="shared" si="204"/>
        <v>231.70571415193996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3.8435447175856492</v>
      </c>
      <c r="AA203" s="23">
        <f>EXP(-LN(2)/25)*AA202+(1-EXP(-LN(2)/25))/(LN(2)/25)*Calculateur!V203*Calculateur!X203*VLOOKUP('Données projet'!$B$9,Paramètres!$A$1:$I$89,3,0)*0.475*44/12</f>
        <v>0.5742345423118862</v>
      </c>
      <c r="AB203" s="23">
        <f>EXP(-LN(2)/2)*AB202+(1-EXP(-LN(2)/2))/(LN(2)/2)*V203*Y203*VLOOKUP('Données projet'!$B$9,Paramètres!$A$1:$I$89,3,0)*0.475*44/12</f>
        <v>5.3307612435794383E-22</v>
      </c>
      <c r="AC203" s="24">
        <f t="shared" si="163"/>
        <v>4.4177792598975358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1.9895196601282805E-13</v>
      </c>
      <c r="AJ203" s="14">
        <f>AI203*VLOOKUP('Données projet'!$B$10,Paramètres!$A$1:$I$89,3,0)*VLOOKUP('Données projet'!$B$10,Paramètres!$A$1:$I$89,5,0)</f>
        <v>1.8001173884840681E-13</v>
      </c>
      <c r="AK203" s="14">
        <f t="shared" si="164"/>
        <v>2.5254331426407198E-12</v>
      </c>
      <c r="AL203" s="22">
        <f t="shared" si="165"/>
        <v>4.7119831685935622E-12</v>
      </c>
      <c r="AM203" s="62">
        <f t="shared" si="193"/>
        <v>293.33333333333803</v>
      </c>
      <c r="AN203" s="62">
        <f ca="1">AVERAGE(OFFSET($AM$3,0,0,'Données projet'!$E$10+1,1))-AVERAGE(OFFSET($H$3,0,0,'Données projet'!$E$10+1,1))</f>
        <v>249.70045432150511</v>
      </c>
      <c r="AO203" s="62">
        <f t="shared" si="205"/>
        <v>348.75012088192597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3.5356025762257981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1.012407043927609E-22</v>
      </c>
      <c r="AX203" s="23">
        <f t="shared" si="166"/>
        <v>3.5356025762257981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1.2990595333015609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1.9472943612303364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J20" sqref="J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1.4580000000000002</v>
      </c>
      <c r="C6" s="156">
        <f ca="1">IF(OR('Données projet'!B9="",'Données projet'!C9="",'Données projet'!C9=0%),0,Calculateur!S3)</f>
        <v>150.6643110947133</v>
      </c>
      <c r="D6" s="156">
        <f>IF(OR('Données projet'!B9="",'Données projet'!C9="",'Données projet'!C9=0%),0,Calculateur!T3)</f>
        <v>231.70571415193996</v>
      </c>
      <c r="E6" s="156">
        <f ca="1">MIN(C6,D6)</f>
        <v>150.6643110947133</v>
      </c>
      <c r="F6" s="156">
        <f ca="1">E6*B6</f>
        <v>219.66856557609202</v>
      </c>
      <c r="G6" s="156">
        <f ca="1">F6*(100%-'Données projet'!$C$24)*(100%-'Données projet'!$C$25)*(100%-'Données projet'!$C$26)*(100%-'Données projet'!$C$27)</f>
        <v>168.0464526657104</v>
      </c>
      <c r="H6" s="157">
        <f>IF(OR('Données projet'!B9="",'Données projet'!C9="",'Données projet'!C9=0%),0,AVERAGE(Calculateur!$AC$3:$AC$33)*B6)</f>
        <v>8.1871906737534967</v>
      </c>
      <c r="I6" s="158">
        <f>H6*(100%-'Données projet'!$C$24)*(100%-'Données projet'!$C$25)*(100%-'Données projet'!$C$26)*(100%-'Données projet'!$C$27)</f>
        <v>6.2632008654214246</v>
      </c>
      <c r="J6" s="159">
        <f>IF(OR('Données projet'!B9="",'Données projet'!C9="",'Données projet'!C9=0%),0,SUM(Calculateur!$V$3:$V$33)*VLOOKUP('Données projet'!$B$9,Paramètres!$A$1:$I$89,9,0)*B6)</f>
        <v>98.065079999999995</v>
      </c>
      <c r="K6" s="160">
        <f>J6*(100%-'Données projet'!$C$24)*(100%-'Données projet'!$C$25)*(100%-'Données projet'!$C$26)*(100%-'Données projet'!$C$27)</f>
        <v>75.019786199999999</v>
      </c>
      <c r="L6" s="161">
        <f ca="1">G6+I6+K6</f>
        <v>249.32943973113183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Robinier faux-acacia</v>
      </c>
      <c r="B7" s="163">
        <f>'Données projet'!D10</f>
        <v>0.34200000000000003</v>
      </c>
      <c r="C7" s="156">
        <f ca="1">IF(OR('Données projet'!B10="",'Données projet'!C10="",'Données projet'!C10=0%),0,Calculateur!AN3)</f>
        <v>249.70045432150511</v>
      </c>
      <c r="D7" s="156">
        <f>IF(OR('Données projet'!B10="",'Données projet'!C10="",'Données projet'!C10=0%),0,Calculateur!AO3)</f>
        <v>348.75012088192597</v>
      </c>
      <c r="E7" s="156">
        <f t="shared" ref="E7:E15" ca="1" si="0">MIN(C7,D7)</f>
        <v>249.70045432150511</v>
      </c>
      <c r="F7" s="156">
        <f t="shared" ref="F7:F15" ca="1" si="1">E7*B7</f>
        <v>85.39755537795476</v>
      </c>
      <c r="G7" s="156">
        <f ca="1">F7*(100%-'Données projet'!$C$24)*(100%-'Données projet'!$C$25)*(100%-'Données projet'!$C$26)*(100%-'Données projet'!$C$27)</f>
        <v>65.329129864135396</v>
      </c>
      <c r="H7" s="164">
        <f>IF(OR('Données projet'!B10="",'Données projet'!C10="",'Données projet'!C10=0%),0,AVERAGE(Calculateur!$AX$3:$AX$33)*B7)</f>
        <v>2.1592615112180584</v>
      </c>
      <c r="I7" s="158">
        <f>H7*(100%-'Données projet'!$C$24)*(100%-'Données projet'!$C$25)*(100%-'Données projet'!$C$26)*(100%-'Données projet'!$C$27)</f>
        <v>1.6518350560818147</v>
      </c>
      <c r="J7" s="159">
        <f>IF(OR('Données projet'!B10="",'Données projet'!C10="",'Données projet'!C10=0%),0,SUM(Calculateur!$AQ$3:$AQ$33)*VLOOKUP('Données projet'!$B$10,Paramètres!$A$1:$I$89,9,0)*B7)</f>
        <v>6.4980000000000002</v>
      </c>
      <c r="K7" s="160">
        <f>J7*(100%-'Données projet'!$C$24)*(100%-'Données projet'!$C$25)*(100%-'Données projet'!$C$26)*(100%-'Données projet'!$C$27)</f>
        <v>4.9709700000000003</v>
      </c>
      <c r="L7" s="161">
        <f t="shared" ref="L7:L15" ca="1" si="2">G7+I7+K7</f>
        <v>71.951934920217198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305.06612095404677</v>
      </c>
      <c r="G16" s="175">
        <f t="shared" ca="1" si="3"/>
        <v>233.37558252984581</v>
      </c>
      <c r="H16" s="176">
        <f t="shared" si="3"/>
        <v>10.346452184971556</v>
      </c>
      <c r="I16" s="176">
        <f t="shared" si="3"/>
        <v>7.9150359215032395</v>
      </c>
      <c r="J16" s="177">
        <f t="shared" si="3"/>
        <v>104.56308</v>
      </c>
      <c r="K16" s="177">
        <f t="shared" si="3"/>
        <v>79.990756199999993</v>
      </c>
      <c r="L16" s="178">
        <f t="shared" ca="1" si="3"/>
        <v>321.28137465134904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Robinier faux-acacia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G13" sqref="G13:G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2172.0431683284878</v>
      </c>
      <c r="U10" s="190">
        <f>'Données projet'!D9</f>
        <v>1.4580000000000002</v>
      </c>
      <c r="V10" s="189">
        <f>U10*T10</f>
        <v>3166.8389394229357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Robinier faux-acacia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2158.0594795267161</v>
      </c>
      <c r="U11" s="190">
        <f>'Données projet'!D10</f>
        <v>0.34200000000000003</v>
      </c>
      <c r="V11" s="189">
        <f t="shared" ref="V11" si="0">U11*T11</f>
        <v>738.05634199813699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69.999999999999943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1399.9999999999989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3661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1039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847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18</v>
      </c>
      <c r="B23" s="193">
        <f>'Données projet'!D36</f>
        <v>29</v>
      </c>
      <c r="C23" s="206">
        <v>15</v>
      </c>
      <c r="D23" s="194">
        <f>B23*C23</f>
        <v>435</v>
      </c>
      <c r="E23" s="206"/>
      <c r="F23" s="261"/>
      <c r="H23" s="203">
        <v>3</v>
      </c>
      <c r="I23" s="204">
        <v>847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-7206.6934765478882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24</v>
      </c>
      <c r="B24" s="193">
        <f>'Données projet'!D37</f>
        <v>38</v>
      </c>
      <c r="C24" s="206">
        <v>20</v>
      </c>
      <c r="D24" s="194">
        <f t="shared" ref="D24:D42" si="2">B24*C24</f>
        <v>760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115.68051395822211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47</v>
      </c>
      <c r="C25" s="206">
        <v>25</v>
      </c>
      <c r="D25" s="194">
        <f t="shared" si="2"/>
        <v>1175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-7322.3739905061102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50</v>
      </c>
      <c r="C26" s="206">
        <v>30</v>
      </c>
      <c r="D26" s="194">
        <f t="shared" si="2"/>
        <v>1500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50</v>
      </c>
      <c r="B27" s="193">
        <f>'Données projet'!D40</f>
        <v>294</v>
      </c>
      <c r="C27" s="206">
        <v>35</v>
      </c>
      <c r="D27" s="194">
        <f t="shared" si="2"/>
        <v>10290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Robinier faux-acacia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5</v>
      </c>
      <c r="B54" s="193">
        <f>'Données projet'!D62</f>
        <v>4</v>
      </c>
      <c r="C54" s="206">
        <v>15</v>
      </c>
      <c r="D54" s="191">
        <f>B54*C54</f>
        <v>60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10</v>
      </c>
      <c r="B55" s="193">
        <f>'Données projet'!D63</f>
        <v>21</v>
      </c>
      <c r="C55" s="206">
        <v>20</v>
      </c>
      <c r="D55" s="191">
        <f t="shared" ref="D55:D73" si="4">B55*C55</f>
        <v>420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15</v>
      </c>
      <c r="B56" s="193">
        <f>'Données projet'!D64</f>
        <v>17</v>
      </c>
      <c r="C56" s="206">
        <v>25</v>
      </c>
      <c r="D56" s="191">
        <f t="shared" si="4"/>
        <v>425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20</v>
      </c>
      <c r="B57" s="193">
        <f>'Données projet'!D65</f>
        <v>14</v>
      </c>
      <c r="C57" s="206">
        <v>30</v>
      </c>
      <c r="D57" s="191">
        <f t="shared" si="4"/>
        <v>420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25</v>
      </c>
      <c r="B58" s="193">
        <f>'Données projet'!D66</f>
        <v>11</v>
      </c>
      <c r="C58" s="206">
        <v>35</v>
      </c>
      <c r="D58" s="191">
        <f t="shared" si="4"/>
        <v>385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30</v>
      </c>
      <c r="B59" s="193">
        <f>'Données projet'!D67</f>
        <v>9</v>
      </c>
      <c r="C59" s="204">
        <v>40</v>
      </c>
      <c r="D59" s="191">
        <f t="shared" si="4"/>
        <v>360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35</v>
      </c>
      <c r="B60" s="193">
        <f>'Données projet'!D68</f>
        <v>7</v>
      </c>
      <c r="C60" s="204">
        <v>40</v>
      </c>
      <c r="D60" s="191">
        <f t="shared" si="4"/>
        <v>280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40</v>
      </c>
      <c r="B61" s="193">
        <f>'Données projet'!D69</f>
        <v>6</v>
      </c>
      <c r="C61" s="204">
        <v>40</v>
      </c>
      <c r="D61" s="191">
        <f t="shared" si="4"/>
        <v>240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45</v>
      </c>
      <c r="B62" s="193">
        <f>'Données projet'!D70</f>
        <v>252</v>
      </c>
      <c r="C62" s="204">
        <v>40</v>
      </c>
      <c r="D62" s="191">
        <f t="shared" si="4"/>
        <v>10080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2024-02-01T13:41:59Z</dcterms:modified>
</cp:coreProperties>
</file>