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24-001 PUYCLAUD/h. Carbone/2023 LBC forêts dégradées/"/>
    </mc:Choice>
  </mc:AlternateContent>
  <xr:revisionPtr revIDLastSave="19" documentId="13_ncr:1_{4CA5BBDC-C47A-4282-95D1-24471AE34954}" xr6:coauthVersionLast="47" xr6:coauthVersionMax="47" xr10:uidLastSave="{BABE6544-20D6-4440-A6BC-04545EC9C3D3}"/>
  <bookViews>
    <workbookView minimized="1" xWindow="0" yWindow="500" windowWidth="28800" windowHeight="1588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6" l="1"/>
  <c r="E18" i="6"/>
  <c r="E48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W21" i="2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G28" i="2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EA38" i="2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EW60" i="2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HI130" i="2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G154" i="2" l="1"/>
  <c r="AB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Y159" i="2"/>
  <c r="HI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R164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A167" i="2"/>
  <c r="FR167" i="2"/>
  <c r="DG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H168" i="2"/>
  <c r="HI168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J172" i="2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AA175" i="2"/>
  <c r="EA175" i="2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W178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HI179" i="2"/>
  <c r="HH179" i="2"/>
  <c r="EV179" i="2"/>
  <c r="EY179" i="2" s="1"/>
  <c r="DF179" i="2"/>
  <c r="EA179" i="2"/>
  <c r="ED179" i="2" s="1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V189" i="2" l="1"/>
  <c r="AA189" i="2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H190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HI193" i="2" l="1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AA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DI200" i="2"/>
  <c r="EB201" i="2" l="1"/>
  <c r="FS201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FS202" i="2"/>
  <c r="HG202" i="2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142" i="2" a="1"/>
  <c r="EI142" i="2" s="1"/>
  <c r="DN155" i="2" a="1"/>
  <c r="DN155" i="2" s="1"/>
  <c r="CS66" i="2" a="1"/>
  <c r="CS66" i="2" s="1"/>
  <c r="DN43" i="2" a="1"/>
  <c r="DN43" i="2" s="1"/>
  <c r="DN41" i="2" a="1"/>
  <c r="DN41" i="2" s="1"/>
  <c r="DN29" i="2" a="1"/>
  <c r="DN29" i="2" s="1"/>
  <c r="DN129" i="2" a="1"/>
  <c r="DN129" i="2" s="1"/>
  <c r="DN170" i="2" a="1"/>
  <c r="DN170" i="2" s="1"/>
  <c r="DN153" i="2" a="1"/>
  <c r="DN153" i="2" s="1"/>
  <c r="DN192" i="2" a="1"/>
  <c r="DN192" i="2" s="1"/>
  <c r="DN150" i="2" a="1"/>
  <c r="DN150" i="2" s="1"/>
  <c r="CS116" i="2" a="1"/>
  <c r="CS116" i="2" s="1"/>
  <c r="EI195" i="2" a="1"/>
  <c r="EI195" i="2" s="1"/>
  <c r="CS77" i="2" a="1"/>
  <c r="CS77" i="2" s="1"/>
  <c r="AH62" i="2" a="1"/>
  <c r="AH62" i="2" s="1"/>
  <c r="CS161" i="2" a="1"/>
  <c r="CS16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114" i="2" l="1" a="1"/>
  <c r="DN114" i="2" s="1"/>
  <c r="DN66" i="2" a="1"/>
  <c r="DN66" i="2" s="1"/>
  <c r="DN50" i="2" a="1"/>
  <c r="DN50" i="2" s="1"/>
  <c r="DN186" i="2" a="1"/>
  <c r="DN186" i="2" s="1"/>
  <c r="EI178" i="2" a="1"/>
  <c r="EI178" i="2" s="1"/>
  <c r="EI198" i="2" a="1"/>
  <c r="EI198" i="2" s="1"/>
  <c r="FY18" i="2" a="1"/>
  <c r="FY18" i="2" s="1"/>
  <c r="FY22" i="2" a="1"/>
  <c r="FY22" i="2" s="1"/>
  <c r="DN103" i="2" a="1"/>
  <c r="DN103" i="2" s="1"/>
  <c r="DN188" i="2" a="1"/>
  <c r="DN188" i="2" s="1"/>
  <c r="DN113" i="2" a="1"/>
  <c r="DN113" i="2" s="1"/>
  <c r="DN137" i="2" a="1"/>
  <c r="DN137" i="2" s="1"/>
  <c r="EI145" i="2" a="1"/>
  <c r="EI145" i="2" s="1"/>
  <c r="CS137" i="2" a="1"/>
  <c r="CS137" i="2" s="1"/>
  <c r="DN86" i="2" a="1"/>
  <c r="DN86" i="2" s="1"/>
  <c r="DN25" i="2" a="1"/>
  <c r="DN25" i="2" s="1"/>
  <c r="CS129" i="2" a="1"/>
  <c r="CS129" i="2" s="1"/>
  <c r="EI162" i="2" a="1"/>
  <c r="EI162" i="2" s="1"/>
  <c r="CS38" i="2" a="1"/>
  <c r="CS38" i="2" s="1"/>
  <c r="DN123" i="2" a="1"/>
  <c r="DN123" i="2" s="1"/>
  <c r="DN177" i="2" a="1"/>
  <c r="DN177" i="2" s="1"/>
  <c r="DN184" i="2" a="1"/>
  <c r="DN184" i="2" s="1"/>
  <c r="CS52" i="2" a="1"/>
  <c r="CS52" i="2" s="1"/>
  <c r="EI150" i="2" a="1"/>
  <c r="EI150" i="2" s="1"/>
  <c r="CS105" i="2" a="1"/>
  <c r="CS105" i="2" s="1"/>
  <c r="DN115" i="2" a="1"/>
  <c r="DN115" i="2" s="1"/>
  <c r="DN152" i="2" a="1"/>
  <c r="DN152" i="2" s="1"/>
  <c r="DN124" i="2" a="1"/>
  <c r="DN124" i="2" s="1"/>
  <c r="EI29" i="2" a="1"/>
  <c r="EI29" i="2" s="1"/>
  <c r="HG203" i="2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<sst xmlns="http://schemas.openxmlformats.org/spreadsheetml/2006/main" count="1172" uniqueCount="325">
  <si>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</si>
  <si>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</si>
  <si>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</si>
  <si>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</si>
  <si>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</si>
  <si>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</si>
  <si>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</si>
  <si>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</si>
  <si>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</si>
  <si>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</si>
  <si>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</si>
  <si>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</si>
  <si>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</si>
  <si>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</si>
  <si>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</si>
  <si>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</si>
  <si>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</si>
  <si>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</si>
  <si>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</si>
  <si>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</si>
  <si>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</si>
  <si>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</si>
  <si>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</si>
  <si>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</si>
  <si>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</si>
  <si>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</si>
  <si>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</si>
  <si>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</si>
  <si>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</si>
  <si>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</si>
  <si>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</si>
  <si>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</si>
  <si>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</si>
  <si>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</si>
  <si>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</si>
  <si>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</si>
  <si>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</si>
  <si>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</si>
  <si>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</si>
  <si>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</si>
  <si>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</si>
  <si>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</si>
  <si>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</si>
  <si>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</si>
  <si>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</si>
  <si>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</si>
  <si>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</si>
  <si>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</si>
  <si>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</si>
  <si>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</si>
  <si>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</si>
  <si>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</si>
  <si>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</si>
  <si>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</si>
  <si>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</si>
  <si>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</si>
  <si>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</si>
  <si>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</si>
  <si>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</si>
  <si>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</si>
  <si>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</si>
  <si>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</si>
  <si>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</si>
  <si>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</si>
  <si>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</si>
  <si>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</si>
  <si>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</si>
  <si>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</si>
  <si>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</si>
  <si>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</si>
  <si>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</si>
  <si>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</si>
  <si>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</si>
  <si>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</si>
  <si>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</si>
  <si>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</si>
  <si>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</si>
  <si>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</si>
  <si>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</si>
  <si>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</si>
  <si>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</si>
  <si>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</si>
  <si>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</si>
  <si>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</si>
  <si>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</si>
  <si>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</si>
  <si>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</si>
  <si>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</si>
  <si>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</si>
  <si>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</si>
  <si>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</si>
  <si>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</si>
  <si>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</si>
  <si>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</si>
  <si>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</si>
  <si>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</si>
  <si>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</si>
  <si>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</si>
  <si>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</si>
  <si>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</si>
  <si>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</si>
  <si>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</si>
  <si>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</si>
  <si>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</si>
  <si>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</si>
  <si>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</si>
  <si>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</si>
  <si>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</si>
  <si>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</si>
  <si>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</si>
  <si>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</si>
  <si>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</si>
  <si>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</si>
  <si>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</si>
  <si>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</si>
  <si>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</si>
  <si>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</si>
  <si>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</si>
  <si>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</si>
  <si>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</si>
  <si>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</si>
  <si>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</si>
  <si>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</si>
  <si>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</si>
  <si>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</si>
  <si>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</si>
  <si>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</si>
  <si>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</si>
  <si>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</si>
  <si>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</si>
  <si>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</si>
  <si>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</si>
  <si>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</si>
  <si>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</si>
  <si>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</si>
  <si>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</si>
  <si>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</si>
  <si>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</si>
  <si>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</si>
  <si>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</si>
  <si>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</si>
  <si>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</si>
  <si>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</si>
  <si>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</si>
  <si>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</si>
  <si>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</si>
  <si>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</si>
  <si>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</si>
  <si>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</si>
  <si>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</si>
  <si>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</si>
  <si>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</si>
  <si>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</si>
  <si>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</si>
  <si>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</si>
  <si>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</si>
  <si>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</si>
  <si>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</si>
  <si>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</si>
  <si>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</si>
  <si>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</si>
  <si>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</si>
  <si>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</si>
  <si>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</si>
  <si>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</si>
  <si>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</si>
  <si>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</si>
  <si>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</si>
  <si>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</si>
  <si>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</si>
  <si>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</si>
  <si>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</si>
  <si>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</si>
  <si>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</si>
  <si>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</si>
  <si>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</si>
  <si>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</si>
  <si>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</si>
  <si>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</si>
  <si>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</si>
  <si>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</si>
  <si>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</si>
  <si>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</si>
  <si>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</si>
  <si>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</si>
  <si>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</si>
  <si>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</si>
  <si>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</si>
  <si>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</si>
  <si>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</si>
  <si>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</si>
  <si>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</si>
  <si>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</si>
  <si>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</si>
  <si>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</si>
  <si>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</si>
  <si>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</si>
  <si>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</si>
  <si>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</si>
  <si>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</si>
  <si>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</si>
  <si>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</si>
  <si>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</si>
  <si>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</si>
  <si>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</si>
  <si>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</si>
  <si>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</si>
  <si>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</si>
  <si>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</si>
  <si>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</si>
  <si>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</si>
  <si>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</si>
  <si>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</si>
  <si>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</si>
  <si>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</si>
  <si>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</si>
  <si>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</si>
  <si>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</si>
  <si>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</si>
  <si>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</si>
  <si>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</si>
  <si>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</si>
  <si>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</si>
  <si>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</si>
  <si>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</si>
  <si>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</si>
  <si>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</si>
  <si>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</si>
  <si>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</si>
  <si>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</si>
  <si>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</si>
  <si>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</si>
  <si>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</si>
  <si>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</si>
  <si>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</si>
  <si>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</si>
  <si>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</si>
  <si>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</si>
  <si>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</si>
  <si>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</si>
  <si>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</si>
  <si>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</si>
  <si>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</si>
  <si>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</si>
  <si>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</si>
  <si>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</si>
  <si>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</si>
  <si>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</si>
  <si>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</si>
  <si>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</si>
  <si>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</si>
  <si>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</si>
  <si>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</si>
  <si>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</si>
  <si>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</si>
  <si>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</si>
  <si>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</si>
  <si>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</si>
  <si>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</si>
  <si>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</si>
  <si>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</si>
  <si>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</si>
  <si>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</si>
  <si>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</si>
  <si>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</si>
  <si>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</si>
  <si>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</si>
  <si>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</si>
  <si>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</si>
  <si>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</si>
  <si>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</si>
  <si>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</si>
  <si>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</si>
  <si>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</si>
  <si>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</si>
  <si>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</si>
  <si>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</si>
  <si>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</si>
  <si>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</si>
  <si>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</si>
  <si>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</si>
  <si>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</si>
  <si>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</si>
  <si>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</si>
  <si>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</si>
  <si>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</si>
  <si>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</si>
  <si>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</si>
  <si>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</si>
  <si>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</si>
  <si>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</si>
  <si>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</si>
  <si>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</si>
  <si>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</si>
  <si>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</si>
  <si>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</si>
  <si>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</si>
  <si>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</si>
  <si>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</si>
  <si>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</si>
  <si>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</si>
  <si>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</si>
  <si>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</si>
  <si>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</si>
  <si>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</si>
  <si>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</si>
  <si>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</si>
  <si>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</si>
  <si>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</si>
  <si>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</si>
  <si>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</si>
  <si>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</si>
  <si>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</si>
  <si>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</si>
  <si>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</si>
  <si>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</si>
  <si>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</si>
  <si>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</si>
  <si>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</si>
  <si>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</si>
  <si>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</si>
  <si>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</si>
  <si>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</si>
  <si>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</si>
  <si>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dont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</si>
</sst>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592.45948058080216</c:v>
                </c:pt>
                <c:pt idx="117">
                  <c:v>600.16297452894207</c:v>
                </c:pt>
                <c:pt idx="118">
                  <c:v>607.86441342813634</c:v>
                </c:pt>
                <c:pt idx="119">
                  <c:v>615.56382698883374</c:v>
                </c:pt>
                <c:pt idx="120">
                  <c:v>623.26124411759099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3" zoomScale="115" zoomScaleNormal="115" workbookViewId="0">
      <selection activeCell="H7" sqref="H7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7" zoomScale="90" zoomScaleNormal="90" workbookViewId="0">
      <selection activeCell="C24" sqref="C24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12.43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0.89</v>
      </c>
      <c r="D9" s="33">
        <f t="shared" ref="D9:D18" si="0">C9*$C$5</f>
        <v>11.0627</v>
      </c>
      <c r="E9" s="34">
        <v>30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</v>
      </c>
      <c r="C10" s="32">
        <v>0.11</v>
      </c>
      <c r="D10" s="33">
        <f t="shared" si="0"/>
        <v>1.3673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12.43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106</v>
      </c>
      <c r="C36" s="60">
        <v>1</v>
      </c>
      <c r="D36" s="60">
        <v>34</v>
      </c>
      <c r="E36" s="51"/>
      <c r="F36" s="51"/>
      <c r="G36" s="51">
        <v>1</v>
      </c>
      <c r="H36" s="51"/>
      <c r="I36" s="49">
        <f>IFERROR(B36/A36,"")</f>
        <v>8.8333333333333339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17</v>
      </c>
      <c r="B37" s="60">
        <v>176</v>
      </c>
      <c r="C37" s="60">
        <v>2</v>
      </c>
      <c r="D37" s="60">
        <v>43</v>
      </c>
      <c r="E37" s="51">
        <v>0.2</v>
      </c>
      <c r="F37" s="51"/>
      <c r="G37" s="51">
        <v>0.8</v>
      </c>
      <c r="H37" s="51"/>
      <c r="I37" s="53">
        <f t="shared" ref="I37:I55" si="1">IF(A37&lt;&gt;0,(B37-(B36-D36))/(A37-A36),"")</f>
        <v>20.8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22</v>
      </c>
      <c r="B38" s="60">
        <v>232</v>
      </c>
      <c r="C38" s="60">
        <v>3</v>
      </c>
      <c r="D38" s="60">
        <v>56</v>
      </c>
      <c r="E38" s="51">
        <v>0.4</v>
      </c>
      <c r="F38" s="51"/>
      <c r="G38" s="51">
        <v>0.6</v>
      </c>
      <c r="H38" s="51"/>
      <c r="I38" s="53">
        <f t="shared" si="1"/>
        <v>19.8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309</v>
      </c>
      <c r="C39" s="60">
        <v>4</v>
      </c>
      <c r="D39" s="60">
        <v>309</v>
      </c>
      <c r="E39" s="51">
        <v>0.4</v>
      </c>
      <c r="F39" s="51">
        <v>0.4</v>
      </c>
      <c r="G39" s="51">
        <v>0.2</v>
      </c>
      <c r="H39" s="51"/>
      <c r="I39" s="49">
        <f t="shared" si="1"/>
        <v>16.625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25</v>
      </c>
      <c r="B62" s="60">
        <v>70</v>
      </c>
      <c r="C62" s="60">
        <v>1</v>
      </c>
      <c r="D62" s="60">
        <v>8</v>
      </c>
      <c r="E62" s="51"/>
      <c r="F62" s="51"/>
      <c r="G62" s="51"/>
      <c r="H62" s="51">
        <v>1</v>
      </c>
      <c r="I62" s="53">
        <f>IFERROR(B62/A62,"")</f>
        <v>2.8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30</v>
      </c>
      <c r="B63" s="60">
        <v>97</v>
      </c>
      <c r="C63" s="60">
        <v>2</v>
      </c>
      <c r="D63" s="60">
        <v>21</v>
      </c>
      <c r="E63" s="51"/>
      <c r="F63" s="51"/>
      <c r="G63" s="51"/>
      <c r="H63" s="51">
        <v>1</v>
      </c>
      <c r="I63" s="49">
        <f>IF(A63&lt;&gt;0,(B63-(B62-D62))/(A63-A62),"")</f>
        <v>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35</v>
      </c>
      <c r="B64" s="60">
        <v>116</v>
      </c>
      <c r="C64" s="60">
        <v>3</v>
      </c>
      <c r="D64" s="60">
        <v>21</v>
      </c>
      <c r="E64" s="51"/>
      <c r="F64" s="51"/>
      <c r="G64" s="51"/>
      <c r="H64" s="51"/>
      <c r="I64" s="49">
        <f>IF(A64&lt;&gt;0,(B64-(B63-D63))/(A64-A63),"")</f>
        <v>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40</v>
      </c>
      <c r="B65" s="60">
        <v>137</v>
      </c>
      <c r="C65" s="60">
        <v>4</v>
      </c>
      <c r="D65" s="60">
        <v>21</v>
      </c>
      <c r="E65" s="51"/>
      <c r="F65" s="51"/>
      <c r="G65" s="51"/>
      <c r="H65" s="51"/>
      <c r="I65" s="49">
        <f>IF(A65&lt;&gt;0,(B65-(B64-D64))/(A65-A64),"")</f>
        <v>8.4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45</v>
      </c>
      <c r="B66" s="60">
        <v>158</v>
      </c>
      <c r="C66" s="60">
        <v>5</v>
      </c>
      <c r="D66" s="60">
        <v>21</v>
      </c>
      <c r="E66" s="51"/>
      <c r="F66" s="51"/>
      <c r="G66" s="51"/>
      <c r="H66" s="51"/>
      <c r="I66" s="49">
        <f t="shared" ref="I66:I81" si="2">IF(A66&lt;&gt;0,(B66-(B65-D65))/(A66-A65),"")</f>
        <v>8.4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50</v>
      </c>
      <c r="B67" s="60">
        <v>178</v>
      </c>
      <c r="C67" s="60">
        <v>6</v>
      </c>
      <c r="D67" s="60">
        <v>21</v>
      </c>
      <c r="E67" s="51"/>
      <c r="F67" s="51"/>
      <c r="G67" s="51"/>
      <c r="H67" s="51"/>
      <c r="I67" s="49">
        <f t="shared" si="2"/>
        <v>8.1999999999999993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55</v>
      </c>
      <c r="B68" s="60">
        <v>197</v>
      </c>
      <c r="C68" s="60">
        <v>7</v>
      </c>
      <c r="D68" s="60">
        <v>21</v>
      </c>
      <c r="E68" s="51"/>
      <c r="F68" s="51"/>
      <c r="G68" s="51"/>
      <c r="H68" s="51"/>
      <c r="I68" s="49">
        <f t="shared" si="2"/>
        <v>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60</v>
      </c>
      <c r="B69" s="50">
        <v>214</v>
      </c>
      <c r="C69" s="50">
        <v>8</v>
      </c>
      <c r="D69" s="50">
        <v>21</v>
      </c>
      <c r="E69" s="51"/>
      <c r="F69" s="51"/>
      <c r="G69" s="51"/>
      <c r="H69" s="51"/>
      <c r="I69" s="49">
        <f t="shared" si="2"/>
        <v>7.6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65</v>
      </c>
      <c r="B70" s="50">
        <v>229</v>
      </c>
      <c r="C70" s="50">
        <v>9</v>
      </c>
      <c r="D70" s="50">
        <v>21</v>
      </c>
      <c r="E70" s="51"/>
      <c r="F70" s="51"/>
      <c r="G70" s="51"/>
      <c r="H70" s="51"/>
      <c r="I70" s="49">
        <f t="shared" si="2"/>
        <v>7.2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70</v>
      </c>
      <c r="B71" s="50">
        <v>242</v>
      </c>
      <c r="C71" s="50">
        <v>10</v>
      </c>
      <c r="D71" s="50">
        <v>21</v>
      </c>
      <c r="E71" s="51"/>
      <c r="F71" s="51"/>
      <c r="G71" s="51"/>
      <c r="H71" s="51"/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75</v>
      </c>
      <c r="B72" s="50">
        <v>252</v>
      </c>
      <c r="C72" s="50">
        <v>11</v>
      </c>
      <c r="D72" s="50">
        <v>21</v>
      </c>
      <c r="E72" s="51"/>
      <c r="F72" s="51"/>
      <c r="G72" s="51"/>
      <c r="H72" s="51"/>
      <c r="I72" s="49">
        <f t="shared" si="2"/>
        <v>6.2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80</v>
      </c>
      <c r="B73" s="50">
        <v>261</v>
      </c>
      <c r="C73" s="50">
        <v>12</v>
      </c>
      <c r="D73" s="50">
        <v>21</v>
      </c>
      <c r="E73" s="51"/>
      <c r="F73" s="51"/>
      <c r="G73" s="51"/>
      <c r="H73" s="51"/>
      <c r="I73" s="49">
        <f t="shared" si="2"/>
        <v>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85</v>
      </c>
      <c r="B74" s="50">
        <v>269</v>
      </c>
      <c r="C74" s="50">
        <v>13</v>
      </c>
      <c r="D74" s="50">
        <v>21</v>
      </c>
      <c r="E74" s="51"/>
      <c r="F74" s="51"/>
      <c r="G74" s="51"/>
      <c r="H74" s="51"/>
      <c r="I74" s="49">
        <f t="shared" si="2"/>
        <v>5.8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90</v>
      </c>
      <c r="B75" s="50">
        <v>275</v>
      </c>
      <c r="C75" s="50">
        <v>14</v>
      </c>
      <c r="D75" s="50">
        <v>21</v>
      </c>
      <c r="E75" s="51"/>
      <c r="F75" s="51"/>
      <c r="G75" s="51"/>
      <c r="H75" s="51"/>
      <c r="I75" s="49">
        <f t="shared" si="2"/>
        <v>5.4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95</v>
      </c>
      <c r="B76" s="50">
        <v>279</v>
      </c>
      <c r="C76" s="50">
        <v>15</v>
      </c>
      <c r="D76" s="50">
        <v>21</v>
      </c>
      <c r="E76" s="51"/>
      <c r="F76" s="51"/>
      <c r="G76" s="51"/>
      <c r="H76" s="51"/>
      <c r="I76" s="49">
        <f t="shared" si="2"/>
        <v>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>
        <v>100</v>
      </c>
      <c r="B77" s="50">
        <v>282</v>
      </c>
      <c r="C77" s="50">
        <v>16</v>
      </c>
      <c r="D77" s="50">
        <v>21</v>
      </c>
      <c r="E77" s="51"/>
      <c r="F77" s="51"/>
      <c r="G77" s="51"/>
      <c r="H77" s="51"/>
      <c r="I77" s="49">
        <f t="shared" si="2"/>
        <v>4.8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>
        <v>105</v>
      </c>
      <c r="B78" s="50">
        <v>284</v>
      </c>
      <c r="C78" s="50">
        <v>17</v>
      </c>
      <c r="D78" s="50">
        <v>20</v>
      </c>
      <c r="E78" s="51"/>
      <c r="F78" s="51"/>
      <c r="G78" s="51"/>
      <c r="H78" s="51"/>
      <c r="I78" s="49">
        <f t="shared" si="2"/>
        <v>4.5999999999999996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>
        <v>110</v>
      </c>
      <c r="B79" s="50">
        <v>285</v>
      </c>
      <c r="C79" s="50">
        <v>18</v>
      </c>
      <c r="D79" s="50">
        <v>19</v>
      </c>
      <c r="E79" s="51"/>
      <c r="F79" s="51"/>
      <c r="G79" s="51"/>
      <c r="H79" s="51"/>
      <c r="I79" s="49">
        <f t="shared" si="2"/>
        <v>4.2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>
        <v>115</v>
      </c>
      <c r="B80" s="50">
        <v>285</v>
      </c>
      <c r="C80" s="50">
        <v>19</v>
      </c>
      <c r="D80" s="50">
        <v>18</v>
      </c>
      <c r="E80" s="51"/>
      <c r="F80" s="51"/>
      <c r="G80" s="51"/>
      <c r="H80" s="51"/>
      <c r="I80" s="49">
        <f t="shared" si="2"/>
        <v>3.8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>
        <v>120</v>
      </c>
      <c r="B81" s="50">
        <v>285</v>
      </c>
      <c r="C81" s="50">
        <v>20</v>
      </c>
      <c r="D81" s="50">
        <v>285</v>
      </c>
      <c r="E81" s="51"/>
      <c r="F81" s="51"/>
      <c r="G81" s="51"/>
      <c r="H81" s="51"/>
      <c r="I81" s="49">
        <f t="shared" si="2"/>
        <v>3.6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6" sqref="F2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143.12123169427508</v>
      </c>
      <c r="T3" s="59">
        <f>IF('Données projet'!E9&gt;30,$R$33-$H$33,LOOKUP('Données projet'!$E$9,$A$3:$A$203,R3:R203)-LOOKUP('Données projet'!$E$9,$A$3:$A$203,$H$3:$H$203))</f>
        <v>351.98518810889152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280.88930300426705</v>
      </c>
      <c r="AO3" s="59">
        <f>IF('Données projet'!E10&gt;30,$AM$33-$H$33,LOOKUP('Données projet'!$E$10,$A$3:$A$203,AM3:AM203)-LOOKUP('Données projet'!$E$10,$A$3:$A$203,$H$3:$H$203))</f>
        <v>166.95395852420467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1">
        <f>IFERROR(EXP(-1.0587+0.8836*LN(C4)+0.284),0)</f>
        <v>0.35031814074723205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67">
        <f t="shared" ref="H4:H67" si="1">(B4+E4+F4)*44/12+(C4+D4)*0.475*44/12</f>
        <v>295.22046076180141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8.8333333333333339</v>
      </c>
      <c r="N4" s="13">
        <f>IF('Données projet'!$A$36&gt;35,N3+M4-V3,IF(A4&lt;'Données projet'!$A$36,$K$205^A4,IF(A4='Données projet'!$A$36,'Données projet'!$B$36,N3+M4-V3)))</f>
        <v>1.4749438547769935</v>
      </c>
      <c r="O4" s="13">
        <f>N4*VLOOKUP('Données projet'!$B$9,Paramètres!$A$1:$I$89,3,0)*VLOOKUP('Données projet'!$B$9,Paramètres!$A$1:$I$89,5,0)</f>
        <v>0.88201642515664225</v>
      </c>
      <c r="P4" s="13">
        <f>EXP(-1.0587+0.8836*LN(O4)+0.284)</f>
        <v>0.4124537465701128</v>
      </c>
      <c r="Q4" s="20">
        <f t="shared" ref="Q4:Q34" si="2">(O4+P4)*0.475*44/12</f>
        <v>2.254535549090765</v>
      </c>
      <c r="R4" s="59">
        <f t="shared" si="0"/>
        <v>295.58786888242406</v>
      </c>
      <c r="S4" s="59">
        <f ca="1">AVERAGE(OFFSET($R$3,0,0,'Données projet'!$E$9+1,1))-AVERAGE(OFFSET($H$3,0,0,'Données projet'!$E$9+1,1))</f>
        <v>143.12123169427508</v>
      </c>
      <c r="T4" s="59">
        <f>$T$3</f>
        <v>351.98518810889152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</v>
      </c>
      <c r="AI4" s="13">
        <f>IF('Données projet'!$A$62&gt;35,AI3+AH4-AQ3,IF(A4&lt;'Données projet'!$A$62,$AF$205^A4,IF(A4='Données projet'!$A$62,'Données projet'!$B$62,AI3+AH4-AQ3)))</f>
        <v>1.1852335095914694</v>
      </c>
      <c r="AJ4" s="13">
        <f>AI4*VLOOKUP('Données projet'!$B$10,Paramètres!$A$1:$I$89,3,0)*VLOOKUP('Données projet'!$B$10,Paramètres!$A$1:$I$89,5,0)</f>
        <v>1.2018267787257499</v>
      </c>
      <c r="AK4" s="13">
        <f>EXP(-1.0587+0.8836*LN(AJ4)+0.284)</f>
        <v>0.5421261382842083</v>
      </c>
      <c r="AL4" s="20">
        <f t="shared" ref="AL4:AL67" si="4">(AJ4+AK4)*0.475*44/12</f>
        <v>3.0373846637923445</v>
      </c>
      <c r="AM4" s="59">
        <f t="shared" ref="AM4:AM67" si="5">AL4+(AD4+AE4)*44/12</f>
        <v>296.37071799712567</v>
      </c>
      <c r="AN4" s="59">
        <f ca="1">AVERAGE(OFFSET($AM$3,0,0,'Données projet'!$E$10+1,1))-AVERAGE(OFFSET($H$3,0,0,'Données projet'!$E$10+1,1))</f>
        <v>280.88930300426705</v>
      </c>
      <c r="AO4" s="59">
        <f>$AO$3</f>
        <v>166.95395852420467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1">
        <f t="shared" ref="D5:D68" si="32">IFERROR(EXP(-1.0587+0.8836*LN(C5)+0.284),0)</f>
        <v>0.64632764391155073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67">
        <f t="shared" si="1"/>
        <v>297.01300064647927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8.8333333333333339</v>
      </c>
      <c r="N5" s="13">
        <f>IF('Données projet'!$A$36&gt;35,N4+M5-V4,IF(A5&lt;'Données projet'!$A$36,$K$205^A5,IF(A5='Données projet'!$A$36,'Données projet'!$B$36,N4+M5-V4)))</f>
        <v>2.1754593747444169</v>
      </c>
      <c r="O5" s="13">
        <f>N5*VLOOKUP('Données projet'!$B$9,Paramètres!$A$1:$I$89,3,0)*VLOOKUP('Données projet'!$B$9,Paramètres!$A$1:$I$89,5,0)</f>
        <v>1.3009247060971614</v>
      </c>
      <c r="P5" s="13">
        <f t="shared" ref="P5:P68" si="33">EXP(-1.0587+0.8836*LN(O5)+0.284)</f>
        <v>0.58144049425293109</v>
      </c>
      <c r="Q5" s="20">
        <f t="shared" si="2"/>
        <v>3.2784527239430776</v>
      </c>
      <c r="R5" s="59">
        <f t="shared" si="0"/>
        <v>296.61178605727639</v>
      </c>
      <c r="S5" s="59">
        <f ca="1">AVERAGE(OFFSET($R$3,0,0,'Données projet'!$E$9+1,1))-AVERAGE(OFFSET($H$3,0,0,'Données projet'!$E$9+1,1))</f>
        <v>143.12123169427508</v>
      </c>
      <c r="T5" s="59">
        <f t="shared" ref="T5:T68" si="34">$T$3</f>
        <v>351.98518810889152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</v>
      </c>
      <c r="AI5" s="13">
        <f>IF('Données projet'!$A$62&gt;35,AI4+AH5-AQ4,IF(A5&lt;'Données projet'!$A$62,$AF$205^A5,IF(A5='Données projet'!$A$62,'Données projet'!$B$62,AI4+AH5-AQ4)))</f>
        <v>1.4047784722585119</v>
      </c>
      <c r="AJ5" s="13">
        <f>AI5*VLOOKUP('Données projet'!$B$10,Paramètres!$A$1:$I$89,3,0)*VLOOKUP('Données projet'!$B$10,Paramètres!$A$1:$I$89,5,0)</f>
        <v>1.4244453708701312</v>
      </c>
      <c r="AK5" s="13">
        <f t="shared" ref="AK5:AK68" si="35">EXP(-1.0587+0.8836*LN(AJ5)+0.284)</f>
        <v>0.62996075113518346</v>
      </c>
      <c r="AL5" s="20">
        <f t="shared" si="4"/>
        <v>3.5780906624925897</v>
      </c>
      <c r="AM5" s="59">
        <f t="shared" si="5"/>
        <v>296.91142399582588</v>
      </c>
      <c r="AN5" s="59">
        <f ca="1">AVERAGE(OFFSET($AM$3,0,0,'Données projet'!$E$10+1,1))-AVERAGE(OFFSET($H$3,0,0,'Données projet'!$E$10+1,1))</f>
        <v>280.88930300426705</v>
      </c>
      <c r="AO5" s="59">
        <f t="shared" ref="AO5:AO68" si="36">$AO$3</f>
        <v>166.95395852420467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1">
        <f t="shared" si="32"/>
        <v>0.92479818325965968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67">
        <f t="shared" si="1"/>
        <v>298.77499350251054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8.8333333333333339</v>
      </c>
      <c r="N6" s="13">
        <f>IF('Données projet'!$A$36&gt;35,N5+M6-V5,IF(A6&lt;'Données projet'!$A$36,$K$205^A6,IF(A6='Données projet'!$A$36,'Données projet'!$B$36,N5+M6-V5)))</f>
        <v>3.2086804360962784</v>
      </c>
      <c r="O6" s="13">
        <f>N6*VLOOKUP('Données projet'!$B$9,Paramètres!$A$1:$I$89,3,0)*VLOOKUP('Données projet'!$B$9,Paramètres!$A$1:$I$89,5,0)</f>
        <v>1.9187909007855746</v>
      </c>
      <c r="P6" s="13">
        <f t="shared" si="33"/>
        <v>0.81966293473739615</v>
      </c>
      <c r="Q6" s="20">
        <f t="shared" si="2"/>
        <v>4.7694737635358404</v>
      </c>
      <c r="R6" s="59">
        <f t="shared" si="0"/>
        <v>298.10280709686913</v>
      </c>
      <c r="S6" s="59">
        <f ca="1">AVERAGE(OFFSET($R$3,0,0,'Données projet'!$E$9+1,1))-AVERAGE(OFFSET($H$3,0,0,'Données projet'!$E$9+1,1))</f>
        <v>143.12123169427508</v>
      </c>
      <c r="T6" s="59">
        <f t="shared" si="34"/>
        <v>351.98518810889152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</v>
      </c>
      <c r="AI6" s="13">
        <f>IF('Données projet'!$A$62&gt;35,AI5+AH6-AQ5,IF(A6&lt;'Données projet'!$A$62,$AF$205^A6,IF(A6='Données projet'!$A$62,'Données projet'!$B$62,AI5+AH6-AQ5)))</f>
        <v>1.6649905188734988</v>
      </c>
      <c r="AJ6" s="13">
        <f>AI6*VLOOKUP('Données projet'!$B$10,Paramètres!$A$1:$I$89,3,0)*VLOOKUP('Données projet'!$B$10,Paramètres!$A$1:$I$89,5,0)</f>
        <v>1.6883003861377279</v>
      </c>
      <c r="AK6" s="13">
        <f t="shared" si="35"/>
        <v>0.7320262203678447</v>
      </c>
      <c r="AL6" s="20">
        <f t="shared" si="4"/>
        <v>4.215402172997206</v>
      </c>
      <c r="AM6" s="59">
        <f t="shared" si="5"/>
        <v>297.5487355063305</v>
      </c>
      <c r="AN6" s="59">
        <f ca="1">AVERAGE(OFFSET($AM$3,0,0,'Données projet'!$E$10+1,1))-AVERAGE(OFFSET($H$3,0,0,'Données projet'!$E$10+1,1))</f>
        <v>280.88930300426705</v>
      </c>
      <c r="AO6" s="59">
        <f t="shared" si="36"/>
        <v>166.95395852420467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1">
        <f t="shared" si="32"/>
        <v>1.1924572972247856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67">
        <f t="shared" si="1"/>
        <v>300.51815645933317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8.8333333333333339</v>
      </c>
      <c r="N7" s="13">
        <f>IF('Données projet'!$A$36&gt;35,N6+M7-V6,IF(A7&lt;'Données projet'!$A$36,$K$205^A7,IF(A7='Données projet'!$A$36,'Données projet'!$B$36,N6+M7-V6)))</f>
        <v>4.7326234911633689</v>
      </c>
      <c r="O7" s="13">
        <f>N7*VLOOKUP('Données projet'!$B$9,Paramètres!$A$1:$I$89,3,0)*VLOOKUP('Données projet'!$B$9,Paramètres!$A$1:$I$89,5,0)</f>
        <v>2.8301088477156946</v>
      </c>
      <c r="P7" s="13">
        <f t="shared" si="33"/>
        <v>1.1554876779704684</v>
      </c>
      <c r="Q7" s="20">
        <f t="shared" si="2"/>
        <v>6.9415806155700679</v>
      </c>
      <c r="R7" s="59">
        <f t="shared" si="0"/>
        <v>300.27491394890336</v>
      </c>
      <c r="S7" s="59">
        <f ca="1">AVERAGE(OFFSET($R$3,0,0,'Données projet'!$E$9+1,1))-AVERAGE(OFFSET($H$3,0,0,'Données projet'!$E$9+1,1))</f>
        <v>143.12123169427508</v>
      </c>
      <c r="T7" s="59">
        <f t="shared" si="34"/>
        <v>351.98518810889152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</v>
      </c>
      <c r="AI7" s="13">
        <f>IF('Données projet'!$A$62&gt;35,AI6+AH7-AQ6,IF(A7&lt;'Données projet'!$A$62,$AF$205^A7,IF(A7='Données projet'!$A$62,'Données projet'!$B$62,AI6+AH7-AQ6)))</f>
        <v>1.9734025561209587</v>
      </c>
      <c r="AJ7" s="13">
        <f>AI7*VLOOKUP('Données projet'!$B$10,Paramètres!$A$1:$I$89,3,0)*VLOOKUP('Données projet'!$B$10,Paramètres!$A$1:$I$89,5,0)</f>
        <v>2.001030191906652</v>
      </c>
      <c r="AK7" s="13">
        <f t="shared" si="35"/>
        <v>0.85062821190115911</v>
      </c>
      <c r="AL7" s="20">
        <f t="shared" si="4"/>
        <v>4.9666383866319377</v>
      </c>
      <c r="AM7" s="59">
        <f t="shared" si="5"/>
        <v>298.29997171996524</v>
      </c>
      <c r="AN7" s="59">
        <f ca="1">AVERAGE(OFFSET($AM$3,0,0,'Données projet'!$E$10+1,1))-AVERAGE(OFFSET($H$3,0,0,'Données projet'!$E$10+1,1))</f>
        <v>280.88930300426705</v>
      </c>
      <c r="AO7" s="59">
        <f t="shared" si="36"/>
        <v>166.95395852420467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1">
        <f t="shared" si="32"/>
        <v>1.4523541267681601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67">
        <f t="shared" si="1"/>
        <v>302.24780010412121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8.8333333333333339</v>
      </c>
      <c r="N8" s="13">
        <f>IF('Données projet'!$A$36&gt;35,N7+M8-V7,IF(A8&lt;'Données projet'!$A$36,$K$205^A8,IF(A8='Données projet'!$A$36,'Données projet'!$B$36,N7+M8-V7)))</f>
        <v>6.9803539352646524</v>
      </c>
      <c r="O8" s="13">
        <f>N8*VLOOKUP('Données projet'!$B$9,Paramètres!$A$1:$I$89,3,0)*VLOOKUP('Données projet'!$B$9,Paramètres!$A$1:$I$89,5,0)</f>
        <v>4.1742516532882625</v>
      </c>
      <c r="P8" s="13">
        <f t="shared" si="33"/>
        <v>1.6289034398869595</v>
      </c>
      <c r="Q8" s="20">
        <f t="shared" si="2"/>
        <v>10.107161787280178</v>
      </c>
      <c r="R8" s="59">
        <f t="shared" si="0"/>
        <v>303.44049512061349</v>
      </c>
      <c r="S8" s="59">
        <f ca="1">AVERAGE(OFFSET($R$3,0,0,'Données projet'!$E$9+1,1))-AVERAGE(OFFSET($H$3,0,0,'Données projet'!$E$9+1,1))</f>
        <v>143.12123169427508</v>
      </c>
      <c r="T8" s="59">
        <f t="shared" si="34"/>
        <v>351.98518810889152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</v>
      </c>
      <c r="AI8" s="13">
        <f>IF('Données projet'!$A$62&gt;35,AI7+AH8-AQ7,IF(A8&lt;'Données projet'!$A$62,$AF$205^A8,IF(A8='Données projet'!$A$62,'Données projet'!$B$62,AI7+AH8-AQ7)))</f>
        <v>2.3389428374280206</v>
      </c>
      <c r="AJ8" s="13">
        <f>AI8*VLOOKUP('Données projet'!$B$10,Paramètres!$A$1:$I$89,3,0)*VLOOKUP('Données projet'!$B$10,Paramètres!$A$1:$I$89,5,0)</f>
        <v>2.3716880371520133</v>
      </c>
      <c r="AK8" s="13">
        <f t="shared" si="35"/>
        <v>0.98844595282197545</v>
      </c>
      <c r="AL8" s="20">
        <f t="shared" si="4"/>
        <v>5.8522333658713634</v>
      </c>
      <c r="AM8" s="59">
        <f t="shared" si="5"/>
        <v>299.18556669920468</v>
      </c>
      <c r="AN8" s="59">
        <f ca="1">AVERAGE(OFFSET($AM$3,0,0,'Données projet'!$E$10+1,1))-AVERAGE(OFFSET($H$3,0,0,'Données projet'!$E$10+1,1))</f>
        <v>280.88930300426705</v>
      </c>
      <c r="AO8" s="59">
        <f t="shared" si="36"/>
        <v>166.95395852420467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1">
        <f t="shared" si="32"/>
        <v>1.7062280291992591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67">
        <f t="shared" si="1"/>
        <v>303.96695381752204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8.8333333333333339</v>
      </c>
      <c r="N9" s="13">
        <f>IF('Données projet'!$A$36&gt;35,N8+M9-V8,IF(A9&lt;'Données projet'!$A$36,$K$205^A9,IF(A9='Données projet'!$A$36,'Données projet'!$B$36,N8+M9-V8)))</f>
        <v>10.295630140987003</v>
      </c>
      <c r="O9" s="13">
        <f>N9*VLOOKUP('Données projet'!$B$9,Paramètres!$A$1:$I$89,3,0)*VLOOKUP('Données projet'!$B$9,Paramètres!$A$1:$I$89,5,0)</f>
        <v>6.1567868243102275</v>
      </c>
      <c r="P9" s="13">
        <f t="shared" si="33"/>
        <v>2.2962827445602434</v>
      </c>
      <c r="Q9" s="20">
        <f t="shared" si="2"/>
        <v>14.722429499116073</v>
      </c>
      <c r="R9" s="59">
        <f t="shared" si="0"/>
        <v>308.05576283244937</v>
      </c>
      <c r="S9" s="59">
        <f ca="1">AVERAGE(OFFSET($R$3,0,0,'Données projet'!$E$9+1,1))-AVERAGE(OFFSET($H$3,0,0,'Données projet'!$E$9+1,1))</f>
        <v>143.12123169427508</v>
      </c>
      <c r="T9" s="59">
        <f t="shared" si="34"/>
        <v>351.98518810889152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</v>
      </c>
      <c r="AI9" s="13">
        <f>IF('Données projet'!$A$62&gt;35,AI8+AH9-AQ8,IF(A9&lt;'Données projet'!$A$62,$AF$205^A9,IF(A9='Données projet'!$A$62,'Données projet'!$B$62,AI8+AH9-AQ8)))</f>
        <v>2.7721934279386429</v>
      </c>
      <c r="AJ9" s="13">
        <f>AI9*VLOOKUP('Données projet'!$B$10,Paramètres!$A$1:$I$89,3,0)*VLOOKUP('Données projet'!$B$10,Paramètres!$A$1:$I$89,5,0)</f>
        <v>2.8110041359297839</v>
      </c>
      <c r="AK9" s="13">
        <f t="shared" si="35"/>
        <v>1.1485927553078508</v>
      </c>
      <c r="AL9" s="20">
        <f t="shared" si="4"/>
        <v>6.8962979189055469</v>
      </c>
      <c r="AM9" s="59">
        <f t="shared" si="5"/>
        <v>300.22963125223885</v>
      </c>
      <c r="AN9" s="59">
        <f ca="1">AVERAGE(OFFSET($AM$3,0,0,'Données projet'!$E$10+1,1))-AVERAGE(OFFSET($H$3,0,0,'Données projet'!$E$10+1,1))</f>
        <v>280.88930300426705</v>
      </c>
      <c r="AO9" s="59">
        <f t="shared" si="36"/>
        <v>166.95395852420467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1">
        <f t="shared" si="32"/>
        <v>1.9552003009222731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67">
        <f t="shared" si="1"/>
        <v>305.67757052410627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8.8333333333333339</v>
      </c>
      <c r="N10" s="13">
        <f>IF('Données projet'!$A$36&gt;35,N9+M10-V9,IF(A10&lt;'Données projet'!$A$36,$K$205^A10,IF(A10='Données projet'!$A$36,'Données projet'!$B$36,N9+M10-V9)))</f>
        <v>15.18547640750557</v>
      </c>
      <c r="O10" s="13">
        <f>N10*VLOOKUP('Données projet'!$B$9,Paramètres!$A$1:$I$89,3,0)*VLOOKUP('Données projet'!$B$9,Paramètres!$A$1:$I$89,5,0)</f>
        <v>9.080914891688332</v>
      </c>
      <c r="P10" s="13">
        <f t="shared" si="33"/>
        <v>3.2370945470721373</v>
      </c>
      <c r="Q10" s="20">
        <f t="shared" si="2"/>
        <v>21.45386643917448</v>
      </c>
      <c r="R10" s="59">
        <f t="shared" si="0"/>
        <v>314.78719977250779</v>
      </c>
      <c r="S10" s="59">
        <f ca="1">AVERAGE(OFFSET($R$3,0,0,'Données projet'!$E$9+1,1))-AVERAGE(OFFSET($H$3,0,0,'Données projet'!$E$9+1,1))</f>
        <v>143.12123169427508</v>
      </c>
      <c r="T10" s="59">
        <f t="shared" si="34"/>
        <v>351.98518810889152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</v>
      </c>
      <c r="AI10" s="13">
        <f>IF('Données projet'!$A$62&gt;35,AI9+AH10-AQ9,IF(A10&lt;'Données projet'!$A$62,$AF$205^A10,IF(A10='Données projet'!$A$62,'Données projet'!$B$62,AI9+AH10-AQ9)))</f>
        <v>3.2856965458621241</v>
      </c>
      <c r="AJ10" s="13">
        <f>AI10*VLOOKUP('Données projet'!$B$10,Paramètres!$A$1:$I$89,3,0)*VLOOKUP('Données projet'!$B$10,Paramètres!$A$1:$I$89,5,0)</f>
        <v>3.3316962975041937</v>
      </c>
      <c r="AK10" s="13">
        <f t="shared" si="35"/>
        <v>1.3346863465617191</v>
      </c>
      <c r="AL10" s="20">
        <f t="shared" si="4"/>
        <v>8.1272831050814656</v>
      </c>
      <c r="AM10" s="59">
        <f t="shared" si="5"/>
        <v>301.46061643841477</v>
      </c>
      <c r="AN10" s="59">
        <f ca="1">AVERAGE(OFFSET($AM$3,0,0,'Données projet'!$E$10+1,1))-AVERAGE(OFFSET($H$3,0,0,'Données projet'!$E$10+1,1))</f>
        <v>280.88930300426705</v>
      </c>
      <c r="AO10" s="59">
        <f t="shared" si="36"/>
        <v>166.95395852420467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1">
        <f t="shared" si="32"/>
        <v>2.2000519691514757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67">
        <f t="shared" si="1"/>
        <v>307.38101051293881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8.8333333333333339</v>
      </c>
      <c r="N11" s="13">
        <f>IF('Données projet'!$A$36&gt;35,N10+M11-V10,IF(A11&lt;'Données projet'!$A$36,$K$205^A11,IF(A11='Données projet'!$A$36,'Données projet'!$B$36,N10+M11-V10)))</f>
        <v>22.397725109111352</v>
      </c>
      <c r="O11" s="13">
        <f>N11*VLOOKUP('Données projet'!$B$9,Paramètres!$A$1:$I$89,3,0)*VLOOKUP('Données projet'!$B$9,Paramètres!$A$1:$I$89,5,0)</f>
        <v>13.39383961524859</v>
      </c>
      <c r="P11" s="13">
        <f t="shared" si="33"/>
        <v>4.5633670903584358</v>
      </c>
      <c r="Q11" s="20">
        <f t="shared" si="2"/>
        <v>31.275468345598899</v>
      </c>
      <c r="R11" s="59">
        <f t="shared" si="0"/>
        <v>324.6088016789322</v>
      </c>
      <c r="S11" s="59">
        <f ca="1">AVERAGE(OFFSET($R$3,0,0,'Données projet'!$E$9+1,1))-AVERAGE(OFFSET($H$3,0,0,'Données projet'!$E$9+1,1))</f>
        <v>143.12123169427508</v>
      </c>
      <c r="T11" s="59">
        <f t="shared" si="34"/>
        <v>351.98518810889152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</v>
      </c>
      <c r="AI11" s="13">
        <f>IF('Données projet'!$A$62&gt;35,AI10+AH11-AQ10,IF(A11&lt;'Données projet'!$A$62,$AF$205^A11,IF(A11='Données projet'!$A$62,'Données projet'!$B$62,AI10+AH11-AQ10)))</f>
        <v>3.8943176485047335</v>
      </c>
      <c r="AJ11" s="13">
        <f>AI11*VLOOKUP('Données projet'!$B$10,Paramètres!$A$1:$I$89,3,0)*VLOOKUP('Données projet'!$B$10,Paramètres!$A$1:$I$89,5,0)</f>
        <v>3.9488380955837998</v>
      </c>
      <c r="AK11" s="13">
        <f t="shared" si="35"/>
        <v>1.5509305935164246</v>
      </c>
      <c r="AL11" s="20">
        <f t="shared" si="4"/>
        <v>9.578763800182891</v>
      </c>
      <c r="AM11" s="59">
        <f t="shared" si="5"/>
        <v>302.91209713351623</v>
      </c>
      <c r="AN11" s="59">
        <f ca="1">AVERAGE(OFFSET($AM$3,0,0,'Données projet'!$E$10+1,1))-AVERAGE(OFFSET($H$3,0,0,'Données projet'!$E$10+1,1))</f>
        <v>280.88930300426705</v>
      </c>
      <c r="AO11" s="59">
        <f t="shared" si="36"/>
        <v>166.95395852420467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1">
        <f t="shared" si="32"/>
        <v>2.4413570988248194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67">
        <f t="shared" si="1"/>
        <v>309.07827361378656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8.8333333333333339</v>
      </c>
      <c r="N12" s="13">
        <f>IF('Données projet'!$A$36&gt;35,N11+M12-V11,IF(A12&lt;'Données projet'!$A$36,$K$205^A12,IF(A12='Données projet'!$A$36,'Données projet'!$B$36,N11+M12-V11)))</f>
        <v>33.035387010668153</v>
      </c>
      <c r="O12" s="13">
        <f>N12*VLOOKUP('Données projet'!$B$9,Paramètres!$A$1:$I$89,3,0)*VLOOKUP('Données projet'!$B$9,Paramètres!$A$1:$I$89,5,0)</f>
        <v>19.755161432379555</v>
      </c>
      <c r="P12" s="13">
        <f t="shared" si="33"/>
        <v>6.433027796547198</v>
      </c>
      <c r="Q12" s="20">
        <f t="shared" si="2"/>
        <v>45.61109624038076</v>
      </c>
      <c r="R12" s="59">
        <f t="shared" si="0"/>
        <v>338.94442957371405</v>
      </c>
      <c r="S12" s="59">
        <f ca="1">AVERAGE(OFFSET($R$3,0,0,'Données projet'!$E$9+1,1))-AVERAGE(OFFSET($H$3,0,0,'Données projet'!$E$9+1,1))</f>
        <v>143.12123169427508</v>
      </c>
      <c r="T12" s="59">
        <f t="shared" si="34"/>
        <v>351.98518810889152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</v>
      </c>
      <c r="AI12" s="13">
        <f>IF('Données projet'!$A$62&gt;35,AI11+AH12-AQ11,IF(A12&lt;'Données projet'!$A$62,$AF$205^A12,IF(A12='Données projet'!$A$62,'Données projet'!$B$62,AI11+AH12-AQ11)))</f>
        <v>4.6156757740012635</v>
      </c>
      <c r="AJ12" s="13">
        <f>AI12*VLOOKUP('Données projet'!$B$10,Paramètres!$A$1:$I$89,3,0)*VLOOKUP('Données projet'!$B$10,Paramètres!$A$1:$I$89,5,0)</f>
        <v>4.6802952348372813</v>
      </c>
      <c r="AK12" s="13">
        <f t="shared" si="35"/>
        <v>1.8022104684757689</v>
      </c>
      <c r="AL12" s="20">
        <f t="shared" si="4"/>
        <v>11.290364099936896</v>
      </c>
      <c r="AM12" s="59">
        <f t="shared" si="5"/>
        <v>304.62369743327019</v>
      </c>
      <c r="AN12" s="59">
        <f ca="1">AVERAGE(OFFSET($AM$3,0,0,'Données projet'!$E$10+1,1))-AVERAGE(OFFSET($H$3,0,0,'Données projet'!$E$10+1,1))</f>
        <v>280.88930300426705</v>
      </c>
      <c r="AO12" s="59">
        <f t="shared" si="36"/>
        <v>166.95395852420467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1">
        <f t="shared" si="32"/>
        <v>2.6795547009841778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67">
        <f t="shared" si="1"/>
        <v>310.77012443754745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8.8333333333333339</v>
      </c>
      <c r="N13" s="13">
        <f>IF('Données projet'!$A$36&gt;35,N12+M13-V12,IF(A13&lt;'Données projet'!$A$36,$K$205^A13,IF(A13='Données projet'!$A$36,'Données projet'!$B$36,N12+M13-V12)))</f>
        <v>48.725341061564706</v>
      </c>
      <c r="O13" s="13">
        <f>N13*VLOOKUP('Données projet'!$B$9,Paramètres!$A$1:$I$89,3,0)*VLOOKUP('Données projet'!$B$9,Paramètres!$A$1:$I$89,5,0)</f>
        <v>29.137753954815693</v>
      </c>
      <c r="P13" s="13">
        <f t="shared" si="33"/>
        <v>9.0687086556296208</v>
      </c>
      <c r="Q13" s="20">
        <f t="shared" si="2"/>
        <v>66.542922379858922</v>
      </c>
      <c r="R13" s="59">
        <f t="shared" si="0"/>
        <v>359.87625571319222</v>
      </c>
      <c r="S13" s="59">
        <f ca="1">AVERAGE(OFFSET($R$3,0,0,'Données projet'!$E$9+1,1))-AVERAGE(OFFSET($H$3,0,0,'Données projet'!$E$9+1,1))</f>
        <v>143.12123169427508</v>
      </c>
      <c r="T13" s="59">
        <f t="shared" si="34"/>
        <v>351.98518810889152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</v>
      </c>
      <c r="AI13" s="13">
        <f>IF('Données projet'!$A$62&gt;35,AI12+AH13-AQ12,IF(A13&lt;'Données projet'!$A$62,$AF$205^A13,IF(A13='Données projet'!$A$62,'Données projet'!$B$62,AI12+AH13-AQ12)))</f>
        <v>5.4706535967558398</v>
      </c>
      <c r="AJ13" s="13">
        <f>AI13*VLOOKUP('Données projet'!$B$10,Paramètres!$A$1:$I$89,3,0)*VLOOKUP('Données projet'!$B$10,Paramètres!$A$1:$I$89,5,0)</f>
        <v>5.5472427471104222</v>
      </c>
      <c r="AK13" s="13">
        <f t="shared" si="35"/>
        <v>2.0942024009724034</v>
      </c>
      <c r="AL13" s="20">
        <f t="shared" si="4"/>
        <v>13.308850299577585</v>
      </c>
      <c r="AM13" s="59">
        <f t="shared" si="5"/>
        <v>306.64218363291093</v>
      </c>
      <c r="AN13" s="59">
        <f ca="1">AVERAGE(OFFSET($AM$3,0,0,'Données projet'!$E$10+1,1))-AVERAGE(OFFSET($H$3,0,0,'Données projet'!$E$10+1,1))</f>
        <v>280.88930300426705</v>
      </c>
      <c r="AO13" s="59">
        <f t="shared" si="36"/>
        <v>166.95395852420467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1">
        <f t="shared" si="32"/>
        <v>2.9149909035839161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67">
        <f t="shared" si="1"/>
        <v>312.45716582374195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8.8333333333333339</v>
      </c>
      <c r="N14" s="13">
        <f>IF('Données projet'!$A$36&gt;35,N13+M14-V13,IF(A14&lt;'Données projet'!$A$36,$K$205^A14,IF(A14='Données projet'!$A$36,'Données projet'!$B$36,N13+M14-V13)))</f>
        <v>71.867142370667978</v>
      </c>
      <c r="O14" s="13">
        <f>N14*VLOOKUP('Données projet'!$B$9,Paramètres!$A$1:$I$89,3,0)*VLOOKUP('Données projet'!$B$9,Paramètres!$A$1:$I$89,5,0)</f>
        <v>42.976551137659456</v>
      </c>
      <c r="P14" s="13">
        <f t="shared" si="33"/>
        <v>12.784256384658107</v>
      </c>
      <c r="Q14" s="20">
        <f t="shared" si="2"/>
        <v>97.116739768036425</v>
      </c>
      <c r="R14" s="59">
        <f t="shared" si="0"/>
        <v>390.45007310136975</v>
      </c>
      <c r="S14" s="59">
        <f ca="1">AVERAGE(OFFSET($R$3,0,0,'Données projet'!$E$9+1,1))-AVERAGE(OFFSET($H$3,0,0,'Données projet'!$E$9+1,1))</f>
        <v>143.12123169427508</v>
      </c>
      <c r="T14" s="59">
        <f t="shared" si="34"/>
        <v>351.98518810889152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</v>
      </c>
      <c r="AI14" s="13">
        <f>IF('Données projet'!$A$62&gt;35,AI13+AH14-AQ13,IF(A14&lt;'Données projet'!$A$62,$AF$205^A14,IF(A14='Données projet'!$A$62,'Données projet'!$B$62,AI13+AH14-AQ13)))</f>
        <v>6.4840019622421199</v>
      </c>
      <c r="AJ14" s="13">
        <f>AI14*VLOOKUP('Données projet'!$B$10,Paramètres!$A$1:$I$89,3,0)*VLOOKUP('Données projet'!$B$10,Paramètres!$A$1:$I$89,5,0)</f>
        <v>6.5747779897135095</v>
      </c>
      <c r="AK14" s="13">
        <f t="shared" si="35"/>
        <v>2.4335025086985533</v>
      </c>
      <c r="AL14" s="20">
        <f t="shared" si="4"/>
        <v>15.689421868067676</v>
      </c>
      <c r="AM14" s="59">
        <f t="shared" si="5"/>
        <v>309.02275520140097</v>
      </c>
      <c r="AN14" s="59">
        <f ca="1">AVERAGE(OFFSET($AM$3,0,0,'Données projet'!$E$10+1,1))-AVERAGE(OFFSET($H$3,0,0,'Données projet'!$E$10+1,1))</f>
        <v>280.88930300426705</v>
      </c>
      <c r="AO14" s="59">
        <f t="shared" si="36"/>
        <v>166.95395852420467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1">
        <f t="shared" si="32"/>
        <v>3.1479452926301796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67">
        <f t="shared" si="1"/>
        <v>314.13988471799752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8.8333333333333339</v>
      </c>
      <c r="M15" s="12">
        <f t="array" ref="M15">INDEX(L:L,MIN(IF(ISNUMBER(L15:L211),ROW(L15:L211),"")))</f>
        <v>8.8333333333333339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143.12123169427508</v>
      </c>
      <c r="T15" s="59">
        <f t="shared" si="34"/>
        <v>351.98518810889152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</v>
      </c>
      <c r="AI15" s="13">
        <f>IF('Données projet'!$A$62&gt;35,AI14+AH15-AQ14,IF(A15&lt;'Données projet'!$A$62,$AF$205^A15,IF(A15='Données projet'!$A$62,'Données projet'!$B$62,AI14+AH15-AQ14)))</f>
        <v>7.685056401906202</v>
      </c>
      <c r="AJ15" s="13">
        <f>AI15*VLOOKUP('Données projet'!$B$10,Paramètres!$A$1:$I$89,3,0)*VLOOKUP('Données projet'!$B$10,Paramètres!$A$1:$I$89,5,0)</f>
        <v>7.7926471915328897</v>
      </c>
      <c r="AK15" s="13">
        <f t="shared" si="35"/>
        <v>2.827775604255069</v>
      </c>
      <c r="AL15" s="20">
        <f t="shared" si="4"/>
        <v>18.497236369330697</v>
      </c>
      <c r="AM15" s="59">
        <f t="shared" si="5"/>
        <v>311.83056970266404</v>
      </c>
      <c r="AN15" s="59">
        <f ca="1">AVERAGE(OFFSET($AM$3,0,0,'Données projet'!$E$10+1,1))-AVERAGE(OFFSET($H$3,0,0,'Données projet'!$E$10+1,1))</f>
        <v>280.88930300426705</v>
      </c>
      <c r="AO15" s="59">
        <f t="shared" si="36"/>
        <v>166.95395852420467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1">
        <f t="shared" si="32"/>
        <v>3.3786481992658062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67">
        <f t="shared" si="1"/>
        <v>315.81868228038792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20.8</v>
      </c>
      <c r="N16" s="13">
        <f>IF('Données projet'!$A$36&gt;35,N15+M16-V15,IF(A16&lt;'Données projet'!$A$36,$K$205^A16,IF(A16='Données projet'!$A$36,'Données projet'!$B$36,N15+M16-V15)))</f>
        <v>92.8</v>
      </c>
      <c r="O16" s="13">
        <f>N16*VLOOKUP('Données projet'!$B$9,Paramètres!$A$1:$I$89,3,0)*VLOOKUP('Données projet'!$B$9,Paramètres!$A$1:$I$89,5,0)</f>
        <v>55.494400000000006</v>
      </c>
      <c r="P16" s="13">
        <f t="shared" si="33"/>
        <v>16.023988434505792</v>
      </c>
      <c r="Q16" s="20">
        <f t="shared" si="2"/>
        <v>124.5611931900976</v>
      </c>
      <c r="R16" s="59">
        <f t="shared" si="0"/>
        <v>417.8945265234309</v>
      </c>
      <c r="S16" s="59">
        <f ca="1">AVERAGE(OFFSET($R$3,0,0,'Données projet'!$E$9+1,1))-AVERAGE(OFFSET($H$3,0,0,'Données projet'!$E$9+1,1))</f>
        <v>143.12123169427508</v>
      </c>
      <c r="T16" s="59">
        <f t="shared" si="34"/>
        <v>351.98518810889152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</v>
      </c>
      <c r="AI16" s="13">
        <f>IF('Données projet'!$A$62&gt;35,AI15+AH16-AQ15,IF(A16&lt;'Données projet'!$A$62,$AF$205^A16,IF(A16='Données projet'!$A$62,'Données projet'!$B$62,AI15+AH16-AQ15)))</f>
        <v>9.1085863706396779</v>
      </c>
      <c r="AJ16" s="13">
        <f>AI16*VLOOKUP('Données projet'!$B$10,Paramètres!$A$1:$I$89,3,0)*VLOOKUP('Données projet'!$B$10,Paramètres!$A$1:$I$89,5,0)</f>
        <v>9.2361065798286326</v>
      </c>
      <c r="AK16" s="13">
        <f t="shared" si="35"/>
        <v>3.2859283437914253</v>
      </c>
      <c r="AL16" s="20">
        <f t="shared" si="4"/>
        <v>21.809210825304934</v>
      </c>
      <c r="AM16" s="59">
        <f t="shared" si="5"/>
        <v>315.14254415863826</v>
      </c>
      <c r="AN16" s="59">
        <f ca="1">AVERAGE(OFFSET($AM$3,0,0,'Données projet'!$E$10+1,1))-AVERAGE(OFFSET($H$3,0,0,'Données projet'!$E$10+1,1))</f>
        <v>280.88930300426705</v>
      </c>
      <c r="AO16" s="59">
        <f t="shared" si="36"/>
        <v>166.95395852420467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1">
        <f t="shared" si="32"/>
        <v>3.6072925061053467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67">
        <f t="shared" si="1"/>
        <v>317.49389444813346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20.8</v>
      </c>
      <c r="N17" s="13">
        <f>IF('Données projet'!$A$36&gt;35,N16+M17-V16,IF(A17&lt;'Données projet'!$A$36,$K$205^A17,IF(A17='Données projet'!$A$36,'Données projet'!$B$36,N16+M17-V16)))</f>
        <v>113.6</v>
      </c>
      <c r="O17" s="13">
        <f>N17*VLOOKUP('Données projet'!$B$9,Paramètres!$A$1:$I$89,3,0)*VLOOKUP('Données projet'!$B$9,Paramètres!$A$1:$I$89,5,0)</f>
        <v>67.9328</v>
      </c>
      <c r="P17" s="13">
        <f t="shared" si="33"/>
        <v>19.159206778906245</v>
      </c>
      <c r="Q17" s="20">
        <f t="shared" si="2"/>
        <v>151.68524513992836</v>
      </c>
      <c r="R17" s="59">
        <f t="shared" si="0"/>
        <v>445.01857847326164</v>
      </c>
      <c r="S17" s="59">
        <f ca="1">AVERAGE(OFFSET($R$3,0,0,'Données projet'!$E$9+1,1))-AVERAGE(OFFSET($H$3,0,0,'Données projet'!$E$9+1,1))</f>
        <v>143.12123169427508</v>
      </c>
      <c r="T17" s="59">
        <f t="shared" si="34"/>
        <v>351.98518810889152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</v>
      </c>
      <c r="AI17" s="13">
        <f>IF('Données projet'!$A$62&gt;35,AI16+AH17-AQ16,IF(A17&lt;'Données projet'!$A$62,$AF$205^A17,IF(A17='Données projet'!$A$62,'Données projet'!$B$62,AI16+AH17-AQ16)))</f>
        <v>10.795801791490293</v>
      </c>
      <c r="AJ17" s="13">
        <f>AI17*VLOOKUP('Données projet'!$B$10,Paramètres!$A$1:$I$89,3,0)*VLOOKUP('Données projet'!$B$10,Paramètres!$A$1:$I$89,5,0)</f>
        <v>10.946943016571158</v>
      </c>
      <c r="AK17" s="13">
        <f t="shared" si="35"/>
        <v>3.8183104289762917</v>
      </c>
      <c r="AL17" s="20">
        <f t="shared" si="4"/>
        <v>25.71614975099514</v>
      </c>
      <c r="AM17" s="59">
        <f t="shared" si="5"/>
        <v>319.04948308432847</v>
      </c>
      <c r="AN17" s="59">
        <f ca="1">AVERAGE(OFFSET($AM$3,0,0,'Données projet'!$E$10+1,1))-AVERAGE(OFFSET($H$3,0,0,'Données projet'!$E$10+1,1))</f>
        <v>280.88930300426705</v>
      </c>
      <c r="AO17" s="59">
        <f t="shared" si="36"/>
        <v>166.95395852420467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1">
        <f t="shared" si="32"/>
        <v>3.8340419797271834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67">
        <f t="shared" si="1"/>
        <v>319.1658064480248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20.8</v>
      </c>
      <c r="N18" s="13">
        <f>IF('Données projet'!$A$36&gt;35,N17+M18-V17,IF(A18&lt;'Données projet'!$A$36,$K$205^A18,IF(A18='Données projet'!$A$36,'Données projet'!$B$36,N17+M18-V17)))</f>
        <v>134.4</v>
      </c>
      <c r="O18" s="13">
        <f>N18*VLOOKUP('Données projet'!$B$9,Paramètres!$A$1:$I$89,3,0)*VLOOKUP('Données projet'!$B$9,Paramètres!$A$1:$I$89,5,0)</f>
        <v>80.371200000000016</v>
      </c>
      <c r="P18" s="13">
        <f t="shared" si="33"/>
        <v>22.227919990990831</v>
      </c>
      <c r="Q18" s="20">
        <f t="shared" si="2"/>
        <v>178.69346731764236</v>
      </c>
      <c r="R18" s="59">
        <f t="shared" si="0"/>
        <v>472.0268006509757</v>
      </c>
      <c r="S18" s="59">
        <f ca="1">AVERAGE(OFFSET($R$3,0,0,'Données projet'!$E$9+1,1))-AVERAGE(OFFSET($H$3,0,0,'Données projet'!$E$9+1,1))</f>
        <v>143.12123169427508</v>
      </c>
      <c r="T18" s="59">
        <f t="shared" si="34"/>
        <v>351.98518810889152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</v>
      </c>
      <c r="AI18" s="13">
        <f>IF('Données projet'!$A$62&gt;35,AI17+AH18-AQ17,IF(A18&lt;'Données projet'!$A$62,$AF$205^A18,IF(A18='Données projet'!$A$62,'Données projet'!$B$62,AI17+AH18-AQ17)))</f>
        <v>12.795546046181913</v>
      </c>
      <c r="AJ18" s="13">
        <f>AI18*VLOOKUP('Données projet'!$B$10,Paramètres!$A$1:$I$89,3,0)*VLOOKUP('Données projet'!$B$10,Paramètres!$A$1:$I$89,5,0)</f>
        <v>12.974683690828462</v>
      </c>
      <c r="AK18" s="13">
        <f t="shared" si="35"/>
        <v>4.4369484074648931</v>
      </c>
      <c r="AL18" s="20">
        <f t="shared" si="4"/>
        <v>30.325259237860919</v>
      </c>
      <c r="AM18" s="59">
        <f t="shared" si="5"/>
        <v>323.65859257119422</v>
      </c>
      <c r="AN18" s="59">
        <f ca="1">AVERAGE(OFFSET($AM$3,0,0,'Données projet'!$E$10+1,1))-AVERAGE(OFFSET($H$3,0,0,'Données projet'!$E$10+1,1))</f>
        <v>280.88930300426705</v>
      </c>
      <c r="AO18" s="59">
        <f t="shared" si="36"/>
        <v>166.95395852420467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1">
        <f t="shared" si="32"/>
        <v>4.0590373158284008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67">
        <f t="shared" si="1"/>
        <v>320.83466332506777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20.8</v>
      </c>
      <c r="N19" s="13">
        <f>IF('Données projet'!$A$36&gt;35,N18+M19-V18,IF(A19&lt;'Données projet'!$A$36,$K$205^A19,IF(A19='Données projet'!$A$36,'Données projet'!$B$36,N18+M19-V18)))</f>
        <v>155.20000000000002</v>
      </c>
      <c r="O19" s="13">
        <f>N19*VLOOKUP('Données projet'!$B$9,Paramètres!$A$1:$I$89,3,0)*VLOOKUP('Données projet'!$B$9,Paramètres!$A$1:$I$89,5,0)</f>
        <v>92.809600000000017</v>
      </c>
      <c r="P19" s="13">
        <f t="shared" si="33"/>
        <v>25.241615800824192</v>
      </c>
      <c r="Q19" s="20">
        <f t="shared" si="2"/>
        <v>205.60586751976882</v>
      </c>
      <c r="R19" s="59">
        <f t="shared" si="0"/>
        <v>498.93920085310214</v>
      </c>
      <c r="S19" s="59">
        <f ca="1">AVERAGE(OFFSET($R$3,0,0,'Données projet'!$E$9+1,1))-AVERAGE(OFFSET($H$3,0,0,'Données projet'!$E$9+1,1))</f>
        <v>143.12123169427508</v>
      </c>
      <c r="T19" s="59">
        <f t="shared" si="34"/>
        <v>351.98518810889152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</v>
      </c>
      <c r="AI19" s="13">
        <f>IF('Données projet'!$A$62&gt;35,AI18+AH19-AQ18,IF(A19&lt;'Données projet'!$A$62,$AF$205^A19,IF(A19='Données projet'!$A$62,'Données projet'!$B$62,AI18+AH19-AQ18)))</f>
        <v>15.165709947455436</v>
      </c>
      <c r="AJ19" s="13">
        <f>AI19*VLOOKUP('Données projet'!$B$10,Paramètres!$A$1:$I$89,3,0)*VLOOKUP('Données projet'!$B$10,Paramètres!$A$1:$I$89,5,0)</f>
        <v>15.378029886719814</v>
      </c>
      <c r="AK19" s="13">
        <f t="shared" si="35"/>
        <v>5.1558173534317051</v>
      </c>
      <c r="AL19" s="20">
        <f t="shared" si="4"/>
        <v>35.763117276597228</v>
      </c>
      <c r="AM19" s="59">
        <f t="shared" si="5"/>
        <v>329.09645060993057</v>
      </c>
      <c r="AN19" s="59">
        <f ca="1">AVERAGE(OFFSET($AM$3,0,0,'Données projet'!$E$10+1,1))-AVERAGE(OFFSET($H$3,0,0,'Données projet'!$E$10+1,1))</f>
        <v>280.88930300426705</v>
      </c>
      <c r="AO19" s="59">
        <f t="shared" si="36"/>
        <v>166.95395852420467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1">
        <f t="shared" si="32"/>
        <v>4.2824006291256396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67">
        <f t="shared" si="1"/>
        <v>322.50067776239382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20.8</v>
      </c>
      <c r="M20" s="12">
        <f t="array" ref="M20">INDEX(L:L,MIN(IF(ISNUMBER(L20:L216),ROW(L20:L216),"")))</f>
        <v>20.8</v>
      </c>
      <c r="N20" s="13">
        <f>IF('Données projet'!$A$36&gt;35,N19+M20-V19,IF(A20&lt;'Données projet'!$A$36,$K$205^A20,IF(A20='Données projet'!$A$36,'Données projet'!$B$36,N19+M20-V19)))</f>
        <v>176.00000000000003</v>
      </c>
      <c r="O20" s="13">
        <f>N20*VLOOKUP('Données projet'!$B$9,Paramètres!$A$1:$I$89,3,0)*VLOOKUP('Données projet'!$B$9,Paramètres!$A$1:$I$89,5,0)</f>
        <v>105.24800000000003</v>
      </c>
      <c r="P20" s="13">
        <f t="shared" si="33"/>
        <v>28.208515027560551</v>
      </c>
      <c r="Q20" s="20">
        <f t="shared" si="2"/>
        <v>232.43676367300134</v>
      </c>
      <c r="R20" s="59">
        <f t="shared" si="0"/>
        <v>525.77009700633471</v>
      </c>
      <c r="S20" s="59">
        <f ca="1">AVERAGE(OFFSET($R$3,0,0,'Données projet'!$E$9+1,1))-AVERAGE(OFFSET($H$3,0,0,'Données projet'!$E$9+1,1))</f>
        <v>143.12123169427508</v>
      </c>
      <c r="T20" s="59">
        <f t="shared" si="34"/>
        <v>351.98518810889152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9.0000000000000011E-2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0.8</v>
      </c>
      <c r="Z20" s="21">
        <f>EXP(-LN(2)/35)*Z19+(1-EXP(-LN(2)/35))/(LN(2)/35)*V20*W20*VLOOKUP('Données projet'!$B$9,Paramètres!$A$1:$I$89,3,0)*0.475*44/12</f>
        <v>3.0700150566455107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27.360873274416509</v>
      </c>
      <c r="AC20" s="22">
        <f t="shared" si="3"/>
        <v>30.430888331062018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</v>
      </c>
      <c r="AI20" s="13">
        <f>IF('Données projet'!$A$62&gt;35,AI19+AH20-AQ19,IF(A20&lt;'Données projet'!$A$62,$AF$205^A20,IF(A20='Données projet'!$A$62,'Données projet'!$B$62,AI19+AH20-AQ19)))</f>
        <v>17.974907626468866</v>
      </c>
      <c r="AJ20" s="13">
        <f>AI20*VLOOKUP('Données projet'!$B$10,Paramètres!$A$1:$I$89,3,0)*VLOOKUP('Données projet'!$B$10,Paramètres!$A$1:$I$89,5,0)</f>
        <v>18.226556333239429</v>
      </c>
      <c r="AK20" s="13">
        <f t="shared" si="35"/>
        <v>5.9911565654502983</v>
      </c>
      <c r="AL20" s="20">
        <f t="shared" si="4"/>
        <v>42.179183298551266</v>
      </c>
      <c r="AM20" s="59">
        <f t="shared" si="5"/>
        <v>335.51251663188458</v>
      </c>
      <c r="AN20" s="59">
        <f ca="1">AVERAGE(OFFSET($AM$3,0,0,'Données projet'!$E$10+1,1))-AVERAGE(OFFSET($H$3,0,0,'Données projet'!$E$10+1,1))</f>
        <v>280.88930300426705</v>
      </c>
      <c r="AO20" s="59">
        <f t="shared" si="36"/>
        <v>166.95395852420467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1">
        <f t="shared" si="32"/>
        <v>4.504238856327774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67">
        <f t="shared" si="1"/>
        <v>324.16403600810418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19.8</v>
      </c>
      <c r="N21" s="13">
        <f>IF('Données projet'!$A$36&gt;35,N20+M21-V20,IF(A21&lt;'Données projet'!$A$36,$K$205^A21,IF(A21='Données projet'!$A$36,'Données projet'!$B$36,N20+M21-V20)))</f>
        <v>152.80000000000004</v>
      </c>
      <c r="O21" s="13">
        <f>N21*VLOOKUP('Données projet'!$B$9,Paramètres!$A$1:$I$89,3,0)*VLOOKUP('Données projet'!$B$9,Paramètres!$A$1:$I$89,5,0)</f>
        <v>91.374400000000037</v>
      </c>
      <c r="P21" s="13">
        <f t="shared" si="33"/>
        <v>24.89640423383166</v>
      </c>
      <c r="Q21" s="20">
        <f t="shared" si="2"/>
        <v>202.50498404059022</v>
      </c>
      <c r="R21" s="59">
        <f t="shared" si="0"/>
        <v>495.83831737392353</v>
      </c>
      <c r="S21" s="59">
        <f ca="1">AVERAGE(OFFSET($R$3,0,0,'Données projet'!$E$9+1,1))-AVERAGE(OFFSET($H$3,0,0,'Données projet'!$E$9+1,1))</f>
        <v>143.12123169427508</v>
      </c>
      <c r="T21" s="59">
        <f t="shared" si="34"/>
        <v>351.98518810889152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3.0098139339089802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19.347059031525692</v>
      </c>
      <c r="AC21" s="22">
        <f t="shared" si="3"/>
        <v>22.356872965434672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</v>
      </c>
      <c r="AI21" s="13">
        <f>IF('Données projet'!$A$62&gt;35,AI20+AH21-AQ20,IF(A21&lt;'Données projet'!$A$62,$AF$205^A21,IF(A21='Données projet'!$A$62,'Données projet'!$B$62,AI20+AH21-AQ20)))</f>
        <v>21.304462850702166</v>
      </c>
      <c r="AJ21" s="13">
        <f>AI21*VLOOKUP('Données projet'!$B$10,Paramètres!$A$1:$I$89,3,0)*VLOOKUP('Données projet'!$B$10,Paramètres!$A$1:$I$89,5,0)</f>
        <v>21.602725330612</v>
      </c>
      <c r="AK21" s="13">
        <f t="shared" si="35"/>
        <v>6.9618364133568926</v>
      </c>
      <c r="AL21" s="20">
        <f t="shared" si="4"/>
        <v>49.749945037412488</v>
      </c>
      <c r="AM21" s="59">
        <f t="shared" si="5"/>
        <v>343.0832783707458</v>
      </c>
      <c r="AN21" s="59">
        <f ca="1">AVERAGE(OFFSET($AM$3,0,0,'Données projet'!$E$10+1,1))-AVERAGE(OFFSET($H$3,0,0,'Données projet'!$E$10+1,1))</f>
        <v>280.88930300426705</v>
      </c>
      <c r="AO21" s="59">
        <f t="shared" si="36"/>
        <v>166.95395852420467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1">
        <f t="shared" si="32"/>
        <v>4.7246463812124082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67">
        <f t="shared" si="1"/>
        <v>325.82490244727825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19.8</v>
      </c>
      <c r="N22" s="13">
        <f>IF('Données projet'!$A$36&gt;35,N21+M22-V21,IF(A22&lt;'Données projet'!$A$36,$K$205^A22,IF(A22='Données projet'!$A$36,'Données projet'!$B$36,N21+M22-V21)))</f>
        <v>172.60000000000005</v>
      </c>
      <c r="O22" s="13">
        <f>N22*VLOOKUP('Données projet'!$B$9,Paramètres!$A$1:$I$89,3,0)*VLOOKUP('Données projet'!$B$9,Paramètres!$A$1:$I$89,5,0)</f>
        <v>103.21480000000004</v>
      </c>
      <c r="P22" s="13">
        <f t="shared" si="33"/>
        <v>27.726463199430338</v>
      </c>
      <c r="Q22" s="20">
        <f t="shared" si="2"/>
        <v>228.05603340567458</v>
      </c>
      <c r="R22" s="59">
        <f t="shared" si="0"/>
        <v>521.38936673900787</v>
      </c>
      <c r="S22" s="59">
        <f ca="1">AVERAGE(OFFSET($R$3,0,0,'Données projet'!$E$9+1,1))-AVERAGE(OFFSET($H$3,0,0,'Données projet'!$E$9+1,1))</f>
        <v>143.12123169427508</v>
      </c>
      <c r="T22" s="59">
        <f t="shared" si="34"/>
        <v>351.98518810889152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2.9507933184702542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13.680436637208256</v>
      </c>
      <c r="AC22" s="22">
        <f t="shared" si="3"/>
        <v>16.63122995567851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</v>
      </c>
      <c r="AI22" s="13">
        <f>IF('Données projet'!$A$62&gt;35,AI21+AH22-AQ21,IF(A22&lt;'Données projet'!$A$62,$AF$205^A22,IF(A22='Données projet'!$A$62,'Données projet'!$B$62,AI21+AH22-AQ21)))</f>
        <v>25.250763274498809</v>
      </c>
      <c r="AJ22" s="13">
        <f>AI22*VLOOKUP('Données projet'!$B$10,Paramètres!$A$1:$I$89,3,0)*VLOOKUP('Données projet'!$B$10,Paramètres!$A$1:$I$89,5,0)</f>
        <v>25.604273960341793</v>
      </c>
      <c r="AK22" s="13">
        <f t="shared" si="35"/>
        <v>8.0897846211934414</v>
      </c>
      <c r="AL22" s="20">
        <f t="shared" si="4"/>
        <v>58.683818696173859</v>
      </c>
      <c r="AM22" s="59">
        <f t="shared" si="5"/>
        <v>352.0171520295072</v>
      </c>
      <c r="AN22" s="59">
        <f ca="1">AVERAGE(OFFSET($AM$3,0,0,'Données projet'!$E$10+1,1))-AVERAGE(OFFSET($H$3,0,0,'Données projet'!$E$10+1,1))</f>
        <v>280.88930300426705</v>
      </c>
      <c r="AO22" s="59">
        <f t="shared" si="36"/>
        <v>166.95395852420467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1">
        <f t="shared" si="32"/>
        <v>4.9437070912888705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67">
        <f t="shared" si="1"/>
        <v>327.48342318399477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19.8</v>
      </c>
      <c r="N23" s="13">
        <f>IF('Données projet'!$A$36&gt;35,N22+M23-V22,IF(A23&lt;'Données projet'!$A$36,$K$205^A23,IF(A23='Données projet'!$A$36,'Données projet'!$B$36,N22+M23-V22)))</f>
        <v>192.40000000000006</v>
      </c>
      <c r="O23" s="13">
        <f>N23*VLOOKUP('Données projet'!$B$9,Paramètres!$A$1:$I$89,3,0)*VLOOKUP('Données projet'!$B$9,Paramètres!$A$1:$I$89,5,0)</f>
        <v>115.05520000000004</v>
      </c>
      <c r="P23" s="13">
        <f t="shared" si="33"/>
        <v>30.5188966745568</v>
      </c>
      <c r="Q23" s="20">
        <f t="shared" si="2"/>
        <v>253.54155170818649</v>
      </c>
      <c r="R23" s="59">
        <f t="shared" si="0"/>
        <v>546.87488504151975</v>
      </c>
      <c r="S23" s="59">
        <f ca="1">AVERAGE(OFFSET($R$3,0,0,'Données projet'!$E$9+1,1))-AVERAGE(OFFSET($H$3,0,0,'Données projet'!$E$9+1,1))</f>
        <v>143.12123169427508</v>
      </c>
      <c r="T23" s="59">
        <f t="shared" si="34"/>
        <v>351.98518810889152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2.8929300613012607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9.6735295157628478</v>
      </c>
      <c r="AC23" s="22">
        <f t="shared" si="3"/>
        <v>12.566459577064109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2.8</v>
      </c>
      <c r="AI23" s="13">
        <f>IF('Données projet'!$A$62&gt;35,AI22+AH23-AQ22,IF(A23&lt;'Données projet'!$A$62,$AF$205^A23,IF(A23='Données projet'!$A$62,'Données projet'!$B$62,AI22+AH23-AQ22)))</f>
        <v>29.92805077569761</v>
      </c>
      <c r="AJ23" s="13">
        <f>AI23*VLOOKUP('Données projet'!$B$10,Paramètres!$A$1:$I$89,3,0)*VLOOKUP('Données projet'!$B$10,Paramètres!$A$1:$I$89,5,0)</f>
        <v>30.347043486557379</v>
      </c>
      <c r="AK23" s="13">
        <f t="shared" si="35"/>
        <v>9.4004816159909641</v>
      </c>
      <c r="AL23" s="20">
        <f t="shared" si="4"/>
        <v>69.226939553605035</v>
      </c>
      <c r="AM23" s="59">
        <f t="shared" si="5"/>
        <v>362.56027288693838</v>
      </c>
      <c r="AN23" s="59">
        <f ca="1">AVERAGE(OFFSET($AM$3,0,0,'Données projet'!$E$10+1,1))-AVERAGE(OFFSET($H$3,0,0,'Données projet'!$E$10+1,1))</f>
        <v>280.88930300426705</v>
      </c>
      <c r="AO23" s="59">
        <f t="shared" si="36"/>
        <v>166.95395852420467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1">
        <f t="shared" si="32"/>
        <v>5.1614960114392687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67">
        <f t="shared" si="1"/>
        <v>329.13972888659004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</v>
      </c>
      <c r="N24" s="13">
        <f>IF('Données projet'!$A$36&gt;35,N23+M24-V23,IF(A24&lt;'Données projet'!$A$36,$K$205^A24,IF(A24='Données projet'!$A$36,'Données projet'!$B$36,N23+M24-V23)))</f>
        <v>212.20000000000007</v>
      </c>
      <c r="O24" s="13">
        <f>N24*VLOOKUP('Données projet'!$B$9,Paramètres!$A$1:$I$89,3,0)*VLOOKUP('Données projet'!$B$9,Paramètres!$A$1:$I$89,5,0)</f>
        <v>126.89560000000006</v>
      </c>
      <c r="P24" s="13">
        <f t="shared" si="33"/>
        <v>33.278017701950326</v>
      </c>
      <c r="Q24" s="20">
        <f t="shared" si="2"/>
        <v>278.96905083089689</v>
      </c>
      <c r="R24" s="59">
        <f t="shared" si="0"/>
        <v>572.30238416423026</v>
      </c>
      <c r="S24" s="59">
        <f ca="1">AVERAGE(OFFSET($R$3,0,0,'Données projet'!$E$9+1,1))-AVERAGE(OFFSET($H$3,0,0,'Données projet'!$E$9+1,1))</f>
        <v>143.12123169427508</v>
      </c>
      <c r="T24" s="59">
        <f t="shared" si="34"/>
        <v>351.98518810889152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2.8362014673122493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6.8402183186041299</v>
      </c>
      <c r="AC24" s="22">
        <f t="shared" si="3"/>
        <v>9.6764197859163801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2.8</v>
      </c>
      <c r="AI24" s="13">
        <f>IF('Données projet'!$A$62&gt;35,AI23+AH24-AQ23,IF(A24&lt;'Données projet'!$A$62,$AF$205^A24,IF(A24='Données projet'!$A$62,'Données projet'!$B$62,AI23+AH24-AQ23)))</f>
        <v>35.471728656111772</v>
      </c>
      <c r="AJ24" s="13">
        <f>AI24*VLOOKUP('Données projet'!$B$10,Paramètres!$A$1:$I$89,3,0)*VLOOKUP('Données projet'!$B$10,Paramètres!$A$1:$I$89,5,0)</f>
        <v>35.968332857297341</v>
      </c>
      <c r="AK24" s="13">
        <f t="shared" si="35"/>
        <v>10.923536132355956</v>
      </c>
      <c r="AL24" s="20">
        <f t="shared" si="4"/>
        <v>81.670005156979485</v>
      </c>
      <c r="AM24" s="59">
        <f t="shared" si="5"/>
        <v>375.00333849031279</v>
      </c>
      <c r="AN24" s="59">
        <f ca="1">AVERAGE(OFFSET($AM$3,0,0,'Données projet'!$E$10+1,1))-AVERAGE(OFFSET($H$3,0,0,'Données projet'!$E$10+1,1))</f>
        <v>280.88930300426705</v>
      </c>
      <c r="AO24" s="59">
        <f t="shared" si="36"/>
        <v>166.95395852420467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1">
        <f t="shared" si="32"/>
        <v>5.3780806175732732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67">
        <f t="shared" si="1"/>
        <v>330.79393707560678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19.8</v>
      </c>
      <c r="M25" s="12">
        <f t="array" ref="M25">INDEX(L:L,MIN(IF(ISNUMBER(L25:L221),ROW(L25:L221),"")))</f>
        <v>19.8</v>
      </c>
      <c r="N25" s="13">
        <f>IF('Données projet'!$A$36&gt;35,N24+M25-V24,IF(A25&lt;'Données projet'!$A$36,$K$205^A25,IF(A25='Données projet'!$A$36,'Données projet'!$B$36,N24+M25-V24)))</f>
        <v>232.00000000000009</v>
      </c>
      <c r="O25" s="13">
        <f>N25*VLOOKUP('Données projet'!$B$9,Paramètres!$A$1:$I$89,3,0)*VLOOKUP('Données projet'!$B$9,Paramètres!$A$1:$I$89,5,0)</f>
        <v>138.73600000000005</v>
      </c>
      <c r="P25" s="13">
        <f t="shared" si="33"/>
        <v>36.007288175538072</v>
      </c>
      <c r="Q25" s="20">
        <f t="shared" si="2"/>
        <v>304.34456023906222</v>
      </c>
      <c r="R25" s="59">
        <f t="shared" si="0"/>
        <v>597.67789357239553</v>
      </c>
      <c r="S25" s="59">
        <f ca="1">AVERAGE(OFFSET($R$3,0,0,'Données projet'!$E$9+1,1))-AVERAGE(OFFSET($H$3,0,0,'Données projet'!$E$9+1,1))</f>
        <v>143.12123169427508</v>
      </c>
      <c r="T25" s="59">
        <f t="shared" si="34"/>
        <v>351.98518810889152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0.18000000000000002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0.6</v>
      </c>
      <c r="Z25" s="21">
        <f>EXP(-LN(2)/35)*Z24+(1-EXP(-LN(2)/35))/(LN(2)/35)*V25*W25*VLOOKUP('Données projet'!$B$9,Paramètres!$A$1:$I$89,3,0)*0.475*44/12</f>
        <v>10.776903573527015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27.586481865621199</v>
      </c>
      <c r="AC25" s="22">
        <f t="shared" si="3"/>
        <v>38.363385439148217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2.8</v>
      </c>
      <c r="AI25" s="13">
        <f>IF('Données projet'!$A$62&gt;35,AI24+AH25-AQ24,IF(A25&lt;'Données projet'!$A$62,$AF$205^A25,IF(A25='Données projet'!$A$62,'Données projet'!$B$62,AI24+AH25-AQ24)))</f>
        <v>42.042281446359659</v>
      </c>
      <c r="AJ25" s="13">
        <f>AI25*VLOOKUP('Données projet'!$B$10,Paramètres!$A$1:$I$89,3,0)*VLOOKUP('Données projet'!$B$10,Paramètres!$A$1:$I$89,5,0)</f>
        <v>42.630873386608698</v>
      </c>
      <c r="AK25" s="13">
        <f t="shared" si="35"/>
        <v>12.693354075806836</v>
      </c>
      <c r="AL25" s="20">
        <f t="shared" si="4"/>
        <v>96.356362830373712</v>
      </c>
      <c r="AM25" s="59">
        <f t="shared" si="5"/>
        <v>389.68969616370703</v>
      </c>
      <c r="AN25" s="59">
        <f ca="1">AVERAGE(OFFSET($AM$3,0,0,'Données projet'!$E$10+1,1))-AVERAGE(OFFSET($H$3,0,0,'Données projet'!$E$10+1,1))</f>
        <v>280.88930300426705</v>
      </c>
      <c r="AO25" s="59">
        <f t="shared" si="36"/>
        <v>166.95395852420467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1">
        <f t="shared" si="32"/>
        <v>5.5935219046849918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67">
        <f t="shared" si="1"/>
        <v>332.44615398399299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16.625</v>
      </c>
      <c r="N26" s="13">
        <f>IF('Données projet'!$A$36&gt;35,N25+M26-V25,IF(A26&lt;'Données projet'!$A$36,$K$205^A26,IF(A26='Données projet'!$A$36,'Données projet'!$B$36,N25+M26-V25)))</f>
        <v>192.62500000000009</v>
      </c>
      <c r="O26" s="13">
        <f>N26*VLOOKUP('Données projet'!$B$9,Paramètres!$A$1:$I$89,3,0)*VLOOKUP('Données projet'!$B$9,Paramètres!$A$1:$I$89,5,0)</f>
        <v>115.18975000000006</v>
      </c>
      <c r="P26" s="13">
        <f t="shared" si="33"/>
        <v>30.550430193620951</v>
      </c>
      <c r="Q26" s="20">
        <f t="shared" si="2"/>
        <v>253.83081383722325</v>
      </c>
      <c r="R26" s="59">
        <f t="shared" si="0"/>
        <v>547.16414717055659</v>
      </c>
      <c r="S26" s="59">
        <f ca="1">AVERAGE(OFFSET($R$3,0,0,'Données projet'!$E$9+1,1))-AVERAGE(OFFSET($H$3,0,0,'Données projet'!$E$9+1,1))</f>
        <v>143.12123169427508</v>
      </c>
      <c r="T26" s="59">
        <f t="shared" si="34"/>
        <v>351.98518810889152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10.565575067712274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19.506588396260472</v>
      </c>
      <c r="AC26" s="22">
        <f t="shared" si="3"/>
        <v>30.072163463972746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2.8</v>
      </c>
      <c r="AI26" s="13">
        <f>IF('Données projet'!$A$62&gt;35,AI25+AH26-AQ25,IF(A26&lt;'Données projet'!$A$62,$AF$205^A26,IF(A26='Données projet'!$A$62,'Données projet'!$B$62,AI25+AH26-AQ25)))</f>
        <v>49.82992078990118</v>
      </c>
      <c r="AJ26" s="13">
        <f>AI26*VLOOKUP('Données projet'!$B$10,Paramètres!$A$1:$I$89,3,0)*VLOOKUP('Données projet'!$B$10,Paramètres!$A$1:$I$89,5,0)</f>
        <v>50.527539680959798</v>
      </c>
      <c r="AK26" s="13">
        <f t="shared" si="35"/>
        <v>14.749915754528818</v>
      </c>
      <c r="AL26" s="20">
        <f t="shared" si="4"/>
        <v>113.69156821680933</v>
      </c>
      <c r="AM26" s="59">
        <f t="shared" si="5"/>
        <v>407.02490155014266</v>
      </c>
      <c r="AN26" s="59">
        <f ca="1">AVERAGE(OFFSET($AM$3,0,0,'Données projet'!$E$10+1,1))-AVERAGE(OFFSET($H$3,0,0,'Données projet'!$E$10+1,1))</f>
        <v>280.88930300426705</v>
      </c>
      <c r="AO26" s="59">
        <f t="shared" si="36"/>
        <v>166.95395852420467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1">
        <f t="shared" si="32"/>
        <v>5.8078752639195086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67">
        <f t="shared" si="1"/>
        <v>334.0964760846598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16.625</v>
      </c>
      <c r="N27" s="13">
        <f>IF('Données projet'!$A$36&gt;35,N26+M27-V26,IF(A27&lt;'Données projet'!$A$36,$K$205^A27,IF(A27='Données projet'!$A$36,'Données projet'!$B$36,N26+M27-V26)))</f>
        <v>209.25000000000009</v>
      </c>
      <c r="O27" s="13">
        <f>N27*VLOOKUP('Données projet'!$B$9,Paramètres!$A$1:$I$89,3,0)*VLOOKUP('Données projet'!$B$9,Paramètres!$A$1:$I$89,5,0)</f>
        <v>125.13150000000006</v>
      </c>
      <c r="P27" s="13">
        <f t="shared" si="33"/>
        <v>32.868905092404546</v>
      </c>
      <c r="Q27" s="20">
        <f t="shared" si="2"/>
        <v>275.18403886927132</v>
      </c>
      <c r="R27" s="59">
        <f t="shared" si="0"/>
        <v>568.51737220260463</v>
      </c>
      <c r="S27" s="59">
        <f ca="1">AVERAGE(OFFSET($R$3,0,0,'Données projet'!$E$9+1,1))-AVERAGE(OFFSET($H$3,0,0,'Données projet'!$E$9+1,1))</f>
        <v>143.12123169427508</v>
      </c>
      <c r="T27" s="59">
        <f t="shared" si="34"/>
        <v>351.98518810889152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10.358390584998899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13.793240932810601</v>
      </c>
      <c r="AC27" s="22">
        <f t="shared" si="3"/>
        <v>24.151631517809498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2.8</v>
      </c>
      <c r="AI27" s="13">
        <f>IF('Données projet'!$A$62&gt;35,AI26+AH27-AQ26,IF(A27&lt;'Données projet'!$A$62,$AF$205^A27,IF(A27='Données projet'!$A$62,'Données projet'!$B$62,AI26+AH27-AQ26)))</f>
        <v>59.060091900479499</v>
      </c>
      <c r="AJ27" s="13">
        <f>AI27*VLOOKUP('Données projet'!$B$10,Paramètres!$A$1:$I$89,3,0)*VLOOKUP('Données projet'!$B$10,Paramètres!$A$1:$I$89,5,0)</f>
        <v>59.886933187086214</v>
      </c>
      <c r="AK27" s="13">
        <f t="shared" si="35"/>
        <v>17.139679037265701</v>
      </c>
      <c r="AL27" s="20">
        <f t="shared" si="4"/>
        <v>134.15468295741289</v>
      </c>
      <c r="AM27" s="59">
        <f t="shared" si="5"/>
        <v>427.4880162907462</v>
      </c>
      <c r="AN27" s="59">
        <f ca="1">AVERAGE(OFFSET($AM$3,0,0,'Données projet'!$E$10+1,1))-AVERAGE(OFFSET($H$3,0,0,'Données projet'!$E$10+1,1))</f>
        <v>280.88930300426705</v>
      </c>
      <c r="AO27" s="59">
        <f t="shared" si="36"/>
        <v>166.95395852420467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1">
        <f t="shared" si="32"/>
        <v>6.0211912093426747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67">
        <f t="shared" si="1"/>
        <v>335.74499135627178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16.625</v>
      </c>
      <c r="N28" s="13">
        <f>IF('Données projet'!$A$36&gt;35,N27+M28-V27,IF(A28&lt;'Données projet'!$A$36,$K$205^A28,IF(A28='Données projet'!$A$36,'Données projet'!$B$36,N27+M28-V27)))</f>
        <v>225.87500000000009</v>
      </c>
      <c r="O28" s="13">
        <f>N28*VLOOKUP('Données projet'!$B$9,Paramètres!$A$1:$I$89,3,0)*VLOOKUP('Données projet'!$B$9,Paramètres!$A$1:$I$89,5,0)</f>
        <v>135.07325000000006</v>
      </c>
      <c r="P28" s="13">
        <f t="shared" si="33"/>
        <v>35.166013795582487</v>
      </c>
      <c r="Q28" s="20">
        <f t="shared" si="2"/>
        <v>296.50005111063956</v>
      </c>
      <c r="R28" s="59">
        <f t="shared" si="0"/>
        <v>589.83338444397282</v>
      </c>
      <c r="S28" s="59">
        <f ca="1">AVERAGE(OFFSET($R$3,0,0,'Données projet'!$E$9+1,1))-AVERAGE(OFFSET($H$3,0,0,'Données projet'!$E$9+1,1))</f>
        <v>143.12123169427508</v>
      </c>
      <c r="T28" s="59">
        <f t="shared" si="34"/>
        <v>351.98518810889152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10.155268863621478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9.7532941981302379</v>
      </c>
      <c r="AC28" s="22">
        <f t="shared" si="3"/>
        <v>19.908563061751714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70</v>
      </c>
      <c r="AG28" s="12">
        <f>VLOOKUP(A28,'Données projet'!$A$61:$I$81,9,0)</f>
        <v>2.8</v>
      </c>
      <c r="AH28" s="12">
        <f t="array" ref="AH28">INDEX(AG:AG,MIN(IF(ISNUMBER(AG28:AG224),ROW(AG28:AG224),"")))</f>
        <v>2.8</v>
      </c>
      <c r="AI28" s="13">
        <f>IF('Données projet'!$A$62&gt;35,AI27+AH28-AQ27,IF(A28&lt;'Données projet'!$A$62,$AF$205^A28,IF(A28='Données projet'!$A$62,'Données projet'!$B$62,AI27+AH28-AQ27)))</f>
        <v>70</v>
      </c>
      <c r="AJ28" s="13">
        <f>AI28*VLOOKUP('Données projet'!$B$10,Paramètres!$A$1:$I$89,3,0)*VLOOKUP('Données projet'!$B$10,Paramètres!$A$1:$I$89,5,0)</f>
        <v>70.98</v>
      </c>
      <c r="AK28" s="13">
        <f t="shared" si="35"/>
        <v>19.916628839746853</v>
      </c>
      <c r="AL28" s="20">
        <f t="shared" si="4"/>
        <v>158.31162856255909</v>
      </c>
      <c r="AM28" s="59">
        <f t="shared" si="5"/>
        <v>451.64496189589238</v>
      </c>
      <c r="AN28" s="59">
        <f ca="1">AVERAGE(OFFSET($AM$3,0,0,'Données projet'!$E$10+1,1))-AVERAGE(OFFSET($H$3,0,0,'Données projet'!$E$10+1,1))</f>
        <v>280.88930300426705</v>
      </c>
      <c r="AO28" s="59">
        <f t="shared" si="36"/>
        <v>166.95395852420467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8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1">
        <f t="shared" si="32"/>
        <v>6.2335159851544919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67">
        <f t="shared" si="1"/>
        <v>337.39178034081073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16.625</v>
      </c>
      <c r="N29" s="13">
        <f>IF('Données projet'!$A$36&gt;35,N28+M29-V28,IF(A29&lt;'Données projet'!$A$36,$K$205^A29,IF(A29='Données projet'!$A$36,'Données projet'!$B$36,N28+M29-V28)))</f>
        <v>242.50000000000009</v>
      </c>
      <c r="O29" s="13">
        <f>N29*VLOOKUP('Données projet'!$B$9,Paramètres!$A$1:$I$89,3,0)*VLOOKUP('Données projet'!$B$9,Paramètres!$A$1:$I$89,5,0)</f>
        <v>145.01500000000004</v>
      </c>
      <c r="P29" s="13">
        <f t="shared" si="33"/>
        <v>37.443507744276459</v>
      </c>
      <c r="Q29" s="20">
        <f t="shared" si="2"/>
        <v>317.78190098794829</v>
      </c>
      <c r="R29" s="59">
        <f t="shared" si="0"/>
        <v>611.1152343212816</v>
      </c>
      <c r="S29" s="59">
        <f ca="1">AVERAGE(OFFSET($R$3,0,0,'Données projet'!$E$9+1,1))-AVERAGE(OFFSET($H$3,0,0,'Données projet'!$E$9+1,1))</f>
        <v>143.12123169427508</v>
      </c>
      <c r="T29" s="59">
        <f t="shared" si="34"/>
        <v>351.98518810889152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9.956130235308251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6.8966204664053024</v>
      </c>
      <c r="AC29" s="22">
        <f t="shared" si="3"/>
        <v>16.852750701713553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</v>
      </c>
      <c r="AI29" s="13">
        <f>IF('Données projet'!$A$62&gt;35,AI28+AH29-AQ28,IF(A29&lt;'Données projet'!$A$62,$AF$205^A29,IF(A29='Données projet'!$A$62,'Données projet'!$B$62,AI28+AH29-AQ28)))</f>
        <v>69</v>
      </c>
      <c r="AJ29" s="13">
        <f>AI29*VLOOKUP('Données projet'!$B$10,Paramètres!$A$1:$I$89,3,0)*VLOOKUP('Données projet'!$B$10,Paramètres!$A$1:$I$89,5,0)</f>
        <v>69.966000000000008</v>
      </c>
      <c r="AK29" s="13">
        <f t="shared" si="35"/>
        <v>19.665013934342461</v>
      </c>
      <c r="AL29" s="20">
        <f t="shared" si="4"/>
        <v>156.10734926897979</v>
      </c>
      <c r="AM29" s="59">
        <f t="shared" si="5"/>
        <v>449.44068260231313</v>
      </c>
      <c r="AN29" s="59">
        <f ca="1">AVERAGE(OFFSET($AM$3,0,0,'Données projet'!$E$10+1,1))-AVERAGE(OFFSET($H$3,0,0,'Données projet'!$E$10+1,1))</f>
        <v>280.88930300426705</v>
      </c>
      <c r="AO29" s="59">
        <f t="shared" si="36"/>
        <v>166.95395852420467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1">
        <f t="shared" si="32"/>
        <v>6.4448920768574434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67">
        <f t="shared" si="1"/>
        <v>339.03691703386005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16.625</v>
      </c>
      <c r="N30" s="13">
        <f>IF('Données projet'!$A$36&gt;35,N29+M30-V29,IF(A30&lt;'Données projet'!$A$36,$K$205^A30,IF(A30='Données projet'!$A$36,'Données projet'!$B$36,N29+M30-V29)))</f>
        <v>259.12500000000011</v>
      </c>
      <c r="O30" s="13">
        <f>N30*VLOOKUP('Données projet'!$B$9,Paramètres!$A$1:$I$89,3,0)*VLOOKUP('Données projet'!$B$9,Paramètres!$A$1:$I$89,5,0)</f>
        <v>154.95675000000008</v>
      </c>
      <c r="P30" s="13">
        <f t="shared" si="33"/>
        <v>39.702884639661342</v>
      </c>
      <c r="Q30" s="20">
        <f t="shared" si="2"/>
        <v>339.03219699741027</v>
      </c>
      <c r="R30" s="59">
        <f t="shared" si="0"/>
        <v>632.36553033074358</v>
      </c>
      <c r="S30" s="59">
        <f ca="1">AVERAGE(OFFSET($R$3,0,0,'Données projet'!$E$9+1,1))-AVERAGE(OFFSET($H$3,0,0,'Données projet'!$E$9+1,1))</f>
        <v>143.12123169427508</v>
      </c>
      <c r="T30" s="59">
        <f t="shared" si="34"/>
        <v>351.98518810889152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9.7608965940336763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4.8766470990651198</v>
      </c>
      <c r="AC30" s="22">
        <f t="shared" si="3"/>
        <v>14.637543693098795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</v>
      </c>
      <c r="AI30" s="13">
        <f>IF('Données projet'!$A$62&gt;35,AI29+AH30-AQ29,IF(A30&lt;'Données projet'!$A$62,$AF$205^A30,IF(A30='Données projet'!$A$62,'Données projet'!$B$62,AI29+AH30-AQ29)))</f>
        <v>76</v>
      </c>
      <c r="AJ30" s="13">
        <f>AI30*VLOOKUP('Données projet'!$B$10,Paramètres!$A$1:$I$89,3,0)*VLOOKUP('Données projet'!$B$10,Paramètres!$A$1:$I$89,5,0)</f>
        <v>77.064000000000007</v>
      </c>
      <c r="AK30" s="13">
        <f t="shared" si="35"/>
        <v>21.417762186678065</v>
      </c>
      <c r="AL30" s="20">
        <f t="shared" si="4"/>
        <v>171.52240247513097</v>
      </c>
      <c r="AM30" s="59">
        <f t="shared" si="5"/>
        <v>464.85573580846426</v>
      </c>
      <c r="AN30" s="59">
        <f ca="1">AVERAGE(OFFSET($AM$3,0,0,'Données projet'!$E$10+1,1))-AVERAGE(OFFSET($H$3,0,0,'Données projet'!$E$10+1,1))</f>
        <v>280.88930300426705</v>
      </c>
      <c r="AO30" s="59">
        <f t="shared" si="36"/>
        <v>166.95395852420467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1">
        <f t="shared" si="32"/>
        <v>6.6553586445673751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67">
        <f t="shared" si="1"/>
        <v>340.68046963928816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16.625</v>
      </c>
      <c r="N31" s="13">
        <f>IF('Données projet'!$A$36&gt;35,N30+M31-V30,IF(A31&lt;'Données projet'!$A$36,$K$205^A31,IF(A31='Données projet'!$A$36,'Données projet'!$B$36,N30+M31-V30)))</f>
        <v>275.75000000000011</v>
      </c>
      <c r="O31" s="13">
        <f>N31*VLOOKUP('Données projet'!$B$9,Paramètres!$A$1:$I$89,3,0)*VLOOKUP('Données projet'!$B$9,Paramètres!$A$1:$I$89,5,0)</f>
        <v>164.89850000000007</v>
      </c>
      <c r="P31" s="13">
        <f t="shared" si="33"/>
        <v>41.94543913753872</v>
      </c>
      <c r="Q31" s="20">
        <f t="shared" si="2"/>
        <v>360.25319399788003</v>
      </c>
      <c r="R31" s="59">
        <f t="shared" si="0"/>
        <v>653.58652733121335</v>
      </c>
      <c r="S31" s="59">
        <f ca="1">AVERAGE(OFFSET($R$3,0,0,'Données projet'!$E$9+1,1))-AVERAGE(OFFSET($H$3,0,0,'Données projet'!$E$9+1,1))</f>
        <v>143.12123169427508</v>
      </c>
      <c r="T31" s="59">
        <f t="shared" si="34"/>
        <v>351.98518810889152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9.5694913653837332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3.4483102332026516</v>
      </c>
      <c r="AC31" s="22">
        <f t="shared" si="3"/>
        <v>13.017801598586384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</v>
      </c>
      <c r="AI31" s="13">
        <f>IF('Données projet'!$A$62&gt;35,AI30+AH31-AQ30,IF(A31&lt;'Données projet'!$A$62,$AF$205^A31,IF(A31='Données projet'!$A$62,'Données projet'!$B$62,AI30+AH31-AQ30)))</f>
        <v>83</v>
      </c>
      <c r="AJ31" s="13">
        <f>AI31*VLOOKUP('Données projet'!$B$10,Paramètres!$A$1:$I$89,3,0)*VLOOKUP('Données projet'!$B$10,Paramètres!$A$1:$I$89,5,0)</f>
        <v>84.162000000000006</v>
      </c>
      <c r="AK31" s="13">
        <f t="shared" si="35"/>
        <v>23.151791590506594</v>
      </c>
      <c r="AL31" s="20">
        <f t="shared" si="4"/>
        <v>186.90485368679899</v>
      </c>
      <c r="AM31" s="59">
        <f t="shared" si="5"/>
        <v>480.23818702013227</v>
      </c>
      <c r="AN31" s="59">
        <f ca="1">AVERAGE(OFFSET($AM$3,0,0,'Données projet'!$E$10+1,1))-AVERAGE(OFFSET($H$3,0,0,'Données projet'!$E$10+1,1))</f>
        <v>280.88930300426705</v>
      </c>
      <c r="AO31" s="59">
        <f t="shared" si="36"/>
        <v>166.95395852420467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1">
        <f t="shared" si="32"/>
        <v>6.864951892683286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67">
        <f t="shared" si="1"/>
        <v>342.32250121309005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16.625</v>
      </c>
      <c r="N32" s="13">
        <f>IF('Données projet'!$A$36&gt;35,N31+M32-V31,IF(A32&lt;'Données projet'!$A$36,$K$205^A32,IF(A32='Données projet'!$A$36,'Données projet'!$B$36,N31+M32-V31)))</f>
        <v>292.37500000000011</v>
      </c>
      <c r="O32" s="13">
        <f>N32*VLOOKUP('Données projet'!$B$9,Paramètres!$A$1:$I$89,3,0)*VLOOKUP('Données projet'!$B$9,Paramètres!$A$1:$I$89,5,0)</f>
        <v>174.84025000000008</v>
      </c>
      <c r="P32" s="13">
        <f t="shared" si="33"/>
        <v>44.172300963535264</v>
      </c>
      <c r="Q32" s="20">
        <f t="shared" si="2"/>
        <v>381.44685959482405</v>
      </c>
      <c r="R32" s="59">
        <f t="shared" si="0"/>
        <v>674.78019292815736</v>
      </c>
      <c r="S32" s="59">
        <f ca="1">AVERAGE(OFFSET($R$3,0,0,'Données projet'!$E$9+1,1))-AVERAGE(OFFSET($H$3,0,0,'Données projet'!$E$9+1,1))</f>
        <v>143.12123169427508</v>
      </c>
      <c r="T32" s="59">
        <f t="shared" si="34"/>
        <v>351.98518810889152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9.3818394765219537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2.4383235495325604</v>
      </c>
      <c r="AC32" s="22">
        <f t="shared" si="3"/>
        <v>11.820163026054514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</v>
      </c>
      <c r="AI32" s="13">
        <f>IF('Données projet'!$A$62&gt;35,AI31+AH32-AQ31,IF(A32&lt;'Données projet'!$A$62,$AF$205^A32,IF(A32='Données projet'!$A$62,'Données projet'!$B$62,AI31+AH32-AQ31)))</f>
        <v>90</v>
      </c>
      <c r="AJ32" s="13">
        <f>AI32*VLOOKUP('Données projet'!$B$10,Paramètres!$A$1:$I$89,3,0)*VLOOKUP('Données projet'!$B$10,Paramètres!$A$1:$I$89,5,0)</f>
        <v>91.26</v>
      </c>
      <c r="AK32" s="13">
        <f t="shared" si="35"/>
        <v>24.868860330902777</v>
      </c>
      <c r="AL32" s="20">
        <f t="shared" si="4"/>
        <v>202.25776507632233</v>
      </c>
      <c r="AM32" s="59">
        <f t="shared" si="5"/>
        <v>495.59109840965561</v>
      </c>
      <c r="AN32" s="59">
        <f ca="1">AVERAGE(OFFSET($AM$3,0,0,'Données projet'!$E$10+1,1))-AVERAGE(OFFSET($H$3,0,0,'Données projet'!$E$10+1,1))</f>
        <v>280.88930300426705</v>
      </c>
      <c r="AO32" s="59">
        <f t="shared" si="36"/>
        <v>166.95395852420467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1">
        <f t="shared" si="32"/>
        <v>7.0737053871356732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67">
        <f t="shared" si="1"/>
        <v>343.96307021592793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16.625</v>
      </c>
      <c r="M33" s="12">
        <f t="array" ref="M33">INDEX(L:L,MIN(IF(ISNUMBER(L33:L229),ROW(L33:L229),"")))</f>
        <v>16.625</v>
      </c>
      <c r="N33" s="13">
        <f>IF('Données projet'!$A$36&gt;35,N32+M33-V32,IF(A33&lt;'Données projet'!$A$36,$K$205^A33,IF(A33='Données projet'!$A$36,'Données projet'!$B$36,N32+M33-V32)))</f>
        <v>309.00000000000011</v>
      </c>
      <c r="O33" s="13">
        <f>N33*VLOOKUP('Données projet'!$B$9,Paramètres!$A$1:$I$89,3,0)*VLOOKUP('Données projet'!$B$9,Paramètres!$A$1:$I$89,5,0)</f>
        <v>184.7820000000001</v>
      </c>
      <c r="P33" s="13">
        <f t="shared" si="33"/>
        <v>46.384464109944147</v>
      </c>
      <c r="Q33" s="20">
        <f t="shared" si="2"/>
        <v>402.61492499148613</v>
      </c>
      <c r="R33" s="59">
        <f t="shared" si="0"/>
        <v>695.94825832481945</v>
      </c>
      <c r="S33" s="59">
        <f ca="1">AVERAGE(OFFSET($R$3,0,0,'Données projet'!$E$9+1,1))-AVERAGE(OFFSET($H$3,0,0,'Données projet'!$E$9+1,1))</f>
        <v>143.12123169427508</v>
      </c>
      <c r="T33" s="59">
        <f t="shared" si="34"/>
        <v>351.98518810889152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0.18000000000000002</v>
      </c>
      <c r="X33" s="16">
        <f>IF(ISNA(VLOOKUP(A33,'Données projet'!$A$35:$I$55,6,0)),0%,VLOOKUP(A33,'Données projet'!$A$35:$I$55,6,0)*VLOOKUP('Données projet'!$B$9,Paramètres!$A$1:$I$89,7,0))</f>
        <v>0.18000000000000002</v>
      </c>
      <c r="Y33" s="16">
        <f>IF(ISNA(VLOOKUP(A33,'Données projet'!$A$35:$I$55,7,0)),0%,VLOOKUP(A33,'Données projet'!$A$35:$I$55,7,0))</f>
        <v>0.2</v>
      </c>
      <c r="Z33" s="21">
        <f>EXP(-LN(2)/35)*Z32+(1-EXP(-LN(2)/35))/(LN(2)/35)*V33*W33*VLOOKUP('Données projet'!$B$9,Paramètres!$A$1:$I$89,3,0)*0.475*44/12</f>
        <v>53.320409303649647</v>
      </c>
      <c r="AA33" s="21">
        <f>EXP(-LN(2)/25)*AA32+(1-EXP(-LN(2)/25))/(LN(2)/25)*Calculateur!V33*Calculateur!X33*VLOOKUP('Données projet'!$B$9,Paramètres!$A$1:$I$89,3,0)*0.475*44/12</f>
        <v>43.948814717135633</v>
      </c>
      <c r="AB33" s="21">
        <f>EXP(-LN(2)/2)*AB32+(1-EXP(-LN(2)/2))/(LN(2)/2)*V33*Y33*VLOOKUP('Données projet'!$B$9,Paramètres!$A$1:$I$89,3,0)*0.475*44/12</f>
        <v>43.567384796908406</v>
      </c>
      <c r="AC33" s="22">
        <f t="shared" si="3"/>
        <v>140.8366088176937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97</v>
      </c>
      <c r="AG33" s="12">
        <f>VLOOKUP(A33,'Données projet'!$A$61:$I$81,9,0)</f>
        <v>7</v>
      </c>
      <c r="AH33" s="12">
        <f t="array" ref="AH33">INDEX(AG:AG,MIN(IF(ISNUMBER(AG33:AG229),ROW(AG33:AG229),"")))</f>
        <v>7</v>
      </c>
      <c r="AI33" s="13">
        <f>IF('Données projet'!$A$62&gt;35,AI32+AH33-AQ32,IF(A33&lt;'Données projet'!$A$62,$AF$205^A33,IF(A33='Données projet'!$A$62,'Données projet'!$B$62,AI32+AH33-AQ32)))</f>
        <v>97</v>
      </c>
      <c r="AJ33" s="13">
        <f>AI33*VLOOKUP('Données projet'!$B$10,Paramètres!$A$1:$I$89,3,0)*VLOOKUP('Données projet'!$B$10,Paramètres!$A$1:$I$89,5,0)</f>
        <v>98.358000000000004</v>
      </c>
      <c r="AK33" s="13">
        <f t="shared" si="35"/>
        <v>26.570437554143126</v>
      </c>
      <c r="AL33" s="20">
        <f t="shared" si="4"/>
        <v>217.58369540679928</v>
      </c>
      <c r="AM33" s="59">
        <f t="shared" si="5"/>
        <v>510.91702874013259</v>
      </c>
      <c r="AN33" s="59">
        <f ca="1">AVERAGE(OFFSET($AM$3,0,0,'Données projet'!$E$10+1,1))-AVERAGE(OFFSET($H$3,0,0,'Données projet'!$E$10+1,1))</f>
        <v>280.88930300426705</v>
      </c>
      <c r="AO33" s="59">
        <f t="shared" si="36"/>
        <v>166.95395852420467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21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1">
        <f t="shared" si="32"/>
        <v>7.2816503291468493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67">
        <f t="shared" si="1"/>
        <v>345.60223098993072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1.1368683772161603E-13</v>
      </c>
      <c r="O34" s="13">
        <f>N34*VLOOKUP('Données projet'!$B$9,Paramètres!$A$1:$I$89,3,0)*VLOOKUP('Données projet'!$B$9,Paramètres!$A$1:$I$89,5,0)</f>
        <v>6.7984728957526396E-14</v>
      </c>
      <c r="P34" s="13">
        <f t="shared" si="33"/>
        <v>1.0682447123141398E-12</v>
      </c>
      <c r="Q34" s="20">
        <f t="shared" si="2"/>
        <v>1.978932943548152E-12</v>
      </c>
      <c r="R34" s="59">
        <f t="shared" si="0"/>
        <v>293.3333333333353</v>
      </c>
      <c r="S34" s="59">
        <f ca="1">AVERAGE(OFFSET($R$3,0,0,'Données projet'!$E$9+1,1))-AVERAGE(OFFSET($H$3,0,0,'Données projet'!$E$9+1,1))</f>
        <v>143.12123169427508</v>
      </c>
      <c r="T34" s="59">
        <f t="shared" si="34"/>
        <v>351.98518810889152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52.274828599443445</v>
      </c>
      <c r="AA34" s="21">
        <f>EXP(-LN(2)/25)*AA33+(1-EXP(-LN(2)/25))/(LN(2)/25)*Calculateur!V34*Calculateur!X34*VLOOKUP('Données projet'!$B$9,Paramètres!$A$1:$I$89,3,0)*0.475*44/12</f>
        <v>42.74703206752784</v>
      </c>
      <c r="AB34" s="21">
        <f>EXP(-LN(2)/2)*AB33+(1-EXP(-LN(2)/2))/(LN(2)/2)*V34*Y34*VLOOKUP('Données projet'!$B$9,Paramètres!$A$1:$I$89,3,0)*0.475*44/12</f>
        <v>30.806793228457632</v>
      </c>
      <c r="AC34" s="22">
        <f t="shared" si="3"/>
        <v>125.82865389542893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</v>
      </c>
      <c r="AI34" s="13">
        <f>IF('Données projet'!$A$62&gt;35,AI33+AH34-AQ33,IF(A34&lt;'Données projet'!$A$62,$AF$205^A34,IF(A34='Données projet'!$A$62,'Données projet'!$B$62,AI33+AH34-AQ33)))</f>
        <v>84</v>
      </c>
      <c r="AJ34" s="13">
        <f>AI34*VLOOKUP('Données projet'!$B$10,Paramètres!$A$1:$I$89,3,0)*VLOOKUP('Données projet'!$B$10,Paramètres!$A$1:$I$89,5,0)</f>
        <v>85.176000000000002</v>
      </c>
      <c r="AK34" s="13">
        <f t="shared" si="35"/>
        <v>23.398088487656441</v>
      </c>
      <c r="AL34" s="20">
        <f t="shared" si="4"/>
        <v>189.09987078266829</v>
      </c>
      <c r="AM34" s="59">
        <f t="shared" si="5"/>
        <v>482.4332041160016</v>
      </c>
      <c r="AN34" s="59">
        <f ca="1">AVERAGE(OFFSET($AM$3,0,0,'Données projet'!$E$10+1,1))-AVERAGE(OFFSET($H$3,0,0,'Données projet'!$E$10+1,1))</f>
        <v>280.88930300426705</v>
      </c>
      <c r="AO34" s="59">
        <f t="shared" si="36"/>
        <v>166.95395852420467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1">
        <f t="shared" si="32"/>
        <v>7.4888157926750578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67">
        <f t="shared" si="1"/>
        <v>347.24003417224236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1.1368683772161603E-13</v>
      </c>
      <c r="O35" s="13">
        <f>N35*VLOOKUP('Données projet'!$B$9,Paramètres!$A$1:$I$89,3,0)*VLOOKUP('Données projet'!$B$9,Paramètres!$A$1:$I$89,5,0)</f>
        <v>6.7984728957526396E-14</v>
      </c>
      <c r="P35" s="13">
        <f t="shared" si="33"/>
        <v>1.0682447123141398E-12</v>
      </c>
      <c r="Q35" s="20">
        <f t="shared" ref="Q35:Q66" si="53">(O35+P35)*0.475*44/12</f>
        <v>1.978932943548152E-12</v>
      </c>
      <c r="R35" s="59">
        <f t="shared" si="0"/>
        <v>293.3333333333353</v>
      </c>
      <c r="S35" s="59">
        <f ca="1">AVERAGE(OFFSET($R$3,0,0,'Données projet'!$E$9+1,1))-AVERAGE(OFFSET($H$3,0,0,'Données projet'!$E$9+1,1))</f>
        <v>143.12123169427508</v>
      </c>
      <c r="T35" s="59">
        <f t="shared" si="34"/>
        <v>351.98518810889152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51.249751095105474</v>
      </c>
      <c r="AA35" s="21">
        <f>EXP(-LN(2)/25)*AA34+(1-EXP(-LN(2)/25))/(LN(2)/25)*Calculateur!V35*Calculateur!X35*VLOOKUP('Données projet'!$B$9,Paramètres!$A$1:$I$89,3,0)*0.475*44/12</f>
        <v>41.578112227672577</v>
      </c>
      <c r="AB35" s="21">
        <f>EXP(-LN(2)/2)*AB34+(1-EXP(-LN(2)/2))/(LN(2)/2)*V35*Y35*VLOOKUP('Données projet'!$B$9,Paramètres!$A$1:$I$89,3,0)*0.475*44/12</f>
        <v>21.783692398454207</v>
      </c>
      <c r="AC35" s="22">
        <f t="shared" si="3"/>
        <v>114.61155572123226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</v>
      </c>
      <c r="AI35" s="13">
        <f>IF('Données projet'!$A$62&gt;35,AI34+AH35-AQ34,IF(A35&lt;'Données projet'!$A$62,$AF$205^A35,IF(A35='Données projet'!$A$62,'Données projet'!$B$62,AI34+AH35-AQ34)))</f>
        <v>92</v>
      </c>
      <c r="AJ35" s="13">
        <f>AI35*VLOOKUP('Données projet'!$B$10,Paramètres!$A$1:$I$89,3,0)*VLOOKUP('Données projet'!$B$10,Paramètres!$A$1:$I$89,5,0)</f>
        <v>93.288000000000011</v>
      </c>
      <c r="AK35" s="13">
        <f t="shared" si="35"/>
        <v>25.356547829040977</v>
      </c>
      <c r="AL35" s="20">
        <f t="shared" si="4"/>
        <v>206.63925413557971</v>
      </c>
      <c r="AM35" s="59">
        <f t="shared" si="5"/>
        <v>499.97258746891305</v>
      </c>
      <c r="AN35" s="59">
        <f ca="1">AVERAGE(OFFSET($AM$3,0,0,'Données projet'!$E$10+1,1))-AVERAGE(OFFSET($H$3,0,0,'Données projet'!$E$10+1,1))</f>
        <v>280.88930300426705</v>
      </c>
      <c r="AO35" s="59">
        <f t="shared" si="36"/>
        <v>166.95395852420467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1">
        <f t="shared" si="32"/>
        <v>7.6952289313442845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67">
        <f t="shared" si="1"/>
        <v>348.87652705542462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1.1368683772161603E-13</v>
      </c>
      <c r="O36" s="13">
        <f>N36*VLOOKUP('Données projet'!$B$9,Paramètres!$A$1:$I$89,3,0)*VLOOKUP('Données projet'!$B$9,Paramètres!$A$1:$I$89,5,0)</f>
        <v>6.7984728957526396E-14</v>
      </c>
      <c r="P36" s="13">
        <f t="shared" si="33"/>
        <v>1.0682447123141398E-12</v>
      </c>
      <c r="Q36" s="20">
        <f t="shared" si="53"/>
        <v>1.978932943548152E-12</v>
      </c>
      <c r="R36" s="59">
        <f t="shared" si="0"/>
        <v>293.3333333333353</v>
      </c>
      <c r="S36" s="59">
        <f ca="1">AVERAGE(OFFSET($R$3,0,0,'Données projet'!$E$9+1,1))-AVERAGE(OFFSET($H$3,0,0,'Données projet'!$E$9+1,1))</f>
        <v>143.12123169427508</v>
      </c>
      <c r="T36" s="59">
        <f t="shared" si="34"/>
        <v>351.98518810889152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50.244774735392028</v>
      </c>
      <c r="AA36" s="21">
        <f>EXP(-LN(2)/25)*AA35+(1-EXP(-LN(2)/25))/(LN(2)/25)*Calculateur!V36*Calculateur!X36*VLOOKUP('Données projet'!$B$9,Paramètres!$A$1:$I$89,3,0)*0.475*44/12</f>
        <v>40.441156562308976</v>
      </c>
      <c r="AB36" s="21">
        <f>EXP(-LN(2)/2)*AB35+(1-EXP(-LN(2)/2))/(LN(2)/2)*V36*Y36*VLOOKUP('Données projet'!$B$9,Paramètres!$A$1:$I$89,3,0)*0.475*44/12</f>
        <v>15.403396614228818</v>
      </c>
      <c r="AC36" s="22">
        <f t="shared" si="3"/>
        <v>106.08932791192981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</v>
      </c>
      <c r="AI36" s="13">
        <f>IF('Données projet'!$A$62&gt;35,AI35+AH36-AQ35,IF(A36&lt;'Données projet'!$A$62,$AF$205^A36,IF(A36='Données projet'!$A$62,'Données projet'!$B$62,AI35+AH36-AQ35)))</f>
        <v>100</v>
      </c>
      <c r="AJ36" s="13">
        <f>AI36*VLOOKUP('Données projet'!$B$10,Paramètres!$A$1:$I$89,3,0)*VLOOKUP('Données projet'!$B$10,Paramètres!$A$1:$I$89,5,0)</f>
        <v>101.4</v>
      </c>
      <c r="AK36" s="13">
        <f t="shared" si="35"/>
        <v>27.295257887453797</v>
      </c>
      <c r="AL36" s="20">
        <f t="shared" si="4"/>
        <v>224.14424082064872</v>
      </c>
      <c r="AM36" s="59">
        <f t="shared" si="5"/>
        <v>517.477574153982</v>
      </c>
      <c r="AN36" s="59">
        <f ca="1">AVERAGE(OFFSET($AM$3,0,0,'Données projet'!$E$10+1,1))-AVERAGE(OFFSET($H$3,0,0,'Données projet'!$E$10+1,1))</f>
        <v>280.88930300426705</v>
      </c>
      <c r="AO36" s="59">
        <f t="shared" si="36"/>
        <v>166.95395852420467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1">
        <f t="shared" si="32"/>
        <v>7.9009151595869396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67">
        <f t="shared" si="1"/>
        <v>350.51175390294725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1.1368683772161603E-13</v>
      </c>
      <c r="O37" s="13">
        <f>N37*VLOOKUP('Données projet'!$B$9,Paramètres!$A$1:$I$89,3,0)*VLOOKUP('Données projet'!$B$9,Paramètres!$A$1:$I$89,5,0)</f>
        <v>6.7984728957526396E-14</v>
      </c>
      <c r="P37" s="13">
        <f t="shared" si="33"/>
        <v>1.0682447123141398E-12</v>
      </c>
      <c r="Q37" s="20">
        <f t="shared" si="53"/>
        <v>1.978932943548152E-12</v>
      </c>
      <c r="R37" s="59">
        <f t="shared" si="0"/>
        <v>293.3333333333353</v>
      </c>
      <c r="S37" s="59">
        <f ca="1">AVERAGE(OFFSET($R$3,0,0,'Données projet'!$E$9+1,1))-AVERAGE(OFFSET($H$3,0,0,'Données projet'!$E$9+1,1))</f>
        <v>143.12123169427508</v>
      </c>
      <c r="T37" s="59">
        <f t="shared" si="34"/>
        <v>351.98518810889152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49.259505349117511</v>
      </c>
      <c r="AA37" s="21">
        <f>EXP(-LN(2)/25)*AA36+(1-EXP(-LN(2)/25))/(LN(2)/25)*Calculateur!V37*Calculateur!X37*VLOOKUP('Données projet'!$B$9,Paramètres!$A$1:$I$89,3,0)*0.475*44/12</f>
        <v>39.335291009404642</v>
      </c>
      <c r="AB37" s="21">
        <f>EXP(-LN(2)/2)*AB36+(1-EXP(-LN(2)/2))/(LN(2)/2)*V37*Y37*VLOOKUP('Données projet'!$B$9,Paramètres!$A$1:$I$89,3,0)*0.475*44/12</f>
        <v>10.891846199227105</v>
      </c>
      <c r="AC37" s="22">
        <f t="shared" si="3"/>
        <v>99.486642557749263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</v>
      </c>
      <c r="AI37" s="13">
        <f>IF('Données projet'!$A$62&gt;35,AI36+AH37-AQ36,IF(A37&lt;'Données projet'!$A$62,$AF$205^A37,IF(A37='Données projet'!$A$62,'Données projet'!$B$62,AI36+AH37-AQ36)))</f>
        <v>108</v>
      </c>
      <c r="AJ37" s="13">
        <f>AI37*VLOOKUP('Données projet'!$B$10,Paramètres!$A$1:$I$89,3,0)*VLOOKUP('Données projet'!$B$10,Paramètres!$A$1:$I$89,5,0)</f>
        <v>109.51200000000001</v>
      </c>
      <c r="AK37" s="13">
        <f t="shared" si="35"/>
        <v>29.215978230632555</v>
      </c>
      <c r="AL37" s="20">
        <f t="shared" si="4"/>
        <v>241.61789541835174</v>
      </c>
      <c r="AM37" s="59">
        <f t="shared" si="5"/>
        <v>534.95122875168499</v>
      </c>
      <c r="AN37" s="59">
        <f ca="1">AVERAGE(OFFSET($AM$3,0,0,'Données projet'!$E$10+1,1))-AVERAGE(OFFSET($H$3,0,0,'Données projet'!$E$10+1,1))</f>
        <v>280.88930300426705</v>
      </c>
      <c r="AO37" s="59">
        <f t="shared" si="36"/>
        <v>166.95395852420467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1">
        <f t="shared" si="32"/>
        <v>8.1058983118768086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67">
        <f t="shared" si="1"/>
        <v>352.14575622651876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1.1368683772161603E-13</v>
      </c>
      <c r="O38" s="13">
        <f>N38*VLOOKUP('Données projet'!$B$9,Paramètres!$A$1:$I$89,3,0)*VLOOKUP('Données projet'!$B$9,Paramètres!$A$1:$I$89,5,0)</f>
        <v>6.7984728957526396E-14</v>
      </c>
      <c r="P38" s="13">
        <f t="shared" si="33"/>
        <v>1.0682447123141398E-12</v>
      </c>
      <c r="Q38" s="20">
        <f t="shared" si="53"/>
        <v>1.978932943548152E-12</v>
      </c>
      <c r="R38" s="59">
        <f t="shared" si="0"/>
        <v>293.3333333333353</v>
      </c>
      <c r="S38" s="59">
        <f ca="1">AVERAGE(OFFSET($R$3,0,0,'Données projet'!$E$9+1,1))-AVERAGE(OFFSET($H$3,0,0,'Données projet'!$E$9+1,1))</f>
        <v>143.12123169427508</v>
      </c>
      <c r="T38" s="59">
        <f t="shared" si="34"/>
        <v>351.98518810889152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48.293556494552853</v>
      </c>
      <c r="AA38" s="21">
        <f>EXP(-LN(2)/25)*AA37+(1-EXP(-LN(2)/25))/(LN(2)/25)*Calculateur!V38*Calculateur!X38*VLOOKUP('Données projet'!$B$9,Paramètres!$A$1:$I$89,3,0)*0.475*44/12</f>
        <v>38.259665408199417</v>
      </c>
      <c r="AB38" s="21">
        <f>EXP(-LN(2)/2)*AB37+(1-EXP(-LN(2)/2))/(LN(2)/2)*V38*Y38*VLOOKUP('Données projet'!$B$9,Paramètres!$A$1:$I$89,3,0)*0.475*44/12</f>
        <v>7.7016983071144107</v>
      </c>
      <c r="AC38" s="22">
        <f t="shared" si="3"/>
        <v>94.254920209866683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116</v>
      </c>
      <c r="AG38" s="12">
        <f>VLOOKUP(A38,'Données projet'!$A$61:$I$81,9,0)</f>
        <v>8</v>
      </c>
      <c r="AH38" s="12">
        <f t="array" ref="AH38">INDEX(AG:AG,MIN(IF(ISNUMBER(AG38:AG234),ROW(AG38:AG234),"")))</f>
        <v>8</v>
      </c>
      <c r="AI38" s="13">
        <f>IF('Données projet'!$A$62&gt;35,AI37+AH38-AQ37,IF(A38&lt;'Données projet'!$A$62,$AF$205^A38,IF(A38='Données projet'!$A$62,'Données projet'!$B$62,AI37+AH38-AQ37)))</f>
        <v>116</v>
      </c>
      <c r="AJ38" s="13">
        <f>AI38*VLOOKUP('Données projet'!$B$10,Paramètres!$A$1:$I$89,3,0)*VLOOKUP('Données projet'!$B$10,Paramètres!$A$1:$I$89,5,0)</f>
        <v>117.62400000000001</v>
      </c>
      <c r="AK38" s="13">
        <f t="shared" si="35"/>
        <v>31.120192961985413</v>
      </c>
      <c r="AL38" s="20">
        <f t="shared" si="4"/>
        <v>259.06280274212457</v>
      </c>
      <c r="AM38" s="59">
        <f t="shared" si="5"/>
        <v>552.39613607545789</v>
      </c>
      <c r="AN38" s="59">
        <f ca="1">AVERAGE(OFFSET($AM$3,0,0,'Données projet'!$E$10+1,1))-AVERAGE(OFFSET($H$3,0,0,'Données projet'!$E$10+1,1))</f>
        <v>280.88930300426705</v>
      </c>
      <c r="AO38" s="59">
        <f t="shared" si="36"/>
        <v>166.95395852420467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21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1">
        <f t="shared" si="32"/>
        <v>8.3102007832524443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67">
        <f t="shared" si="1"/>
        <v>353.77857303083135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1.1368683772161603E-13</v>
      </c>
      <c r="O39" s="13">
        <f>N39*VLOOKUP('Données projet'!$B$9,Paramètres!$A$1:$I$89,3,0)*VLOOKUP('Données projet'!$B$9,Paramètres!$A$1:$I$89,5,0)</f>
        <v>6.7984728957526396E-14</v>
      </c>
      <c r="P39" s="13">
        <f t="shared" si="33"/>
        <v>1.0682447123141398E-12</v>
      </c>
      <c r="Q39" s="20">
        <f t="shared" si="53"/>
        <v>1.978932943548152E-12</v>
      </c>
      <c r="R39" s="59">
        <f t="shared" si="0"/>
        <v>293.3333333333353</v>
      </c>
      <c r="S39" s="59">
        <f ca="1">AVERAGE(OFFSET($R$3,0,0,'Données projet'!$E$9+1,1))-AVERAGE(OFFSET($H$3,0,0,'Données projet'!$E$9+1,1))</f>
        <v>143.12123169427508</v>
      </c>
      <c r="T39" s="59">
        <f t="shared" si="34"/>
        <v>351.98518810889152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47.346549307855575</v>
      </c>
      <c r="AA39" s="21">
        <f>EXP(-LN(2)/25)*AA38+(1-EXP(-LN(2)/25))/(LN(2)/25)*Calculateur!V39*Calculateur!X39*VLOOKUP('Données projet'!$B$9,Paramètres!$A$1:$I$89,3,0)*0.475*44/12</f>
        <v>37.213452845623841</v>
      </c>
      <c r="AB39" s="21">
        <f>EXP(-LN(2)/2)*AB38+(1-EXP(-LN(2)/2))/(LN(2)/2)*V39*Y39*VLOOKUP('Données projet'!$B$9,Paramètres!$A$1:$I$89,3,0)*0.475*44/12</f>
        <v>5.4459230996135535</v>
      </c>
      <c r="AC39" s="22">
        <f t="shared" si="3"/>
        <v>90.005925253092968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8.4</v>
      </c>
      <c r="AI39" s="13">
        <f>IF('Données projet'!$A$62&gt;35,AI38+AH39-AQ38,IF(A39&lt;'Données projet'!$A$62,$AF$205^A39,IF(A39='Données projet'!$A$62,'Données projet'!$B$62,AI38+AH39-AQ38)))</f>
        <v>103.4</v>
      </c>
      <c r="AJ39" s="13">
        <f>AI39*VLOOKUP('Données projet'!$B$10,Paramètres!$A$1:$I$89,3,0)*VLOOKUP('Données projet'!$B$10,Paramètres!$A$1:$I$89,5,0)</f>
        <v>104.84760000000001</v>
      </c>
      <c r="AK39" s="13">
        <f t="shared" si="35"/>
        <v>28.113670466115643</v>
      </c>
      <c r="AL39" s="20">
        <f t="shared" si="4"/>
        <v>231.57421272848475</v>
      </c>
      <c r="AM39" s="59">
        <f t="shared" si="5"/>
        <v>524.90754606181804</v>
      </c>
      <c r="AN39" s="59">
        <f ca="1">AVERAGE(OFFSET($AM$3,0,0,'Données projet'!$E$10+1,1))-AVERAGE(OFFSET($H$3,0,0,'Données projet'!$E$10+1,1))</f>
        <v>280.88930300426705</v>
      </c>
      <c r="AO39" s="59">
        <f t="shared" si="36"/>
        <v>166.95395852420467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1">
        <f t="shared" si="32"/>
        <v>8.5138436537878803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67">
        <f t="shared" si="1"/>
        <v>355.41024103034721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1.1368683772161603E-13</v>
      </c>
      <c r="O40" s="13">
        <f>N40*VLOOKUP('Données projet'!$B$9,Paramètres!$A$1:$I$89,3,0)*VLOOKUP('Données projet'!$B$9,Paramètres!$A$1:$I$89,5,0)</f>
        <v>6.7984728957526396E-14</v>
      </c>
      <c r="P40" s="13">
        <f t="shared" si="33"/>
        <v>1.0682447123141398E-12</v>
      </c>
      <c r="Q40" s="20">
        <f t="shared" si="53"/>
        <v>1.978932943548152E-12</v>
      </c>
      <c r="R40" s="59">
        <f t="shared" si="0"/>
        <v>293.3333333333353</v>
      </c>
      <c r="S40" s="59">
        <f ca="1">AVERAGE(OFFSET($R$3,0,0,'Données projet'!$E$9+1,1))-AVERAGE(OFFSET($H$3,0,0,'Données projet'!$E$9+1,1))</f>
        <v>143.12123169427508</v>
      </c>
      <c r="T40" s="59">
        <f t="shared" si="34"/>
        <v>351.98518810889152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46.418112354472086</v>
      </c>
      <c r="AA40" s="21">
        <f>EXP(-LN(2)/25)*AA39+(1-EXP(-LN(2)/25))/(LN(2)/25)*Calculateur!V40*Calculateur!X40*VLOOKUP('Données projet'!$B$9,Paramètres!$A$1:$I$89,3,0)*0.475*44/12</f>
        <v>36.195849020589826</v>
      </c>
      <c r="AB40" s="21">
        <f>EXP(-LN(2)/2)*AB39+(1-EXP(-LN(2)/2))/(LN(2)/2)*V40*Y40*VLOOKUP('Données projet'!$B$9,Paramètres!$A$1:$I$89,3,0)*0.475*44/12</f>
        <v>3.8508491535572058</v>
      </c>
      <c r="AC40" s="22">
        <f t="shared" si="3"/>
        <v>86.464810528619111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8.4</v>
      </c>
      <c r="AI40" s="13">
        <f>IF('Données projet'!$A$62&gt;35,AI39+AH40-AQ39,IF(A40&lt;'Données projet'!$A$62,$AF$205^A40,IF(A40='Données projet'!$A$62,'Données projet'!$B$62,AI39+AH40-AQ39)))</f>
        <v>111.80000000000001</v>
      </c>
      <c r="AJ40" s="13">
        <f>AI40*VLOOKUP('Données projet'!$B$10,Paramètres!$A$1:$I$89,3,0)*VLOOKUP('Données projet'!$B$10,Paramètres!$A$1:$I$89,5,0)</f>
        <v>113.36520000000003</v>
      </c>
      <c r="AK40" s="13">
        <f t="shared" si="35"/>
        <v>30.122456058687614</v>
      </c>
      <c r="AL40" s="20">
        <f t="shared" si="4"/>
        <v>249.9076676355476</v>
      </c>
      <c r="AM40" s="59">
        <f t="shared" si="5"/>
        <v>543.24100096888094</v>
      </c>
      <c r="AN40" s="59">
        <f ca="1">AVERAGE(OFFSET($AM$3,0,0,'Données projet'!$E$10+1,1))-AVERAGE(OFFSET($H$3,0,0,'Données projet'!$E$10+1,1))</f>
        <v>280.88930300426705</v>
      </c>
      <c r="AO40" s="59">
        <f t="shared" si="36"/>
        <v>166.95395852420467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1">
        <f t="shared" si="32"/>
        <v>8.7168467992286693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67">
        <f t="shared" si="1"/>
        <v>357.04079484198991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1.1368683772161603E-13</v>
      </c>
      <c r="O41" s="13">
        <f>N41*VLOOKUP('Données projet'!$B$9,Paramètres!$A$1:$I$89,3,0)*VLOOKUP('Données projet'!$B$9,Paramètres!$A$1:$I$89,5,0)</f>
        <v>6.7984728957526396E-14</v>
      </c>
      <c r="P41" s="13">
        <f t="shared" si="33"/>
        <v>1.0682447123141398E-12</v>
      </c>
      <c r="Q41" s="20">
        <f t="shared" si="53"/>
        <v>1.978932943548152E-12</v>
      </c>
      <c r="R41" s="59">
        <f t="shared" si="0"/>
        <v>293.3333333333353</v>
      </c>
      <c r="S41" s="59">
        <f ca="1">AVERAGE(OFFSET($R$3,0,0,'Données projet'!$E$9+1,1))-AVERAGE(OFFSET($H$3,0,0,'Données projet'!$E$9+1,1))</f>
        <v>143.12123169427508</v>
      </c>
      <c r="T41" s="59">
        <f t="shared" si="34"/>
        <v>351.98518810889152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45.507881483453822</v>
      </c>
      <c r="AA41" s="21">
        <f>EXP(-LN(2)/25)*AA40+(1-EXP(-LN(2)/25))/(LN(2)/25)*Calculateur!V41*Calculateur!X41*VLOOKUP('Données projet'!$B$9,Paramètres!$A$1:$I$89,3,0)*0.475*44/12</f>
        <v>35.206071625664826</v>
      </c>
      <c r="AB41" s="21">
        <f>EXP(-LN(2)/2)*AB40+(1-EXP(-LN(2)/2))/(LN(2)/2)*V41*Y41*VLOOKUP('Données projet'!$B$9,Paramètres!$A$1:$I$89,3,0)*0.475*44/12</f>
        <v>2.7229615498067772</v>
      </c>
      <c r="AC41" s="22">
        <f t="shared" si="3"/>
        <v>83.436914658925431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8.4</v>
      </c>
      <c r="AI41" s="13">
        <f>IF('Données projet'!$A$62&gt;35,AI40+AH41-AQ40,IF(A41&lt;'Données projet'!$A$62,$AF$205^A41,IF(A41='Données projet'!$A$62,'Données projet'!$B$62,AI40+AH41-AQ40)))</f>
        <v>120.20000000000002</v>
      </c>
      <c r="AJ41" s="13">
        <f>AI41*VLOOKUP('Données projet'!$B$10,Paramètres!$A$1:$I$89,3,0)*VLOOKUP('Données projet'!$B$10,Paramètres!$A$1:$I$89,5,0)</f>
        <v>121.88280000000002</v>
      </c>
      <c r="AK41" s="13">
        <f t="shared" si="35"/>
        <v>32.113732800054677</v>
      </c>
      <c r="AL41" s="20">
        <f t="shared" si="4"/>
        <v>268.21062796009522</v>
      </c>
      <c r="AM41" s="59">
        <f t="shared" si="5"/>
        <v>561.54396129342854</v>
      </c>
      <c r="AN41" s="59">
        <f ca="1">AVERAGE(OFFSET($AM$3,0,0,'Données projet'!$E$10+1,1))-AVERAGE(OFFSET($H$3,0,0,'Données projet'!$E$10+1,1))</f>
        <v>280.88930300426705</v>
      </c>
      <c r="AO41" s="59">
        <f t="shared" si="36"/>
        <v>166.95395852420467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1">
        <f t="shared" si="32"/>
        <v>8.9192289896543855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67">
        <f t="shared" si="1"/>
        <v>358.67026715698137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1.1368683772161603E-13</v>
      </c>
      <c r="O42" s="13">
        <f>N42*VLOOKUP('Données projet'!$B$9,Paramètres!$A$1:$I$89,3,0)*VLOOKUP('Données projet'!$B$9,Paramètres!$A$1:$I$89,5,0)</f>
        <v>6.7984728957526396E-14</v>
      </c>
      <c r="P42" s="13">
        <f t="shared" si="33"/>
        <v>1.0682447123141398E-12</v>
      </c>
      <c r="Q42" s="20">
        <f t="shared" si="53"/>
        <v>1.978932943548152E-12</v>
      </c>
      <c r="R42" s="59">
        <f t="shared" si="0"/>
        <v>293.3333333333353</v>
      </c>
      <c r="S42" s="59">
        <f ca="1">AVERAGE(OFFSET($R$3,0,0,'Données projet'!$E$9+1,1))-AVERAGE(OFFSET($H$3,0,0,'Données projet'!$E$9+1,1))</f>
        <v>143.12123169427508</v>
      </c>
      <c r="T42" s="59">
        <f t="shared" si="34"/>
        <v>351.98518810889152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44.615499684630215</v>
      </c>
      <c r="AA42" s="21">
        <f>EXP(-LN(2)/25)*AA41+(1-EXP(-LN(2)/25))/(LN(2)/25)*Calculateur!V42*Calculateur!X42*VLOOKUP('Données projet'!$B$9,Paramètres!$A$1:$I$89,3,0)*0.475*44/12</f>
        <v>34.243359745654182</v>
      </c>
      <c r="AB42" s="21">
        <f>EXP(-LN(2)/2)*AB41+(1-EXP(-LN(2)/2))/(LN(2)/2)*V42*Y42*VLOOKUP('Données projet'!$B$9,Paramètres!$A$1:$I$89,3,0)*0.475*44/12</f>
        <v>1.9254245767786033</v>
      </c>
      <c r="AC42" s="22">
        <f t="shared" si="3"/>
        <v>80.784284007063007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8.4</v>
      </c>
      <c r="AI42" s="13">
        <f>IF('Données projet'!$A$62&gt;35,AI41+AH42-AQ41,IF(A42&lt;'Données projet'!$A$62,$AF$205^A42,IF(A42='Données projet'!$A$62,'Données projet'!$B$62,AI41+AH42-AQ41)))</f>
        <v>128.60000000000002</v>
      </c>
      <c r="AJ42" s="13">
        <f>AI42*VLOOKUP('Données projet'!$B$10,Paramètres!$A$1:$I$89,3,0)*VLOOKUP('Données projet'!$B$10,Paramètres!$A$1:$I$89,5,0)</f>
        <v>130.40040000000002</v>
      </c>
      <c r="AK42" s="13">
        <f t="shared" si="35"/>
        <v>34.088863450406919</v>
      </c>
      <c r="AL42" s="20">
        <f t="shared" si="4"/>
        <v>286.48546717612544</v>
      </c>
      <c r="AM42" s="59">
        <f t="shared" si="5"/>
        <v>579.8188005094587</v>
      </c>
      <c r="AN42" s="59">
        <f ca="1">AVERAGE(OFFSET($AM$3,0,0,'Données projet'!$E$10+1,1))-AVERAGE(OFFSET($H$3,0,0,'Données projet'!$E$10+1,1))</f>
        <v>280.88930300426705</v>
      </c>
      <c r="AO42" s="59">
        <f t="shared" si="36"/>
        <v>166.95395852420467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1">
        <f t="shared" si="32"/>
        <v>9.1210079777371842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67">
        <f t="shared" si="1"/>
        <v>360.29868889455889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1.1368683772161603E-13</v>
      </c>
      <c r="O43" s="13">
        <f>N43*VLOOKUP('Données projet'!$B$9,Paramètres!$A$1:$I$89,3,0)*VLOOKUP('Données projet'!$B$9,Paramètres!$A$1:$I$89,5,0)</f>
        <v>6.7984728957526396E-14</v>
      </c>
      <c r="P43" s="13">
        <f t="shared" si="33"/>
        <v>1.0682447123141398E-12</v>
      </c>
      <c r="Q43" s="20">
        <f t="shared" si="53"/>
        <v>1.978932943548152E-12</v>
      </c>
      <c r="R43" s="59">
        <f t="shared" si="0"/>
        <v>293.3333333333353</v>
      </c>
      <c r="S43" s="59">
        <f ca="1">AVERAGE(OFFSET($R$3,0,0,'Données projet'!$E$9+1,1))-AVERAGE(OFFSET($H$3,0,0,'Données projet'!$E$9+1,1))</f>
        <v>143.12123169427508</v>
      </c>
      <c r="T43" s="59">
        <f t="shared" si="34"/>
        <v>351.98518810889152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43.740616948582385</v>
      </c>
      <c r="AA43" s="21">
        <f>EXP(-LN(2)/25)*AA42+(1-EXP(-LN(2)/25))/(LN(2)/25)*Calculateur!V43*Calculateur!X43*VLOOKUP('Données projet'!$B$9,Paramètres!$A$1:$I$89,3,0)*0.475*44/12</f>
        <v>33.306973272629243</v>
      </c>
      <c r="AB43" s="21">
        <f>EXP(-LN(2)/2)*AB42+(1-EXP(-LN(2)/2))/(LN(2)/2)*V43*Y43*VLOOKUP('Données projet'!$B$9,Paramètres!$A$1:$I$89,3,0)*0.475*44/12</f>
        <v>1.3614807749033888</v>
      </c>
      <c r="AC43" s="22">
        <f t="shared" si="3"/>
        <v>78.40907099611502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137</v>
      </c>
      <c r="AG43" s="12">
        <f>VLOOKUP(A43,'Données projet'!$A$61:$I$81,9,0)</f>
        <v>8.4</v>
      </c>
      <c r="AH43" s="12">
        <f t="array" ref="AH43">INDEX(AG:AG,MIN(IF(ISNUMBER(AG43:AG239),ROW(AG43:AG239),"")))</f>
        <v>8.4</v>
      </c>
      <c r="AI43" s="13">
        <f>IF('Données projet'!$A$62&gt;35,AI42+AH43-AQ42,IF(A43&lt;'Données projet'!$A$62,$AF$205^A43,IF(A43='Données projet'!$A$62,'Données projet'!$B$62,AI42+AH43-AQ42)))</f>
        <v>137.00000000000003</v>
      </c>
      <c r="AJ43" s="13">
        <f>AI43*VLOOKUP('Données projet'!$B$10,Paramètres!$A$1:$I$89,3,0)*VLOOKUP('Données projet'!$B$10,Paramètres!$A$1:$I$89,5,0)</f>
        <v>138.91800000000003</v>
      </c>
      <c r="AK43" s="13">
        <f t="shared" si="35"/>
        <v>36.049022673886341</v>
      </c>
      <c r="AL43" s="20">
        <f t="shared" si="4"/>
        <v>304.73423115701877</v>
      </c>
      <c r="AM43" s="59">
        <f t="shared" si="5"/>
        <v>598.06756449035208</v>
      </c>
      <c r="AN43" s="59">
        <f ca="1">AVERAGE(OFFSET($AM$3,0,0,'Données projet'!$E$10+1,1))-AVERAGE(OFFSET($H$3,0,0,'Données projet'!$E$10+1,1))</f>
        <v>280.88930300426705</v>
      </c>
      <c r="AO43" s="59">
        <f t="shared" si="36"/>
        <v>166.95395852420467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21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1">
        <f t="shared" si="32"/>
        <v>9.3222005779260471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67">
        <f t="shared" si="1"/>
        <v>361.92608933988788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1.1368683772161603E-13</v>
      </c>
      <c r="O44" s="13">
        <f>N44*VLOOKUP('Données projet'!$B$9,Paramètres!$A$1:$I$89,3,0)*VLOOKUP('Données projet'!$B$9,Paramètres!$A$1:$I$89,5,0)</f>
        <v>6.7984728957526396E-14</v>
      </c>
      <c r="P44" s="13">
        <f t="shared" si="33"/>
        <v>1.0682447123141398E-12</v>
      </c>
      <c r="Q44" s="20">
        <f t="shared" si="53"/>
        <v>1.978932943548152E-12</v>
      </c>
      <c r="R44" s="59">
        <f t="shared" si="0"/>
        <v>293.3333333333353</v>
      </c>
      <c r="S44" s="59">
        <f ca="1">AVERAGE(OFFSET($R$3,0,0,'Données projet'!$E$9+1,1))-AVERAGE(OFFSET($H$3,0,0,'Données projet'!$E$9+1,1))</f>
        <v>143.12123169427508</v>
      </c>
      <c r="T44" s="59">
        <f t="shared" si="34"/>
        <v>351.98518810889152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42.882890129362679</v>
      </c>
      <c r="AA44" s="21">
        <f>EXP(-LN(2)/25)*AA43+(1-EXP(-LN(2)/25))/(LN(2)/25)*Calculateur!V44*Calculateur!X44*VLOOKUP('Données projet'!$B$9,Paramètres!$A$1:$I$89,3,0)*0.475*44/12</f>
        <v>32.396192336951593</v>
      </c>
      <c r="AB44" s="21">
        <f>EXP(-LN(2)/2)*AB43+(1-EXP(-LN(2)/2))/(LN(2)/2)*V44*Y44*VLOOKUP('Données projet'!$B$9,Paramètres!$A$1:$I$89,3,0)*0.475*44/12</f>
        <v>0.96271228838930178</v>
      </c>
      <c r="AC44" s="22">
        <f t="shared" si="3"/>
        <v>76.241794754703562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8.4</v>
      </c>
      <c r="AI44" s="13">
        <f>IF('Données projet'!$A$62&gt;35,AI43+AH44-AQ43,IF(A44&lt;'Données projet'!$A$62,$AF$205^A44,IF(A44='Données projet'!$A$62,'Données projet'!$B$62,AI43+AH44-AQ43)))</f>
        <v>124.40000000000003</v>
      </c>
      <c r="AJ44" s="13">
        <f>AI44*VLOOKUP('Données projet'!$B$10,Paramètres!$A$1:$I$89,3,0)*VLOOKUP('Données projet'!$B$10,Paramètres!$A$1:$I$89,5,0)</f>
        <v>126.14160000000005</v>
      </c>
      <c r="AK44" s="13">
        <f t="shared" si="35"/>
        <v>33.10323903126482</v>
      </c>
      <c r="AL44" s="20">
        <f t="shared" si="4"/>
        <v>277.35142797945298</v>
      </c>
      <c r="AM44" s="59">
        <f t="shared" si="5"/>
        <v>570.68476131278635</v>
      </c>
      <c r="AN44" s="59">
        <f ca="1">AVERAGE(OFFSET($AM$3,0,0,'Données projet'!$E$10+1,1))-AVERAGE(OFFSET($H$3,0,0,'Données projet'!$E$10+1,1))</f>
        <v>280.88930300426705</v>
      </c>
      <c r="AO44" s="59">
        <f t="shared" si="36"/>
        <v>166.95395852420467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1">
        <f t="shared" si="32"/>
        <v>9.5228227376882337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67">
        <f t="shared" si="1"/>
        <v>363.55249626814032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1.1368683772161603E-13</v>
      </c>
      <c r="O45" s="13">
        <f>N45*VLOOKUP('Données projet'!$B$9,Paramètres!$A$1:$I$89,3,0)*VLOOKUP('Données projet'!$B$9,Paramètres!$A$1:$I$89,5,0)</f>
        <v>6.7984728957526396E-14</v>
      </c>
      <c r="P45" s="13">
        <f t="shared" si="33"/>
        <v>1.0682447123141398E-12</v>
      </c>
      <c r="Q45" s="20">
        <f t="shared" si="53"/>
        <v>1.978932943548152E-12</v>
      </c>
      <c r="R45" s="59">
        <f t="shared" si="0"/>
        <v>293.3333333333353</v>
      </c>
      <c r="S45" s="59">
        <f ca="1">AVERAGE(OFFSET($R$3,0,0,'Données projet'!$E$9+1,1))-AVERAGE(OFFSET($H$3,0,0,'Données projet'!$E$9+1,1))</f>
        <v>143.12123169427508</v>
      </c>
      <c r="T45" s="59">
        <f t="shared" si="34"/>
        <v>351.98518810889152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42.041982809906166</v>
      </c>
      <c r="AA45" s="21">
        <f>EXP(-LN(2)/25)*AA44+(1-EXP(-LN(2)/25))/(LN(2)/25)*Calculateur!V45*Calculateur!X45*VLOOKUP('Données projet'!$B$9,Paramètres!$A$1:$I$89,3,0)*0.475*44/12</f>
        <v>31.510316753855939</v>
      </c>
      <c r="AB45" s="21">
        <f>EXP(-LN(2)/2)*AB44+(1-EXP(-LN(2)/2))/(LN(2)/2)*V45*Y45*VLOOKUP('Données projet'!$B$9,Paramètres!$A$1:$I$89,3,0)*0.475*44/12</f>
        <v>0.68074038745169452</v>
      </c>
      <c r="AC45" s="22">
        <f t="shared" si="3"/>
        <v>74.233039951213797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8.4</v>
      </c>
      <c r="AI45" s="13">
        <f>IF('Données projet'!$A$62&gt;35,AI44+AH45-AQ44,IF(A45&lt;'Données projet'!$A$62,$AF$205^A45,IF(A45='Données projet'!$A$62,'Données projet'!$B$62,AI44+AH45-AQ44)))</f>
        <v>132.80000000000004</v>
      </c>
      <c r="AJ45" s="13">
        <f>AI45*VLOOKUP('Données projet'!$B$10,Paramètres!$A$1:$I$89,3,0)*VLOOKUP('Données projet'!$B$10,Paramètres!$A$1:$I$89,5,0)</f>
        <v>134.65920000000006</v>
      </c>
      <c r="AK45" s="13">
        <f t="shared" si="35"/>
        <v>35.07074737441733</v>
      </c>
      <c r="AL45" s="20">
        <f t="shared" si="4"/>
        <v>295.61299167711024</v>
      </c>
      <c r="AM45" s="59">
        <f t="shared" si="5"/>
        <v>588.94632501044362</v>
      </c>
      <c r="AN45" s="59">
        <f ca="1">AVERAGE(OFFSET($AM$3,0,0,'Données projet'!$E$10+1,1))-AVERAGE(OFFSET($H$3,0,0,'Données projet'!$E$10+1,1))</f>
        <v>280.88930300426705</v>
      </c>
      <c r="AO45" s="59">
        <f t="shared" si="36"/>
        <v>166.95395852420467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1">
        <f t="shared" si="32"/>
        <v>9.7228896017746997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67">
        <f t="shared" si="1"/>
        <v>365.17793605642424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1.1368683772161603E-13</v>
      </c>
      <c r="O46" s="13">
        <f>N46*VLOOKUP('Données projet'!$B$9,Paramètres!$A$1:$I$89,3,0)*VLOOKUP('Données projet'!$B$9,Paramètres!$A$1:$I$89,5,0)</f>
        <v>6.7984728957526396E-14</v>
      </c>
      <c r="P46" s="13">
        <f t="shared" si="33"/>
        <v>1.0682447123141398E-12</v>
      </c>
      <c r="Q46" s="20">
        <f t="shared" si="53"/>
        <v>1.978932943548152E-12</v>
      </c>
      <c r="R46" s="59">
        <f t="shared" si="0"/>
        <v>293.3333333333353</v>
      </c>
      <c r="S46" s="59">
        <f ca="1">AVERAGE(OFFSET($R$3,0,0,'Données projet'!$E$9+1,1))-AVERAGE(OFFSET($H$3,0,0,'Données projet'!$E$9+1,1))</f>
        <v>143.12123169427508</v>
      </c>
      <c r="T46" s="59">
        <f t="shared" si="34"/>
        <v>351.98518810889152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41.217565170081379</v>
      </c>
      <c r="AA46" s="21">
        <f>EXP(-LN(2)/25)*AA45+(1-EXP(-LN(2)/25))/(LN(2)/25)*Calculateur!V46*Calculateur!X46*VLOOKUP('Données projet'!$B$9,Paramètres!$A$1:$I$89,3,0)*0.475*44/12</f>
        <v>30.648665485166209</v>
      </c>
      <c r="AB46" s="21">
        <f>EXP(-LN(2)/2)*AB45+(1-EXP(-LN(2)/2))/(LN(2)/2)*V46*Y46*VLOOKUP('Données projet'!$B$9,Paramètres!$A$1:$I$89,3,0)*0.475*44/12</f>
        <v>0.48135614419465095</v>
      </c>
      <c r="AC46" s="22">
        <f t="shared" si="3"/>
        <v>72.34758679944224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8.4</v>
      </c>
      <c r="AI46" s="13">
        <f>IF('Données projet'!$A$62&gt;35,AI45+AH46-AQ45,IF(A46&lt;'Données projet'!$A$62,$AF$205^A46,IF(A46='Données projet'!$A$62,'Données projet'!$B$62,AI45+AH46-AQ45)))</f>
        <v>141.20000000000005</v>
      </c>
      <c r="AJ46" s="13">
        <f>AI46*VLOOKUP('Données projet'!$B$10,Paramètres!$A$1:$I$89,3,0)*VLOOKUP('Données projet'!$B$10,Paramètres!$A$1:$I$89,5,0)</f>
        <v>143.17680000000004</v>
      </c>
      <c r="AK46" s="13">
        <f t="shared" si="35"/>
        <v>37.023812674521515</v>
      </c>
      <c r="AL46" s="20">
        <f t="shared" si="4"/>
        <v>313.84940040812506</v>
      </c>
      <c r="AM46" s="59">
        <f t="shared" si="5"/>
        <v>607.18273374145838</v>
      </c>
      <c r="AN46" s="59">
        <f ca="1">AVERAGE(OFFSET($AM$3,0,0,'Données projet'!$E$10+1,1))-AVERAGE(OFFSET($H$3,0,0,'Données projet'!$E$10+1,1))</f>
        <v>280.88930300426705</v>
      </c>
      <c r="AO46" s="59">
        <f t="shared" si="36"/>
        <v>166.95395852420467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1">
        <f t="shared" si="32"/>
        <v>9.9224155703389041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67">
        <f t="shared" si="1"/>
        <v>366.80243378500688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1.1368683772161603E-13</v>
      </c>
      <c r="O47" s="13">
        <f>N47*VLOOKUP('Données projet'!$B$9,Paramètres!$A$1:$I$89,3,0)*VLOOKUP('Données projet'!$B$9,Paramètres!$A$1:$I$89,5,0)</f>
        <v>6.7984728957526396E-14</v>
      </c>
      <c r="P47" s="13">
        <f t="shared" si="33"/>
        <v>1.0682447123141398E-12</v>
      </c>
      <c r="Q47" s="20">
        <f t="shared" si="53"/>
        <v>1.978932943548152E-12</v>
      </c>
      <c r="R47" s="59">
        <f t="shared" si="0"/>
        <v>293.3333333333353</v>
      </c>
      <c r="S47" s="59">
        <f ca="1">AVERAGE(OFFSET($R$3,0,0,'Données projet'!$E$9+1,1))-AVERAGE(OFFSET($H$3,0,0,'Données projet'!$E$9+1,1))</f>
        <v>143.12123169427508</v>
      </c>
      <c r="T47" s="59">
        <f t="shared" si="34"/>
        <v>351.98518810889152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40.409313857328442</v>
      </c>
      <c r="AA47" s="21">
        <f>EXP(-LN(2)/25)*AA46+(1-EXP(-LN(2)/25))/(LN(2)/25)*Calculateur!V47*Calculateur!X47*VLOOKUP('Données projet'!$B$9,Paramètres!$A$1:$I$89,3,0)*0.475*44/12</f>
        <v>29.81057611573107</v>
      </c>
      <c r="AB47" s="21">
        <f>EXP(-LN(2)/2)*AB46+(1-EXP(-LN(2)/2))/(LN(2)/2)*V47*Y47*VLOOKUP('Données projet'!$B$9,Paramètres!$A$1:$I$89,3,0)*0.475*44/12</f>
        <v>0.34037019372584731</v>
      </c>
      <c r="AC47" s="22">
        <f t="shared" si="3"/>
        <v>70.560260166785355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8.4</v>
      </c>
      <c r="AI47" s="13">
        <f>IF('Données projet'!$A$62&gt;35,AI46+AH47-AQ46,IF(A47&lt;'Données projet'!$A$62,$AF$205^A47,IF(A47='Données projet'!$A$62,'Données projet'!$B$62,AI46+AH47-AQ46)))</f>
        <v>149.60000000000005</v>
      </c>
      <c r="AJ47" s="13">
        <f>AI47*VLOOKUP('Données projet'!$B$10,Paramètres!$A$1:$I$89,3,0)*VLOOKUP('Données projet'!$B$10,Paramètres!$A$1:$I$89,5,0)</f>
        <v>151.69440000000006</v>
      </c>
      <c r="AK47" s="13">
        <f t="shared" si="35"/>
        <v>38.963392010880654</v>
      </c>
      <c r="AL47" s="20">
        <f t="shared" si="4"/>
        <v>332.06232108561721</v>
      </c>
      <c r="AM47" s="59">
        <f t="shared" si="5"/>
        <v>625.39565441895047</v>
      </c>
      <c r="AN47" s="59">
        <f ca="1">AVERAGE(OFFSET($AM$3,0,0,'Données projet'!$E$10+1,1))-AVERAGE(OFFSET($H$3,0,0,'Données projet'!$E$10+1,1))</f>
        <v>280.88930300426705</v>
      </c>
      <c r="AO47" s="59">
        <f t="shared" si="36"/>
        <v>166.95395852420467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1">
        <f t="shared" si="32"/>
        <v>10.121414351623134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67">
        <f t="shared" si="1"/>
        <v>368.42601332907691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1.1368683772161603E-13</v>
      </c>
      <c r="O48" s="13">
        <f>N48*VLOOKUP('Données projet'!$B$9,Paramètres!$A$1:$I$89,3,0)*VLOOKUP('Données projet'!$B$9,Paramètres!$A$1:$I$89,5,0)</f>
        <v>6.7984728957526396E-14</v>
      </c>
      <c r="P48" s="13">
        <f t="shared" si="33"/>
        <v>1.0682447123141398E-12</v>
      </c>
      <c r="Q48" s="20">
        <f t="shared" si="53"/>
        <v>1.978932943548152E-12</v>
      </c>
      <c r="R48" s="59">
        <f t="shared" si="0"/>
        <v>293.3333333333353</v>
      </c>
      <c r="S48" s="59">
        <f ca="1">AVERAGE(OFFSET($R$3,0,0,'Données projet'!$E$9+1,1))-AVERAGE(OFFSET($H$3,0,0,'Données projet'!$E$9+1,1))</f>
        <v>143.12123169427508</v>
      </c>
      <c r="T48" s="59">
        <f t="shared" si="34"/>
        <v>351.98518810889152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39.616911859833969</v>
      </c>
      <c r="AA48" s="21">
        <f>EXP(-LN(2)/25)*AA47+(1-EXP(-LN(2)/25))/(LN(2)/25)*Calculateur!V48*Calculateur!X48*VLOOKUP('Données projet'!$B$9,Paramètres!$A$1:$I$89,3,0)*0.475*44/12</f>
        <v>28.99540434417634</v>
      </c>
      <c r="AB48" s="21">
        <f>EXP(-LN(2)/2)*AB47+(1-EXP(-LN(2)/2))/(LN(2)/2)*V48*Y48*VLOOKUP('Données projet'!$B$9,Paramètres!$A$1:$I$89,3,0)*0.475*44/12</f>
        <v>0.24067807209732553</v>
      </c>
      <c r="AC48" s="22">
        <f t="shared" si="3"/>
        <v>68.852994276107637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158</v>
      </c>
      <c r="AG48" s="12">
        <f>VLOOKUP(A48,'Données projet'!$A$61:$I$81,9,0)</f>
        <v>8.4</v>
      </c>
      <c r="AH48" s="12">
        <f t="array" ref="AH48">INDEX(AG:AG,MIN(IF(ISNUMBER(AG48:AG244),ROW(AG48:AG244),"")))</f>
        <v>8.4</v>
      </c>
      <c r="AI48" s="13">
        <f>IF('Données projet'!$A$62&gt;35,AI47+AH48-AQ47,IF(A48&lt;'Données projet'!$A$62,$AF$205^A48,IF(A48='Données projet'!$A$62,'Données projet'!$B$62,AI47+AH48-AQ47)))</f>
        <v>158.00000000000006</v>
      </c>
      <c r="AJ48" s="13">
        <f>AI48*VLOOKUP('Données projet'!$B$10,Paramètres!$A$1:$I$89,3,0)*VLOOKUP('Données projet'!$B$10,Paramètres!$A$1:$I$89,5,0)</f>
        <v>160.21200000000007</v>
      </c>
      <c r="AK48" s="13">
        <f t="shared" si="35"/>
        <v>40.890328912852731</v>
      </c>
      <c r="AL48" s="20">
        <f t="shared" si="4"/>
        <v>350.25322285655193</v>
      </c>
      <c r="AM48" s="59">
        <f t="shared" si="5"/>
        <v>643.58655618988519</v>
      </c>
      <c r="AN48" s="59">
        <f ca="1">AVERAGE(OFFSET($AM$3,0,0,'Données projet'!$E$10+1,1))-AVERAGE(OFFSET($H$3,0,0,'Données projet'!$E$10+1,1))</f>
        <v>280.88930300426705</v>
      </c>
      <c r="AO48" s="59">
        <f t="shared" si="36"/>
        <v>166.95395852420467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21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1">
        <f t="shared" si="32"/>
        <v>10.319899009829577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67">
        <f t="shared" si="1"/>
        <v>370.04869744211982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1.1368683772161603E-13</v>
      </c>
      <c r="O49" s="13">
        <f>N49*VLOOKUP('Données projet'!$B$9,Paramètres!$A$1:$I$89,3,0)*VLOOKUP('Données projet'!$B$9,Paramètres!$A$1:$I$89,5,0)</f>
        <v>6.7984728957526396E-14</v>
      </c>
      <c r="P49" s="13">
        <f t="shared" si="33"/>
        <v>1.0682447123141398E-12</v>
      </c>
      <c r="Q49" s="20">
        <f t="shared" si="53"/>
        <v>1.978932943548152E-12</v>
      </c>
      <c r="R49" s="59">
        <f t="shared" si="0"/>
        <v>293.3333333333353</v>
      </c>
      <c r="S49" s="59">
        <f ca="1">AVERAGE(OFFSET($R$3,0,0,'Données projet'!$E$9+1,1))-AVERAGE(OFFSET($H$3,0,0,'Données projet'!$E$9+1,1))</f>
        <v>143.12123169427508</v>
      </c>
      <c r="T49" s="59">
        <f t="shared" si="34"/>
        <v>351.98518810889152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38.840048382192869</v>
      </c>
      <c r="AA49" s="21">
        <f>EXP(-LN(2)/25)*AA48+(1-EXP(-LN(2)/25))/(LN(2)/25)*Calculateur!V49*Calculateur!X49*VLOOKUP('Données projet'!$B$9,Paramètres!$A$1:$I$89,3,0)*0.475*44/12</f>
        <v>28.202523487582791</v>
      </c>
      <c r="AB49" s="21">
        <f>EXP(-LN(2)/2)*AB48+(1-EXP(-LN(2)/2))/(LN(2)/2)*V49*Y49*VLOOKUP('Données projet'!$B$9,Paramètres!$A$1:$I$89,3,0)*0.475*44/12</f>
        <v>0.17018509686292368</v>
      </c>
      <c r="AC49" s="22">
        <f t="shared" si="3"/>
        <v>67.21275696663858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8.1999999999999993</v>
      </c>
      <c r="AI49" s="13">
        <f>IF('Données projet'!$A$62&gt;35,AI48+AH49-AQ48,IF(A49&lt;'Données projet'!$A$62,$AF$205^A49,IF(A49='Données projet'!$A$62,'Données projet'!$B$62,AI48+AH49-AQ48)))</f>
        <v>145.20000000000005</v>
      </c>
      <c r="AJ49" s="13">
        <f>AI49*VLOOKUP('Données projet'!$B$10,Paramètres!$A$1:$I$89,3,0)*VLOOKUP('Données projet'!$B$10,Paramètres!$A$1:$I$89,5,0)</f>
        <v>147.23280000000005</v>
      </c>
      <c r="AK49" s="13">
        <f t="shared" si="35"/>
        <v>37.949049623906205</v>
      </c>
      <c r="AL49" s="20">
        <f t="shared" si="4"/>
        <v>322.52505476163668</v>
      </c>
      <c r="AM49" s="59">
        <f t="shared" si="5"/>
        <v>615.85838809497</v>
      </c>
      <c r="AN49" s="59">
        <f ca="1">AVERAGE(OFFSET($AM$3,0,0,'Données projet'!$E$10+1,1))-AVERAGE(OFFSET($H$3,0,0,'Données projet'!$E$10+1,1))</f>
        <v>280.88930300426705</v>
      </c>
      <c r="AO49" s="59">
        <f t="shared" si="36"/>
        <v>166.95395852420467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1">
        <f t="shared" si="32"/>
        <v>10.517882008711249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67">
        <f t="shared" si="1"/>
        <v>371.67050783183868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1.1368683772161603E-13</v>
      </c>
      <c r="O50" s="13">
        <f>N50*VLOOKUP('Données projet'!$B$9,Paramètres!$A$1:$I$89,3,0)*VLOOKUP('Données projet'!$B$9,Paramètres!$A$1:$I$89,5,0)</f>
        <v>6.7984728957526396E-14</v>
      </c>
      <c r="P50" s="13">
        <f t="shared" si="33"/>
        <v>1.0682447123141398E-12</v>
      </c>
      <c r="Q50" s="20">
        <f t="shared" si="53"/>
        <v>1.978932943548152E-12</v>
      </c>
      <c r="R50" s="59">
        <f t="shared" si="0"/>
        <v>293.3333333333353</v>
      </c>
      <c r="S50" s="59">
        <f ca="1">AVERAGE(OFFSET($R$3,0,0,'Données projet'!$E$9+1,1))-AVERAGE(OFFSET($H$3,0,0,'Données projet'!$E$9+1,1))</f>
        <v>143.12123169427508</v>
      </c>
      <c r="T50" s="59">
        <f t="shared" si="34"/>
        <v>351.98518810889152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38.078418723508378</v>
      </c>
      <c r="AA50" s="21">
        <f>EXP(-LN(2)/25)*AA49+(1-EXP(-LN(2)/25))/(LN(2)/25)*Calculateur!V50*Calculateur!X50*VLOOKUP('Données projet'!$B$9,Paramètres!$A$1:$I$89,3,0)*0.475*44/12</f>
        <v>27.431323999708589</v>
      </c>
      <c r="AB50" s="21">
        <f>EXP(-LN(2)/2)*AB49+(1-EXP(-LN(2)/2))/(LN(2)/2)*V50*Y50*VLOOKUP('Données projet'!$B$9,Paramètres!$A$1:$I$89,3,0)*0.475*44/12</f>
        <v>0.12033903604866278</v>
      </c>
      <c r="AC50" s="22">
        <f t="shared" si="3"/>
        <v>65.630081759265622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8.1999999999999993</v>
      </c>
      <c r="AI50" s="13">
        <f>IF('Données projet'!$A$62&gt;35,AI49+AH50-AQ49,IF(A50&lt;'Données projet'!$A$62,$AF$205^A50,IF(A50='Données projet'!$A$62,'Données projet'!$B$62,AI49+AH50-AQ49)))</f>
        <v>153.40000000000003</v>
      </c>
      <c r="AJ50" s="13">
        <f>AI50*VLOOKUP('Données projet'!$B$10,Paramètres!$A$1:$I$89,3,0)*VLOOKUP('Données projet'!$B$10,Paramètres!$A$1:$I$89,5,0)</f>
        <v>155.54760000000005</v>
      </c>
      <c r="AK50" s="13">
        <f t="shared" si="35"/>
        <v>39.836620617816237</v>
      </c>
      <c r="AL50" s="20">
        <f t="shared" si="4"/>
        <v>340.29418424269664</v>
      </c>
      <c r="AM50" s="59">
        <f t="shared" si="5"/>
        <v>633.62751757602996</v>
      </c>
      <c r="AN50" s="59">
        <f ca="1">AVERAGE(OFFSET($AM$3,0,0,'Données projet'!$E$10+1,1))-AVERAGE(OFFSET($H$3,0,0,'Données projet'!$E$10+1,1))</f>
        <v>280.88930300426705</v>
      </c>
      <c r="AO50" s="59">
        <f t="shared" si="36"/>
        <v>166.95395852420467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1">
        <f t="shared" si="32"/>
        <v>10.715375251348382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67">
        <f t="shared" si="1"/>
        <v>373.29146522943171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1.1368683772161603E-13</v>
      </c>
      <c r="O51" s="13">
        <f>N51*VLOOKUP('Données projet'!$B$9,Paramètres!$A$1:$I$89,3,0)*VLOOKUP('Données projet'!$B$9,Paramètres!$A$1:$I$89,5,0)</f>
        <v>6.7984728957526396E-14</v>
      </c>
      <c r="P51" s="13">
        <f t="shared" si="33"/>
        <v>1.0682447123141398E-12</v>
      </c>
      <c r="Q51" s="20">
        <f t="shared" si="53"/>
        <v>1.978932943548152E-12</v>
      </c>
      <c r="R51" s="59">
        <f t="shared" si="0"/>
        <v>293.3333333333353</v>
      </c>
      <c r="S51" s="59">
        <f ca="1">AVERAGE(OFFSET($R$3,0,0,'Données projet'!$E$9+1,1))-AVERAGE(OFFSET($H$3,0,0,'Données projet'!$E$9+1,1))</f>
        <v>143.12123169427508</v>
      </c>
      <c r="T51" s="59">
        <f t="shared" si="34"/>
        <v>351.98518810889152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37.331724157882469</v>
      </c>
      <c r="AA51" s="21">
        <f>EXP(-LN(2)/25)*AA50+(1-EXP(-LN(2)/25))/(LN(2)/25)*Calculateur!V51*Calculateur!X51*VLOOKUP('Données projet'!$B$9,Paramètres!$A$1:$I$89,3,0)*0.475*44/12</f>
        <v>26.681213002385924</v>
      </c>
      <c r="AB51" s="21">
        <f>EXP(-LN(2)/2)*AB50+(1-EXP(-LN(2)/2))/(LN(2)/2)*V51*Y51*VLOOKUP('Données projet'!$B$9,Paramètres!$A$1:$I$89,3,0)*0.475*44/12</f>
        <v>8.5092548431461856E-2</v>
      </c>
      <c r="AC51" s="22">
        <f t="shared" si="3"/>
        <v>64.098029708699855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8.1999999999999993</v>
      </c>
      <c r="AI51" s="13">
        <f>IF('Données projet'!$A$62&gt;35,AI50+AH51-AQ50,IF(A51&lt;'Données projet'!$A$62,$AF$205^A51,IF(A51='Données projet'!$A$62,'Données projet'!$B$62,AI50+AH51-AQ50)))</f>
        <v>161.60000000000002</v>
      </c>
      <c r="AJ51" s="13">
        <f>AI51*VLOOKUP('Données projet'!$B$10,Paramètres!$A$1:$I$89,3,0)*VLOOKUP('Données projet'!$B$10,Paramètres!$A$1:$I$89,5,0)</f>
        <v>163.86240000000004</v>
      </c>
      <c r="AK51" s="13">
        <f t="shared" si="35"/>
        <v>41.712477409029084</v>
      </c>
      <c r="AL51" s="20">
        <f t="shared" si="4"/>
        <v>358.0429114873923</v>
      </c>
      <c r="AM51" s="59">
        <f t="shared" si="5"/>
        <v>651.37624482072556</v>
      </c>
      <c r="AN51" s="59">
        <f ca="1">AVERAGE(OFFSET($AM$3,0,0,'Données projet'!$E$10+1,1))-AVERAGE(OFFSET($H$3,0,0,'Données projet'!$E$10+1,1))</f>
        <v>280.88930300426705</v>
      </c>
      <c r="AO51" s="59">
        <f t="shared" si="36"/>
        <v>166.95395852420467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1">
        <f t="shared" si="32"/>
        <v>10.912390116516537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67">
        <f t="shared" si="1"/>
        <v>374.9115894529329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1.1368683772161603E-13</v>
      </c>
      <c r="O52" s="13">
        <f>N52*VLOOKUP('Données projet'!$B$9,Paramètres!$A$1:$I$89,3,0)*VLOOKUP('Données projet'!$B$9,Paramètres!$A$1:$I$89,5,0)</f>
        <v>6.7984728957526396E-14</v>
      </c>
      <c r="P52" s="13">
        <f t="shared" si="33"/>
        <v>1.0682447123141398E-12</v>
      </c>
      <c r="Q52" s="20">
        <f t="shared" si="53"/>
        <v>1.978932943548152E-12</v>
      </c>
      <c r="R52" s="59">
        <f t="shared" si="0"/>
        <v>293.3333333333353</v>
      </c>
      <c r="S52" s="59">
        <f ca="1">AVERAGE(OFFSET($R$3,0,0,'Données projet'!$E$9+1,1))-AVERAGE(OFFSET($H$3,0,0,'Données projet'!$E$9+1,1))</f>
        <v>143.12123169427508</v>
      </c>
      <c r="T52" s="59">
        <f t="shared" si="34"/>
        <v>351.98518810889152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36.599671817249771</v>
      </c>
      <c r="AA52" s="21">
        <f>EXP(-LN(2)/25)*AA51+(1-EXP(-LN(2)/25))/(LN(2)/25)*Calculateur!V52*Calculateur!X52*VLOOKUP('Données projet'!$B$9,Paramètres!$A$1:$I$89,3,0)*0.475*44/12</f>
        <v>25.95161382973167</v>
      </c>
      <c r="AB52" s="21">
        <f>EXP(-LN(2)/2)*AB51+(1-EXP(-LN(2)/2))/(LN(2)/2)*V52*Y52*VLOOKUP('Données projet'!$B$9,Paramètres!$A$1:$I$89,3,0)*0.475*44/12</f>
        <v>6.0169518024331403E-2</v>
      </c>
      <c r="AC52" s="22">
        <f t="shared" si="3"/>
        <v>62.611455165005772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8.1999999999999993</v>
      </c>
      <c r="AI52" s="13">
        <f>IF('Données projet'!$A$62&gt;35,AI51+AH52-AQ51,IF(A52&lt;'Données projet'!$A$62,$AF$205^A52,IF(A52='Données projet'!$A$62,'Données projet'!$B$62,AI51+AH52-AQ51)))</f>
        <v>169.8</v>
      </c>
      <c r="AJ52" s="13">
        <f>AI52*VLOOKUP('Données projet'!$B$10,Paramètres!$A$1:$I$89,3,0)*VLOOKUP('Données projet'!$B$10,Paramètres!$A$1:$I$89,5,0)</f>
        <v>172.1772</v>
      </c>
      <c r="AK52" s="13">
        <f t="shared" si="35"/>
        <v>43.577282221917017</v>
      </c>
      <c r="AL52" s="20">
        <f t="shared" si="4"/>
        <v>375.77238986983883</v>
      </c>
      <c r="AM52" s="59">
        <f t="shared" si="5"/>
        <v>669.10572320317215</v>
      </c>
      <c r="AN52" s="59">
        <f ca="1">AVERAGE(OFFSET($AM$3,0,0,'Données projet'!$E$10+1,1))-AVERAGE(OFFSET($H$3,0,0,'Données projet'!$E$10+1,1))</f>
        <v>280.88930300426705</v>
      </c>
      <c r="AO52" s="59">
        <f t="shared" si="36"/>
        <v>166.95395852420467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1">
        <f t="shared" si="32"/>
        <v>11.108937492002092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67">
        <f t="shared" si="1"/>
        <v>376.53089946523693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1.1368683772161603E-13</v>
      </c>
      <c r="O53" s="13">
        <f>N53*VLOOKUP('Données projet'!$B$9,Paramètres!$A$1:$I$89,3,0)*VLOOKUP('Données projet'!$B$9,Paramètres!$A$1:$I$89,5,0)</f>
        <v>6.7984728957526396E-14</v>
      </c>
      <c r="P53" s="13">
        <f t="shared" si="33"/>
        <v>1.0682447123141398E-12</v>
      </c>
      <c r="Q53" s="20">
        <f t="shared" si="53"/>
        <v>1.978932943548152E-12</v>
      </c>
      <c r="R53" s="59">
        <f t="shared" si="0"/>
        <v>293.3333333333353</v>
      </c>
      <c r="S53" s="59">
        <f ca="1">AVERAGE(OFFSET($R$3,0,0,'Données projet'!$E$9+1,1))-AVERAGE(OFFSET($H$3,0,0,'Données projet'!$E$9+1,1))</f>
        <v>143.12123169427508</v>
      </c>
      <c r="T53" s="59">
        <f t="shared" si="34"/>
        <v>351.98518810889152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35.881974576509037</v>
      </c>
      <c r="AA53" s="21">
        <f>EXP(-LN(2)/25)*AA52+(1-EXP(-LN(2)/25))/(LN(2)/25)*Calculateur!V53*Calculateur!X53*VLOOKUP('Données projet'!$B$9,Paramètres!$A$1:$I$89,3,0)*0.475*44/12</f>
        <v>25.2419655848216</v>
      </c>
      <c r="AB53" s="21">
        <f>EXP(-LN(2)/2)*AB52+(1-EXP(-LN(2)/2))/(LN(2)/2)*V53*Y53*VLOOKUP('Données projet'!$B$9,Paramètres!$A$1:$I$89,3,0)*0.475*44/12</f>
        <v>4.2546274215730935E-2</v>
      </c>
      <c r="AC53" s="22">
        <f t="shared" si="3"/>
        <v>61.166486435546368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178</v>
      </c>
      <c r="AG53" s="12">
        <f>VLOOKUP(A53,'Données projet'!$A$61:$I$81,9,0)</f>
        <v>8.1999999999999993</v>
      </c>
      <c r="AH53" s="12">
        <f t="array" ref="AH53">INDEX(AG:AG,MIN(IF(ISNUMBER(AG53:AG249),ROW(AG53:AG249),"")))</f>
        <v>8.1999999999999993</v>
      </c>
      <c r="AI53" s="13">
        <f>IF('Données projet'!$A$62&gt;35,AI52+AH53-AQ52,IF(A53&lt;'Données projet'!$A$62,$AF$205^A53,IF(A53='Données projet'!$A$62,'Données projet'!$B$62,AI52+AH53-AQ52)))</f>
        <v>178</v>
      </c>
      <c r="AJ53" s="13">
        <f>AI53*VLOOKUP('Données projet'!$B$10,Paramètres!$A$1:$I$89,3,0)*VLOOKUP('Données projet'!$B$10,Paramètres!$A$1:$I$89,5,0)</f>
        <v>180.49200000000002</v>
      </c>
      <c r="AK53" s="13">
        <f t="shared" si="35"/>
        <v>45.431629706642653</v>
      </c>
      <c r="AL53" s="20">
        <f t="shared" si="4"/>
        <v>393.4836550724026</v>
      </c>
      <c r="AM53" s="59">
        <f t="shared" si="5"/>
        <v>686.81698840573586</v>
      </c>
      <c r="AN53" s="59">
        <f ca="1">AVERAGE(OFFSET($AM$3,0,0,'Données projet'!$E$10+1,1))-AVERAGE(OFFSET($H$3,0,0,'Données projet'!$E$10+1,1))</f>
        <v>280.88930300426705</v>
      </c>
      <c r="AO53" s="59">
        <f t="shared" si="36"/>
        <v>166.95395852420467</v>
      </c>
      <c r="AP53" s="15">
        <f>IF(ISNA(VLOOKUP(A53,'Données projet'!$A$61:$I$81,3,0)),0,VLOOKUP(A53,'Données projet'!$A$61:$I$81,3,0))</f>
        <v>6</v>
      </c>
      <c r="AQ53" s="15">
        <f>IF(ISNA(VLOOKUP(A53,'Données projet'!$A$61:$I$81,4,0)),0,VLOOKUP(A53,'Données projet'!$A$61:$I$81,4,0))</f>
        <v>21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1">
        <f t="shared" si="32"/>
        <v>11.305027805177126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67">
        <f t="shared" si="1"/>
        <v>378.14941342735011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1.1368683772161603E-13</v>
      </c>
      <c r="O54" s="13">
        <f>N54*VLOOKUP('Données projet'!$B$9,Paramètres!$A$1:$I$89,3,0)*VLOOKUP('Données projet'!$B$9,Paramètres!$A$1:$I$89,5,0)</f>
        <v>6.7984728957526396E-14</v>
      </c>
      <c r="P54" s="13">
        <f t="shared" si="33"/>
        <v>1.0682447123141398E-12</v>
      </c>
      <c r="Q54" s="20">
        <f t="shared" si="53"/>
        <v>1.978932943548152E-12</v>
      </c>
      <c r="R54" s="59">
        <f t="shared" si="0"/>
        <v>293.3333333333353</v>
      </c>
      <c r="S54" s="59">
        <f ca="1">AVERAGE(OFFSET($R$3,0,0,'Données projet'!$E$9+1,1))-AVERAGE(OFFSET($H$3,0,0,'Données projet'!$E$9+1,1))</f>
        <v>143.12123169427508</v>
      </c>
      <c r="T54" s="59">
        <f t="shared" si="34"/>
        <v>351.98518810889152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35.178350940907137</v>
      </c>
      <c r="AA54" s="21">
        <f>EXP(-LN(2)/25)*AA53+(1-EXP(-LN(2)/25))/(LN(2)/25)*Calculateur!V54*Calculateur!X54*VLOOKUP('Données projet'!$B$9,Paramètres!$A$1:$I$89,3,0)*0.475*44/12</f>
        <v>24.551722708487375</v>
      </c>
      <c r="AB54" s="21">
        <f>EXP(-LN(2)/2)*AB53+(1-EXP(-LN(2)/2))/(LN(2)/2)*V54*Y54*VLOOKUP('Données projet'!$B$9,Paramètres!$A$1:$I$89,3,0)*0.475*44/12</f>
        <v>3.0084759012165705E-2</v>
      </c>
      <c r="AC54" s="22">
        <f t="shared" si="3"/>
        <v>59.760158408406681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</v>
      </c>
      <c r="AI54" s="13">
        <f>IF('Données projet'!$A$62&gt;35,AI53+AH54-AQ53,IF(A54&lt;'Données projet'!$A$62,$AF$205^A54,IF(A54='Données projet'!$A$62,'Données projet'!$B$62,AI53+AH54-AQ53)))</f>
        <v>165</v>
      </c>
      <c r="AJ54" s="13">
        <f>AI54*VLOOKUP('Données projet'!$B$10,Paramètres!$A$1:$I$89,3,0)*VLOOKUP('Données projet'!$B$10,Paramètres!$A$1:$I$89,5,0)</f>
        <v>167.31</v>
      </c>
      <c r="AK54" s="13">
        <f t="shared" si="35"/>
        <v>42.486994942347515</v>
      </c>
      <c r="AL54" s="20">
        <f t="shared" si="4"/>
        <v>365.39643285792187</v>
      </c>
      <c r="AM54" s="59">
        <f t="shared" si="5"/>
        <v>658.72976619125518</v>
      </c>
      <c r="AN54" s="59">
        <f ca="1">AVERAGE(OFFSET($AM$3,0,0,'Données projet'!$E$10+1,1))-AVERAGE(OFFSET($H$3,0,0,'Données projet'!$E$10+1,1))</f>
        <v>280.88930300426705</v>
      </c>
      <c r="AO54" s="59">
        <f t="shared" si="36"/>
        <v>166.95395852420467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1">
        <f t="shared" si="32"/>
        <v>11.500671051108624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67">
        <f t="shared" si="1"/>
        <v>379.76714874734745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1.1368683772161603E-13</v>
      </c>
      <c r="O55" s="13">
        <f>N55*VLOOKUP('Données projet'!$B$9,Paramètres!$A$1:$I$89,3,0)*VLOOKUP('Données projet'!$B$9,Paramètres!$A$1:$I$89,5,0)</f>
        <v>6.7984728957526396E-14</v>
      </c>
      <c r="P55" s="13">
        <f t="shared" si="33"/>
        <v>1.0682447123141398E-12</v>
      </c>
      <c r="Q55" s="20">
        <f t="shared" si="53"/>
        <v>1.978932943548152E-12</v>
      </c>
      <c r="R55" s="59">
        <f t="shared" si="0"/>
        <v>293.3333333333353</v>
      </c>
      <c r="S55" s="59">
        <f ca="1">AVERAGE(OFFSET($R$3,0,0,'Données projet'!$E$9+1,1))-AVERAGE(OFFSET($H$3,0,0,'Données projet'!$E$9+1,1))</f>
        <v>143.12123169427508</v>
      </c>
      <c r="T55" s="59">
        <f t="shared" si="34"/>
        <v>351.98518810889152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34.488524935631354</v>
      </c>
      <c r="AA55" s="21">
        <f>EXP(-LN(2)/25)*AA54+(1-EXP(-LN(2)/25))/(LN(2)/25)*Calculateur!V55*Calculateur!X55*VLOOKUP('Données projet'!$B$9,Paramètres!$A$1:$I$89,3,0)*0.475*44/12</f>
        <v>23.880354559904806</v>
      </c>
      <c r="AB55" s="21">
        <f>EXP(-LN(2)/2)*AB54+(1-EXP(-LN(2)/2))/(LN(2)/2)*V55*Y55*VLOOKUP('Données projet'!$B$9,Paramètres!$A$1:$I$89,3,0)*0.475*44/12</f>
        <v>2.1273137107865471E-2</v>
      </c>
      <c r="AC55" s="22">
        <f t="shared" si="3"/>
        <v>58.390152632644032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</v>
      </c>
      <c r="AI55" s="13">
        <f>IF('Données projet'!$A$62&gt;35,AI54+AH55-AQ54,IF(A55&lt;'Données projet'!$A$62,$AF$205^A55,IF(A55='Données projet'!$A$62,'Données projet'!$B$62,AI54+AH55-AQ54)))</f>
        <v>173</v>
      </c>
      <c r="AJ55" s="13">
        <f>AI55*VLOOKUP('Données projet'!$B$10,Paramètres!$A$1:$I$89,3,0)*VLOOKUP('Données projet'!$B$10,Paramètres!$A$1:$I$89,5,0)</f>
        <v>175.422</v>
      </c>
      <c r="AK55" s="13">
        <f t="shared" si="35"/>
        <v>44.302143412304737</v>
      </c>
      <c r="AL55" s="20">
        <f t="shared" si="4"/>
        <v>382.68621644309741</v>
      </c>
      <c r="AM55" s="59">
        <f t="shared" si="5"/>
        <v>676.01954977643072</v>
      </c>
      <c r="AN55" s="59">
        <f ca="1">AVERAGE(OFFSET($AM$3,0,0,'Données projet'!$E$10+1,1))-AVERAGE(OFFSET($H$3,0,0,'Données projet'!$E$10+1,1))</f>
        <v>280.88930300426705</v>
      </c>
      <c r="AO55" s="59">
        <f t="shared" si="36"/>
        <v>166.95395852420467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1">
        <f t="shared" si="32"/>
        <v>11.695876818444219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67">
        <f t="shared" si="1"/>
        <v>381.38412212545694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1.1368683772161603E-13</v>
      </c>
      <c r="O56" s="13">
        <f>N56*VLOOKUP('Données projet'!$B$9,Paramètres!$A$1:$I$89,3,0)*VLOOKUP('Données projet'!$B$9,Paramètres!$A$1:$I$89,5,0)</f>
        <v>6.7984728957526396E-14</v>
      </c>
      <c r="P56" s="13">
        <f t="shared" si="33"/>
        <v>1.0682447123141398E-12</v>
      </c>
      <c r="Q56" s="20">
        <f t="shared" si="53"/>
        <v>1.978932943548152E-12</v>
      </c>
      <c r="R56" s="59">
        <f t="shared" si="0"/>
        <v>293.3333333333353</v>
      </c>
      <c r="S56" s="59">
        <f ca="1">AVERAGE(OFFSET($R$3,0,0,'Données projet'!$E$9+1,1))-AVERAGE(OFFSET($H$3,0,0,'Données projet'!$E$9+1,1))</f>
        <v>143.12123169427508</v>
      </c>
      <c r="T56" s="59">
        <f t="shared" si="34"/>
        <v>351.98518810889152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33.812225997566706</v>
      </c>
      <c r="AA56" s="21">
        <f>EXP(-LN(2)/25)*AA55+(1-EXP(-LN(2)/25))/(LN(2)/25)*Calculateur!V56*Calculateur!X56*VLOOKUP('Données projet'!$B$9,Paramètres!$A$1:$I$89,3,0)*0.475*44/12</f>
        <v>23.227345008650943</v>
      </c>
      <c r="AB56" s="21">
        <f>EXP(-LN(2)/2)*AB55+(1-EXP(-LN(2)/2))/(LN(2)/2)*V56*Y56*VLOOKUP('Données projet'!$B$9,Paramètres!$A$1:$I$89,3,0)*0.475*44/12</f>
        <v>1.5042379506082854E-2</v>
      </c>
      <c r="AC56" s="22">
        <f t="shared" si="3"/>
        <v>57.054613385723734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</v>
      </c>
      <c r="AI56" s="13">
        <f>IF('Données projet'!$A$62&gt;35,AI55+AH56-AQ55,IF(A56&lt;'Données projet'!$A$62,$AF$205^A56,IF(A56='Données projet'!$A$62,'Données projet'!$B$62,AI55+AH56-AQ55)))</f>
        <v>181</v>
      </c>
      <c r="AJ56" s="13">
        <f>AI56*VLOOKUP('Données projet'!$B$10,Paramètres!$A$1:$I$89,3,0)*VLOOKUP('Données projet'!$B$10,Paramètres!$A$1:$I$89,5,0)</f>
        <v>183.53400000000002</v>
      </c>
      <c r="AK56" s="13">
        <f t="shared" si="35"/>
        <v>46.107544136839593</v>
      </c>
      <c r="AL56" s="20">
        <f t="shared" si="4"/>
        <v>399.95902270499568</v>
      </c>
      <c r="AM56" s="59">
        <f t="shared" si="5"/>
        <v>693.29235603832899</v>
      </c>
      <c r="AN56" s="59">
        <f ca="1">AVERAGE(OFFSET($AM$3,0,0,'Données projet'!$E$10+1,1))-AVERAGE(OFFSET($H$3,0,0,'Données projet'!$E$10+1,1))</f>
        <v>280.88930300426705</v>
      </c>
      <c r="AO56" s="59">
        <f t="shared" si="36"/>
        <v>166.95395852420467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1">
        <f t="shared" si="32"/>
        <v>11.890654313289092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67">
        <f t="shared" si="1"/>
        <v>383.0003495956451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1.1368683772161603E-13</v>
      </c>
      <c r="O57" s="13">
        <f>N57*VLOOKUP('Données projet'!$B$9,Paramètres!$A$1:$I$89,3,0)*VLOOKUP('Données projet'!$B$9,Paramètres!$A$1:$I$89,5,0)</f>
        <v>6.7984728957526396E-14</v>
      </c>
      <c r="P57" s="13">
        <f t="shared" si="33"/>
        <v>1.0682447123141398E-12</v>
      </c>
      <c r="Q57" s="20">
        <f t="shared" si="53"/>
        <v>1.978932943548152E-12</v>
      </c>
      <c r="R57" s="59">
        <f t="shared" si="0"/>
        <v>293.3333333333353</v>
      </c>
      <c r="S57" s="59">
        <f ca="1">AVERAGE(OFFSET($R$3,0,0,'Données projet'!$E$9+1,1))-AVERAGE(OFFSET($H$3,0,0,'Données projet'!$E$9+1,1))</f>
        <v>143.12123169427508</v>
      </c>
      <c r="T57" s="59">
        <f t="shared" si="34"/>
        <v>351.98518810889152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33.149188869175887</v>
      </c>
      <c r="AA57" s="21">
        <f>EXP(-LN(2)/25)*AA56+(1-EXP(-LN(2)/25))/(LN(2)/25)*Calculateur!V57*Calculateur!X57*VLOOKUP('Données projet'!$B$9,Paramètres!$A$1:$I$89,3,0)*0.475*44/12</f>
        <v>22.592192037916394</v>
      </c>
      <c r="AB57" s="21">
        <f>EXP(-LN(2)/2)*AB56+(1-EXP(-LN(2)/2))/(LN(2)/2)*V57*Y57*VLOOKUP('Données projet'!$B$9,Paramètres!$A$1:$I$89,3,0)*0.475*44/12</f>
        <v>1.0636568553932737E-2</v>
      </c>
      <c r="AC57" s="22">
        <f t="shared" si="3"/>
        <v>55.752017475646213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</v>
      </c>
      <c r="AI57" s="13">
        <f>IF('Données projet'!$A$62&gt;35,AI56+AH57-AQ56,IF(A57&lt;'Données projet'!$A$62,$AF$205^A57,IF(A57='Données projet'!$A$62,'Données projet'!$B$62,AI56+AH57-AQ56)))</f>
        <v>189</v>
      </c>
      <c r="AJ57" s="13">
        <f>AI57*VLOOKUP('Données projet'!$B$10,Paramètres!$A$1:$I$89,3,0)*VLOOKUP('Données projet'!$B$10,Paramètres!$A$1:$I$89,5,0)</f>
        <v>191.64600000000002</v>
      </c>
      <c r="AK57" s="13">
        <f t="shared" si="35"/>
        <v>47.903677189291635</v>
      </c>
      <c r="AL57" s="20">
        <f t="shared" si="4"/>
        <v>417.21568777134962</v>
      </c>
      <c r="AM57" s="59">
        <f t="shared" si="5"/>
        <v>710.54902110468288</v>
      </c>
      <c r="AN57" s="59">
        <f ca="1">AVERAGE(OFFSET($AM$3,0,0,'Données projet'!$E$10+1,1))-AVERAGE(OFFSET($H$3,0,0,'Données projet'!$E$10+1,1))</f>
        <v>280.88930300426705</v>
      </c>
      <c r="AO57" s="59">
        <f t="shared" si="36"/>
        <v>166.95395852420467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1">
        <f t="shared" si="32"/>
        <v>12.085012381264168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67">
        <f t="shared" si="1"/>
        <v>384.615846564035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1.1368683772161603E-13</v>
      </c>
      <c r="O58" s="13">
        <f>N58*VLOOKUP('Données projet'!$B$9,Paramètres!$A$1:$I$89,3,0)*VLOOKUP('Données projet'!$B$9,Paramètres!$A$1:$I$89,5,0)</f>
        <v>6.7984728957526396E-14</v>
      </c>
      <c r="P58" s="13">
        <f t="shared" si="33"/>
        <v>1.0682447123141398E-12</v>
      </c>
      <c r="Q58" s="20">
        <f t="shared" si="53"/>
        <v>1.978932943548152E-12</v>
      </c>
      <c r="R58" s="59">
        <f t="shared" si="0"/>
        <v>293.3333333333353</v>
      </c>
      <c r="S58" s="59">
        <f ca="1">AVERAGE(OFFSET($R$3,0,0,'Données projet'!$E$9+1,1))-AVERAGE(OFFSET($H$3,0,0,'Données projet'!$E$9+1,1))</f>
        <v>143.12123169427508</v>
      </c>
      <c r="T58" s="59">
        <f t="shared" si="34"/>
        <v>351.98518810889152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32.499153494460096</v>
      </c>
      <c r="AA58" s="21">
        <f>EXP(-LN(2)/25)*AA57+(1-EXP(-LN(2)/25))/(LN(2)/25)*Calculateur!V58*Calculateur!X58*VLOOKUP('Données projet'!$B$9,Paramètres!$A$1:$I$89,3,0)*0.475*44/12</f>
        <v>21.974407358567827</v>
      </c>
      <c r="AB58" s="21">
        <f>EXP(-LN(2)/2)*AB57+(1-EXP(-LN(2)/2))/(LN(2)/2)*V58*Y58*VLOOKUP('Données projet'!$B$9,Paramètres!$A$1:$I$89,3,0)*0.475*44/12</f>
        <v>7.5211897530414289E-3</v>
      </c>
      <c r="AC58" s="22">
        <f t="shared" si="3"/>
        <v>54.481082042780962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197</v>
      </c>
      <c r="AG58" s="12">
        <f>VLOOKUP(A58,'Données projet'!$A$61:$I$81,9,0)</f>
        <v>8</v>
      </c>
      <c r="AH58" s="12">
        <f t="array" ref="AH58">INDEX(AG:AG,MIN(IF(ISNUMBER(AG58:AG254),ROW(AG58:AG254),"")))</f>
        <v>8</v>
      </c>
      <c r="AI58" s="13">
        <f>IF('Données projet'!$A$62&gt;35,AI57+AH58-AQ57,IF(A58&lt;'Données projet'!$A$62,$AF$205^A58,IF(A58='Données projet'!$A$62,'Données projet'!$B$62,AI57+AH58-AQ57)))</f>
        <v>197</v>
      </c>
      <c r="AJ58" s="13">
        <f>AI58*VLOOKUP('Données projet'!$B$10,Paramètres!$A$1:$I$89,3,0)*VLOOKUP('Données projet'!$B$10,Paramètres!$A$1:$I$89,5,0)</f>
        <v>199.75800000000004</v>
      </c>
      <c r="AK58" s="13">
        <f t="shared" si="35"/>
        <v>49.690979702964015</v>
      </c>
      <c r="AL58" s="20">
        <f t="shared" si="4"/>
        <v>434.45697298266236</v>
      </c>
      <c r="AM58" s="59">
        <f t="shared" si="5"/>
        <v>727.79030631599562</v>
      </c>
      <c r="AN58" s="59">
        <f ca="1">AVERAGE(OFFSET($AM$3,0,0,'Données projet'!$E$10+1,1))-AVERAGE(OFFSET($H$3,0,0,'Données projet'!$E$10+1,1))</f>
        <v>280.88930300426705</v>
      </c>
      <c r="AO58" s="59">
        <f t="shared" si="36"/>
        <v>166.95395852420467</v>
      </c>
      <c r="AP58" s="15">
        <f>IF(ISNA(VLOOKUP(A58,'Données projet'!$A$61:$I$81,3,0)),0,VLOOKUP(A58,'Données projet'!$A$61:$I$81,3,0))</f>
        <v>7</v>
      </c>
      <c r="AQ58" s="15">
        <f>IF(ISNA(VLOOKUP(A58,'Données projet'!$A$61:$I$81,4,0)),0,VLOOKUP(A58,'Données projet'!$A$61:$I$81,4,0))</f>
        <v>21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1">
        <f t="shared" si="32"/>
        <v>12.278959527914731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67">
        <f t="shared" si="1"/>
        <v>386.23062784445136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1.1368683772161603E-13</v>
      </c>
      <c r="O59" s="13">
        <f>N59*VLOOKUP('Données projet'!$B$9,Paramètres!$A$1:$I$89,3,0)*VLOOKUP('Données projet'!$B$9,Paramètres!$A$1:$I$89,5,0)</f>
        <v>6.7984728957526396E-14</v>
      </c>
      <c r="P59" s="13">
        <f t="shared" si="33"/>
        <v>1.0682447123141398E-12</v>
      </c>
      <c r="Q59" s="20">
        <f t="shared" si="53"/>
        <v>1.978932943548152E-12</v>
      </c>
      <c r="R59" s="59">
        <f t="shared" si="0"/>
        <v>293.3333333333353</v>
      </c>
      <c r="S59" s="59">
        <f ca="1">AVERAGE(OFFSET($R$3,0,0,'Données projet'!$E$9+1,1))-AVERAGE(OFFSET($H$3,0,0,'Données projet'!$E$9+1,1))</f>
        <v>143.12123169427508</v>
      </c>
      <c r="T59" s="59">
        <f t="shared" si="34"/>
        <v>351.98518810889152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31.861864916960052</v>
      </c>
      <c r="AA59" s="21">
        <f>EXP(-LN(2)/25)*AA58+(1-EXP(-LN(2)/25))/(LN(2)/25)*Calculateur!V59*Calculateur!X59*VLOOKUP('Données projet'!$B$9,Paramètres!$A$1:$I$89,3,0)*0.475*44/12</f>
        <v>21.373516033763931</v>
      </c>
      <c r="AB59" s="21">
        <f>EXP(-LN(2)/2)*AB58+(1-EXP(-LN(2)/2))/(LN(2)/2)*V59*Y59*VLOOKUP('Données projet'!$B$9,Paramètres!$A$1:$I$89,3,0)*0.475*44/12</f>
        <v>5.3182842769663695E-3</v>
      </c>
      <c r="AC59" s="22">
        <f t="shared" si="3"/>
        <v>53.240699235000946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7.6</v>
      </c>
      <c r="AI59" s="13">
        <f>IF('Données projet'!$A$62&gt;35,AI58+AH59-AQ58,IF(A59&lt;'Données projet'!$A$62,$AF$205^A59,IF(A59='Données projet'!$A$62,'Données projet'!$B$62,AI58+AH59-AQ58)))</f>
        <v>183.6</v>
      </c>
      <c r="AJ59" s="13">
        <f>AI59*VLOOKUP('Données projet'!$B$10,Paramètres!$A$1:$I$89,3,0)*VLOOKUP('Données projet'!$B$10,Paramètres!$A$1:$I$89,5,0)</f>
        <v>186.1704</v>
      </c>
      <c r="AK59" s="13">
        <f t="shared" si="35"/>
        <v>46.692281933796018</v>
      </c>
      <c r="AL59" s="20">
        <f t="shared" si="4"/>
        <v>405.56917103469476</v>
      </c>
      <c r="AM59" s="59">
        <f t="shared" si="5"/>
        <v>698.90250436802808</v>
      </c>
      <c r="AN59" s="59">
        <f ca="1">AVERAGE(OFFSET($AM$3,0,0,'Données projet'!$E$10+1,1))-AVERAGE(OFFSET($H$3,0,0,'Données projet'!$E$10+1,1))</f>
        <v>280.88930300426705</v>
      </c>
      <c r="AO59" s="59">
        <f t="shared" si="36"/>
        <v>166.95395852420467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1">
        <f t="shared" si="32"/>
        <v>12.472503937619955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67">
        <f t="shared" si="1"/>
        <v>387.84470769135464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1.1368683772161603E-13</v>
      </c>
      <c r="O60" s="13">
        <f>N60*VLOOKUP('Données projet'!$B$9,Paramètres!$A$1:$I$89,3,0)*VLOOKUP('Données projet'!$B$9,Paramètres!$A$1:$I$89,5,0)</f>
        <v>6.7984728957526396E-14</v>
      </c>
      <c r="P60" s="13">
        <f t="shared" si="33"/>
        <v>1.0682447123141398E-12</v>
      </c>
      <c r="Q60" s="20">
        <f t="shared" si="53"/>
        <v>1.978932943548152E-12</v>
      </c>
      <c r="R60" s="59">
        <f t="shared" si="0"/>
        <v>293.3333333333353</v>
      </c>
      <c r="S60" s="59">
        <f ca="1">AVERAGE(OFFSET($R$3,0,0,'Données projet'!$E$9+1,1))-AVERAGE(OFFSET($H$3,0,0,'Données projet'!$E$9+1,1))</f>
        <v>143.12123169427508</v>
      </c>
      <c r="T60" s="59">
        <f t="shared" si="34"/>
        <v>351.98518810889152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31.237073179757132</v>
      </c>
      <c r="AA60" s="21">
        <f>EXP(-LN(2)/25)*AA59+(1-EXP(-LN(2)/25))/(LN(2)/25)*Calculateur!V60*Calculateur!X60*VLOOKUP('Données projet'!$B$9,Paramètres!$A$1:$I$89,3,0)*0.475*44/12</f>
        <v>20.789056113836299</v>
      </c>
      <c r="AB60" s="21">
        <f>EXP(-LN(2)/2)*AB59+(1-EXP(-LN(2)/2))/(LN(2)/2)*V60*Y60*VLOOKUP('Données projet'!$B$9,Paramètres!$A$1:$I$89,3,0)*0.475*44/12</f>
        <v>3.7605948765207149E-3</v>
      </c>
      <c r="AC60" s="22">
        <f t="shared" si="3"/>
        <v>52.029889888469945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7.6</v>
      </c>
      <c r="AI60" s="13">
        <f>IF('Données projet'!$A$62&gt;35,AI59+AH60-AQ59,IF(A60&lt;'Données projet'!$A$62,$AF$205^A60,IF(A60='Données projet'!$A$62,'Données projet'!$B$62,AI59+AH60-AQ59)))</f>
        <v>191.2</v>
      </c>
      <c r="AJ60" s="13">
        <f>AI60*VLOOKUP('Données projet'!$B$10,Paramètres!$A$1:$I$89,3,0)*VLOOKUP('Données projet'!$B$10,Paramètres!$A$1:$I$89,5,0)</f>
        <v>193.8768</v>
      </c>
      <c r="AK60" s="13">
        <f t="shared" si="35"/>
        <v>48.396048099527611</v>
      </c>
      <c r="AL60" s="20">
        <f t="shared" si="4"/>
        <v>421.95854377334393</v>
      </c>
      <c r="AM60" s="59">
        <f t="shared" si="5"/>
        <v>715.29187710667725</v>
      </c>
      <c r="AN60" s="59">
        <f ca="1">AVERAGE(OFFSET($AM$3,0,0,'Données projet'!$E$10+1,1))-AVERAGE(OFFSET($H$3,0,0,'Données projet'!$E$10+1,1))</f>
        <v>280.88930300426705</v>
      </c>
      <c r="AO60" s="59">
        <f t="shared" si="36"/>
        <v>166.95395852420467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1">
        <f t="shared" si="32"/>
        <v>12.665653491137919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67">
        <f t="shared" si="1"/>
        <v>389.4580998303984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1.1368683772161603E-13</v>
      </c>
      <c r="O61" s="13">
        <f>N61*VLOOKUP('Données projet'!$B$9,Paramètres!$A$1:$I$89,3,0)*VLOOKUP('Données projet'!$B$9,Paramètres!$A$1:$I$89,5,0)</f>
        <v>6.7984728957526396E-14</v>
      </c>
      <c r="P61" s="13">
        <f t="shared" si="33"/>
        <v>1.0682447123141398E-12</v>
      </c>
      <c r="Q61" s="20">
        <f t="shared" si="53"/>
        <v>1.978932943548152E-12</v>
      </c>
      <c r="R61" s="59">
        <f t="shared" si="0"/>
        <v>293.3333333333353</v>
      </c>
      <c r="S61" s="59">
        <f ca="1">AVERAGE(OFFSET($R$3,0,0,'Données projet'!$E$9+1,1))-AVERAGE(OFFSET($H$3,0,0,'Données projet'!$E$9+1,1))</f>
        <v>143.12123169427508</v>
      </c>
      <c r="T61" s="59">
        <f t="shared" si="34"/>
        <v>351.98518810889152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30.624533227435432</v>
      </c>
      <c r="AA61" s="21">
        <f>EXP(-LN(2)/25)*AA60+(1-EXP(-LN(2)/25))/(LN(2)/25)*Calculateur!V61*Calculateur!X61*VLOOKUP('Données projet'!$B$9,Paramètres!$A$1:$I$89,3,0)*0.475*44/12</f>
        <v>20.220578281154499</v>
      </c>
      <c r="AB61" s="21">
        <f>EXP(-LN(2)/2)*AB60+(1-EXP(-LN(2)/2))/(LN(2)/2)*V61*Y61*VLOOKUP('Données projet'!$B$9,Paramètres!$A$1:$I$89,3,0)*0.475*44/12</f>
        <v>2.6591421384831852E-3</v>
      </c>
      <c r="AC61" s="22">
        <f t="shared" si="3"/>
        <v>50.847770650728414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7.6</v>
      </c>
      <c r="AI61" s="13">
        <f>IF('Données projet'!$A$62&gt;35,AI60+AH61-AQ60,IF(A61&lt;'Données projet'!$A$62,$AF$205^A61,IF(A61='Données projet'!$A$62,'Données projet'!$B$62,AI60+AH61-AQ60)))</f>
        <v>198.79999999999998</v>
      </c>
      <c r="AJ61" s="13">
        <f>AI61*VLOOKUP('Données projet'!$B$10,Paramètres!$A$1:$I$89,3,0)*VLOOKUP('Données projet'!$B$10,Paramètres!$A$1:$I$89,5,0)</f>
        <v>201.58320000000001</v>
      </c>
      <c r="AK61" s="13">
        <f t="shared" si="35"/>
        <v>50.091947337331924</v>
      </c>
      <c r="AL61" s="20">
        <f t="shared" si="4"/>
        <v>438.33421494585309</v>
      </c>
      <c r="AM61" s="59">
        <f t="shared" si="5"/>
        <v>731.66754827918635</v>
      </c>
      <c r="AN61" s="59">
        <f ca="1">AVERAGE(OFFSET($AM$3,0,0,'Données projet'!$E$10+1,1))-AVERAGE(OFFSET($H$3,0,0,'Données projet'!$E$10+1,1))</f>
        <v>280.88930300426705</v>
      </c>
      <c r="AO61" s="59">
        <f t="shared" si="36"/>
        <v>166.95395852420467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1">
        <f t="shared" si="32"/>
        <v>12.858415781906336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67">
        <f t="shared" si="1"/>
        <v>391.07081748682009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1.1368683772161603E-13</v>
      </c>
      <c r="O62" s="13">
        <f>N62*VLOOKUP('Données projet'!$B$9,Paramètres!$A$1:$I$89,3,0)*VLOOKUP('Données projet'!$B$9,Paramètres!$A$1:$I$89,5,0)</f>
        <v>6.7984728957526396E-14</v>
      </c>
      <c r="P62" s="13">
        <f t="shared" si="33"/>
        <v>1.0682447123141398E-12</v>
      </c>
      <c r="Q62" s="20">
        <f t="shared" si="53"/>
        <v>1.978932943548152E-12</v>
      </c>
      <c r="R62" s="59">
        <f t="shared" si="0"/>
        <v>293.3333333333353</v>
      </c>
      <c r="S62" s="59">
        <f ca="1">AVERAGE(OFFSET($R$3,0,0,'Données projet'!$E$9+1,1))-AVERAGE(OFFSET($H$3,0,0,'Données projet'!$E$9+1,1))</f>
        <v>143.12123169427508</v>
      </c>
      <c r="T62" s="59">
        <f t="shared" si="34"/>
        <v>351.98518810889152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30.024004809966282</v>
      </c>
      <c r="AA62" s="21">
        <f>EXP(-LN(2)/25)*AA61+(1-EXP(-LN(2)/25))/(LN(2)/25)*Calculateur!V62*Calculateur!X62*VLOOKUP('Données projet'!$B$9,Paramètres!$A$1:$I$89,3,0)*0.475*44/12</f>
        <v>19.667645504702332</v>
      </c>
      <c r="AB62" s="21">
        <f>EXP(-LN(2)/2)*AB61+(1-EXP(-LN(2)/2))/(LN(2)/2)*V62*Y62*VLOOKUP('Données projet'!$B$9,Paramètres!$A$1:$I$89,3,0)*0.475*44/12</f>
        <v>1.8802974382603579E-3</v>
      </c>
      <c r="AC62" s="22">
        <f t="shared" si="3"/>
        <v>49.693530612106876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7.6</v>
      </c>
      <c r="AI62" s="13">
        <f>IF('Données projet'!$A$62&gt;35,AI61+AH62-AQ61,IF(A62&lt;'Données projet'!$A$62,$AF$205^A62,IF(A62='Données projet'!$A$62,'Données projet'!$B$62,AI61+AH62-AQ61)))</f>
        <v>206.39999999999998</v>
      </c>
      <c r="AJ62" s="13">
        <f>AI62*VLOOKUP('Données projet'!$B$10,Paramètres!$A$1:$I$89,3,0)*VLOOKUP('Données projet'!$B$10,Paramètres!$A$1:$I$89,5,0)</f>
        <v>209.28960000000001</v>
      </c>
      <c r="AK62" s="13">
        <f t="shared" si="35"/>
        <v>51.780314822292169</v>
      </c>
      <c r="AL62" s="20">
        <f t="shared" si="4"/>
        <v>454.69676831549214</v>
      </c>
      <c r="AM62" s="59">
        <f t="shared" si="5"/>
        <v>748.03010164882539</v>
      </c>
      <c r="AN62" s="59">
        <f ca="1">AVERAGE(OFFSET($AM$3,0,0,'Données projet'!$E$10+1,1))-AVERAGE(OFFSET($H$3,0,0,'Données projet'!$E$10+1,1))</f>
        <v>280.88930300426705</v>
      </c>
      <c r="AO62" s="59">
        <f t="shared" si="36"/>
        <v>166.95395852420467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1">
        <f t="shared" si="32"/>
        <v>13.050798131206863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67">
        <f t="shared" si="1"/>
        <v>392.6828734118518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1.1368683772161603E-13</v>
      </c>
      <c r="O63" s="13">
        <f>N63*VLOOKUP('Données projet'!$B$9,Paramètres!$A$1:$I$89,3,0)*VLOOKUP('Données projet'!$B$9,Paramètres!$A$1:$I$89,5,0)</f>
        <v>6.7984728957526396E-14</v>
      </c>
      <c r="P63" s="13">
        <f t="shared" si="33"/>
        <v>1.0682447123141398E-12</v>
      </c>
      <c r="Q63" s="20">
        <f t="shared" si="53"/>
        <v>1.978932943548152E-12</v>
      </c>
      <c r="R63" s="59">
        <f t="shared" si="0"/>
        <v>293.3333333333353</v>
      </c>
      <c r="S63" s="59">
        <f ca="1">AVERAGE(OFFSET($R$3,0,0,'Données projet'!$E$9+1,1))-AVERAGE(OFFSET($H$3,0,0,'Données projet'!$E$9+1,1))</f>
        <v>143.12123169427508</v>
      </c>
      <c r="T63" s="59">
        <f t="shared" si="34"/>
        <v>351.98518810889152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29.435252388477537</v>
      </c>
      <c r="AA63" s="21">
        <f>EXP(-LN(2)/25)*AA62+(1-EXP(-LN(2)/25))/(LN(2)/25)*Calculateur!V63*Calculateur!X63*VLOOKUP('Données projet'!$B$9,Paramètres!$A$1:$I$89,3,0)*0.475*44/12</f>
        <v>19.129832704099719</v>
      </c>
      <c r="AB63" s="21">
        <f>EXP(-LN(2)/2)*AB62+(1-EXP(-LN(2)/2))/(LN(2)/2)*V63*Y63*VLOOKUP('Données projet'!$B$9,Paramètres!$A$1:$I$89,3,0)*0.475*44/12</f>
        <v>1.3295710692415928E-3</v>
      </c>
      <c r="AC63" s="22">
        <f t="shared" si="3"/>
        <v>48.566414663646498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214</v>
      </c>
      <c r="AG63" s="12">
        <f>VLOOKUP(A63,'Données projet'!$A$61:$I$81,9,0)</f>
        <v>7.6</v>
      </c>
      <c r="AH63" s="12">
        <f t="array" ref="AH63">INDEX(AG:AG,MIN(IF(ISNUMBER(AG63:AG259),ROW(AG63:AG259),"")))</f>
        <v>7.6</v>
      </c>
      <c r="AI63" s="13">
        <f>IF('Données projet'!$A$62&gt;35,AI62+AH63-AQ62,IF(A63&lt;'Données projet'!$A$62,$AF$205^A63,IF(A63='Données projet'!$A$62,'Données projet'!$B$62,AI62+AH63-AQ62)))</f>
        <v>213.99999999999997</v>
      </c>
      <c r="AJ63" s="13">
        <f>AI63*VLOOKUP('Données projet'!$B$10,Paramètres!$A$1:$I$89,3,0)*VLOOKUP('Données projet'!$B$10,Paramètres!$A$1:$I$89,5,0)</f>
        <v>216.99600000000001</v>
      </c>
      <c r="AK63" s="13">
        <f t="shared" si="35"/>
        <v>53.461459647386917</v>
      </c>
      <c r="AL63" s="20">
        <f t="shared" si="4"/>
        <v>471.04674221919896</v>
      </c>
      <c r="AM63" s="59">
        <f t="shared" si="5"/>
        <v>764.38007555253228</v>
      </c>
      <c r="AN63" s="59">
        <f ca="1">AVERAGE(OFFSET($AM$3,0,0,'Données projet'!$E$10+1,1))-AVERAGE(OFFSET($H$3,0,0,'Données projet'!$E$10+1,1))</f>
        <v>280.88930300426705</v>
      </c>
      <c r="AO63" s="59">
        <f t="shared" si="36"/>
        <v>166.95395852420467</v>
      </c>
      <c r="AP63" s="15">
        <f>IF(ISNA(VLOOKUP(A63,'Données projet'!$A$61:$I$81,3,0)),0,VLOOKUP(A63,'Données projet'!$A$61:$I$81,3,0))</f>
        <v>8</v>
      </c>
      <c r="AQ63" s="15">
        <f>IF(ISNA(VLOOKUP(A63,'Données projet'!$A$61:$I$81,4,0)),0,VLOOKUP(A63,'Données projet'!$A$61:$I$81,4,0))</f>
        <v>21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1">
        <f t="shared" si="32"/>
        <v>13.24280760228976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67">
        <f t="shared" si="1"/>
        <v>394.2942799073212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1.1368683772161603E-13</v>
      </c>
      <c r="O64" s="13">
        <f>N64*VLOOKUP('Données projet'!$B$9,Paramètres!$A$1:$I$89,3,0)*VLOOKUP('Données projet'!$B$9,Paramètres!$A$1:$I$89,5,0)</f>
        <v>6.7984728957526396E-14</v>
      </c>
      <c r="P64" s="13">
        <f t="shared" si="33"/>
        <v>1.0682447123141398E-12</v>
      </c>
      <c r="Q64" s="20">
        <f t="shared" si="53"/>
        <v>1.978932943548152E-12</v>
      </c>
      <c r="R64" s="59">
        <f t="shared" si="0"/>
        <v>293.3333333333353</v>
      </c>
      <c r="S64" s="59">
        <f ca="1">AVERAGE(OFFSET($R$3,0,0,'Données projet'!$E$9+1,1))-AVERAGE(OFFSET($H$3,0,0,'Données projet'!$E$9+1,1))</f>
        <v>143.12123169427508</v>
      </c>
      <c r="T64" s="59">
        <f t="shared" si="34"/>
        <v>351.98518810889152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28.858045042870664</v>
      </c>
      <c r="AA64" s="21">
        <f>EXP(-LN(2)/25)*AA63+(1-EXP(-LN(2)/25))/(LN(2)/25)*Calculateur!V64*Calculateur!X64*VLOOKUP('Données projet'!$B$9,Paramètres!$A$1:$I$89,3,0)*0.475*44/12</f>
        <v>18.606726422811931</v>
      </c>
      <c r="AB64" s="21">
        <f>EXP(-LN(2)/2)*AB63+(1-EXP(-LN(2)/2))/(LN(2)/2)*V64*Y64*VLOOKUP('Données projet'!$B$9,Paramètres!$A$1:$I$89,3,0)*0.475*44/12</f>
        <v>9.4014871913017904E-4</v>
      </c>
      <c r="AC64" s="22">
        <f t="shared" si="3"/>
        <v>47.465711614401727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7.2</v>
      </c>
      <c r="AI64" s="13">
        <f>IF('Données projet'!$A$62&gt;35,AI63+AH64-AQ63,IF(A64&lt;'Données projet'!$A$62,$AF$205^A64,IF(A64='Données projet'!$A$62,'Données projet'!$B$62,AI63+AH64-AQ63)))</f>
        <v>200.19999999999996</v>
      </c>
      <c r="AJ64" s="13">
        <f>AI64*VLOOKUP('Données projet'!$B$10,Paramètres!$A$1:$I$89,3,0)*VLOOKUP('Données projet'!$B$10,Paramètres!$A$1:$I$89,5,0)</f>
        <v>203.00279999999995</v>
      </c>
      <c r="AK64" s="13">
        <f t="shared" si="35"/>
        <v>50.403518824343074</v>
      </c>
      <c r="AL64" s="20">
        <f t="shared" si="4"/>
        <v>441.3493386190641</v>
      </c>
      <c r="AM64" s="59">
        <f t="shared" si="5"/>
        <v>734.68267195239741</v>
      </c>
      <c r="AN64" s="59">
        <f ca="1">AVERAGE(OFFSET($AM$3,0,0,'Données projet'!$E$10+1,1))-AVERAGE(OFFSET($H$3,0,0,'Données projet'!$E$10+1,1))</f>
        <v>280.88930300426705</v>
      </c>
      <c r="AO64" s="59">
        <f t="shared" si="36"/>
        <v>166.95395852420467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1">
        <f t="shared" si="32"/>
        <v>13.434451013546127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67">
        <f t="shared" si="1"/>
        <v>395.90504884859268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1.1368683772161603E-13</v>
      </c>
      <c r="O65" s="13">
        <f>N65*VLOOKUP('Données projet'!$B$9,Paramètres!$A$1:$I$89,3,0)*VLOOKUP('Données projet'!$B$9,Paramètres!$A$1:$I$89,5,0)</f>
        <v>6.7984728957526396E-14</v>
      </c>
      <c r="P65" s="13">
        <f t="shared" si="33"/>
        <v>1.0682447123141398E-12</v>
      </c>
      <c r="Q65" s="20">
        <f t="shared" si="53"/>
        <v>1.978932943548152E-12</v>
      </c>
      <c r="R65" s="59">
        <f t="shared" si="0"/>
        <v>293.3333333333353</v>
      </c>
      <c r="S65" s="59">
        <f ca="1">AVERAGE(OFFSET($R$3,0,0,'Données projet'!$E$9+1,1))-AVERAGE(OFFSET($H$3,0,0,'Données projet'!$E$9+1,1))</f>
        <v>143.12123169427508</v>
      </c>
      <c r="T65" s="59">
        <f t="shared" si="34"/>
        <v>351.98518810889152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28.292156381249427</v>
      </c>
      <c r="AA65" s="21">
        <f>EXP(-LN(2)/25)*AA64+(1-EXP(-LN(2)/25))/(LN(2)/25)*Calculateur!V65*Calculateur!X65*VLOOKUP('Données projet'!$B$9,Paramètres!$A$1:$I$89,3,0)*0.475*44/12</f>
        <v>18.097924510294924</v>
      </c>
      <c r="AB65" s="21">
        <f>EXP(-LN(2)/2)*AB64+(1-EXP(-LN(2)/2))/(LN(2)/2)*V65*Y65*VLOOKUP('Données projet'!$B$9,Paramètres!$A$1:$I$89,3,0)*0.475*44/12</f>
        <v>6.6478553462079651E-4</v>
      </c>
      <c r="AC65" s="22">
        <f t="shared" si="3"/>
        <v>46.390745677078968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7.2</v>
      </c>
      <c r="AI65" s="13">
        <f>IF('Données projet'!$A$62&gt;35,AI64+AH65-AQ64,IF(A65&lt;'Données projet'!$A$62,$AF$205^A65,IF(A65='Données projet'!$A$62,'Données projet'!$B$62,AI64+AH65-AQ64)))</f>
        <v>207.39999999999995</v>
      </c>
      <c r="AJ65" s="13">
        <f>AI65*VLOOKUP('Données projet'!$B$10,Paramètres!$A$1:$I$89,3,0)*VLOOKUP('Données projet'!$B$10,Paramètres!$A$1:$I$89,5,0)</f>
        <v>210.30359999999996</v>
      </c>
      <c r="AK65" s="13">
        <f t="shared" si="35"/>
        <v>52.001924357524459</v>
      </c>
      <c r="AL65" s="20">
        <f t="shared" si="4"/>
        <v>456.84878825602163</v>
      </c>
      <c r="AM65" s="59">
        <f t="shared" si="5"/>
        <v>750.18212158935489</v>
      </c>
      <c r="AN65" s="59">
        <f ca="1">AVERAGE(OFFSET($AM$3,0,0,'Données projet'!$E$10+1,1))-AVERAGE(OFFSET($H$3,0,0,'Données projet'!$E$10+1,1))</f>
        <v>280.88930300426705</v>
      </c>
      <c r="AO65" s="59">
        <f t="shared" si="36"/>
        <v>166.95395852420467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1">
        <f t="shared" si="32"/>
        <v>13.625734950806207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67">
        <f t="shared" si="1"/>
        <v>397.51519170598732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1.1368683772161603E-13</v>
      </c>
      <c r="O66" s="13">
        <f>N66*VLOOKUP('Données projet'!$B$9,Paramètres!$A$1:$I$89,3,0)*VLOOKUP('Données projet'!$B$9,Paramètres!$A$1:$I$89,5,0)</f>
        <v>6.7984728957526396E-14</v>
      </c>
      <c r="P66" s="13">
        <f t="shared" si="33"/>
        <v>1.0682447123141398E-12</v>
      </c>
      <c r="Q66" s="20">
        <f t="shared" si="53"/>
        <v>1.978932943548152E-12</v>
      </c>
      <c r="R66" s="59">
        <f t="shared" si="0"/>
        <v>293.3333333333353</v>
      </c>
      <c r="S66" s="59">
        <f ca="1">AVERAGE(OFFSET($R$3,0,0,'Données projet'!$E$9+1,1))-AVERAGE(OFFSET($H$3,0,0,'Données projet'!$E$9+1,1))</f>
        <v>143.12123169427508</v>
      </c>
      <c r="T66" s="59">
        <f t="shared" si="34"/>
        <v>351.98518810889152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27.737364451124581</v>
      </c>
      <c r="AA66" s="21">
        <f>EXP(-LN(2)/25)*AA65+(1-EXP(-LN(2)/25))/(LN(2)/25)*Calculateur!V66*Calculateur!X66*VLOOKUP('Données projet'!$B$9,Paramètres!$A$1:$I$89,3,0)*0.475*44/12</f>
        <v>17.603035812832424</v>
      </c>
      <c r="AB66" s="21">
        <f>EXP(-LN(2)/2)*AB65+(1-EXP(-LN(2)/2))/(LN(2)/2)*V66*Y66*VLOOKUP('Données projet'!$B$9,Paramètres!$A$1:$I$89,3,0)*0.475*44/12</f>
        <v>4.7007435956508963E-4</v>
      </c>
      <c r="AC66" s="22">
        <f t="shared" si="3"/>
        <v>45.34087033831657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7.2</v>
      </c>
      <c r="AI66" s="13">
        <f>IF('Données projet'!$A$62&gt;35,AI65+AH66-AQ65,IF(A66&lt;'Données projet'!$A$62,$AF$205^A66,IF(A66='Données projet'!$A$62,'Données projet'!$B$62,AI65+AH66-AQ65)))</f>
        <v>214.59999999999994</v>
      </c>
      <c r="AJ66" s="13">
        <f>AI66*VLOOKUP('Données projet'!$B$10,Paramètres!$A$1:$I$89,3,0)*VLOOKUP('Données projet'!$B$10,Paramètres!$A$1:$I$89,5,0)</f>
        <v>217.60439999999994</v>
      </c>
      <c r="AK66" s="13">
        <f t="shared" si="35"/>
        <v>53.593882578706356</v>
      </c>
      <c r="AL66" s="20">
        <f t="shared" si="4"/>
        <v>472.33700882458015</v>
      </c>
      <c r="AM66" s="59">
        <f t="shared" si="5"/>
        <v>765.67034215791341</v>
      </c>
      <c r="AN66" s="59">
        <f ca="1">AVERAGE(OFFSET($AM$3,0,0,'Données projet'!$E$10+1,1))-AVERAGE(OFFSET($H$3,0,0,'Données projet'!$E$10+1,1))</f>
        <v>280.88930300426705</v>
      </c>
      <c r="AO66" s="59">
        <f t="shared" si="36"/>
        <v>166.95395852420467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1">
        <f t="shared" si="32"/>
        <v>13.816665778834693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67">
        <f t="shared" si="1"/>
        <v>399.12471956480363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1.1368683772161603E-13</v>
      </c>
      <c r="O67" s="13">
        <f>N67*VLOOKUP('Données projet'!$B$9,Paramètres!$A$1:$I$89,3,0)*VLOOKUP('Données projet'!$B$9,Paramètres!$A$1:$I$89,5,0)</f>
        <v>6.7984728957526396E-14</v>
      </c>
      <c r="P67" s="13">
        <f t="shared" si="33"/>
        <v>1.0682447123141398E-12</v>
      </c>
      <c r="Q67" s="20">
        <f t="shared" ref="Q67:Q98" si="54">(O67+P67)*0.475*44/12</f>
        <v>1.978932943548152E-12</v>
      </c>
      <c r="R67" s="59">
        <f t="shared" ref="R67:R130" si="55">Q67+(I67+J67)*44/12</f>
        <v>293.3333333333353</v>
      </c>
      <c r="S67" s="59">
        <f ca="1">AVERAGE(OFFSET($R$3,0,0,'Données projet'!$E$9+1,1))-AVERAGE(OFFSET($H$3,0,0,'Données projet'!$E$9+1,1))</f>
        <v>143.12123169427508</v>
      </c>
      <c r="T67" s="59">
        <f t="shared" si="34"/>
        <v>351.98518810889152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27.193451652359816</v>
      </c>
      <c r="AA67" s="21">
        <f>EXP(-LN(2)/25)*AA66+(1-EXP(-LN(2)/25))/(LN(2)/25)*Calculateur!V67*Calculateur!X67*VLOOKUP('Données projet'!$B$9,Paramètres!$A$1:$I$89,3,0)*0.475*44/12</f>
        <v>17.121679872827102</v>
      </c>
      <c r="AB67" s="21">
        <f>EXP(-LN(2)/2)*AB66+(1-EXP(-LN(2)/2))/(LN(2)/2)*V67*Y67*VLOOKUP('Données projet'!$B$9,Paramètres!$A$1:$I$89,3,0)*0.475*44/12</f>
        <v>3.3239276731039831E-4</v>
      </c>
      <c r="AC67" s="22">
        <f t="shared" si="3"/>
        <v>44.315463917954226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7.2</v>
      </c>
      <c r="AI67" s="13">
        <f>IF('Données projet'!$A$62&gt;35,AI66+AH67-AQ66,IF(A67&lt;'Données projet'!$A$62,$AF$205^A67,IF(A67='Données projet'!$A$62,'Données projet'!$B$62,AI66+AH67-AQ66)))</f>
        <v>221.79999999999993</v>
      </c>
      <c r="AJ67" s="13">
        <f>AI67*VLOOKUP('Données projet'!$B$10,Paramètres!$A$1:$I$89,3,0)*VLOOKUP('Données projet'!$B$10,Paramètres!$A$1:$I$89,5,0)</f>
        <v>224.90519999999995</v>
      </c>
      <c r="AK67" s="13">
        <f t="shared" si="35"/>
        <v>55.17963460003309</v>
      </c>
      <c r="AL67" s="20">
        <f t="shared" si="4"/>
        <v>487.81442026172425</v>
      </c>
      <c r="AM67" s="59">
        <f t="shared" si="5"/>
        <v>781.14775359505757</v>
      </c>
      <c r="AN67" s="59">
        <f ca="1">AVERAGE(OFFSET($AM$3,0,0,'Données projet'!$E$10+1,1))-AVERAGE(OFFSET($H$3,0,0,'Données projet'!$E$10+1,1))</f>
        <v>280.88930300426705</v>
      </c>
      <c r="AO67" s="59">
        <f t="shared" si="36"/>
        <v>166.95395852420467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1">
        <f t="shared" si="32"/>
        <v>14.007249652087188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67">
        <f t="shared" ref="H68:H131" si="56">(B68+E68+F68)*44/12+(C68+D68)*0.475*44/12</f>
        <v>400.73364314405171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1.1368683772161603E-13</v>
      </c>
      <c r="O68" s="13">
        <f>N68*VLOOKUP('Données projet'!$B$9,Paramètres!$A$1:$I$89,3,0)*VLOOKUP('Données projet'!$B$9,Paramètres!$A$1:$I$89,5,0)</f>
        <v>6.7984728957526396E-14</v>
      </c>
      <c r="P68" s="13">
        <f t="shared" si="33"/>
        <v>1.0682447123141398E-12</v>
      </c>
      <c r="Q68" s="20">
        <f t="shared" si="54"/>
        <v>1.978932943548152E-12</v>
      </c>
      <c r="R68" s="59">
        <f t="shared" si="55"/>
        <v>293.3333333333353</v>
      </c>
      <c r="S68" s="59">
        <f ca="1">AVERAGE(OFFSET($R$3,0,0,'Données projet'!$E$9+1,1))-AVERAGE(OFFSET($H$3,0,0,'Données projet'!$E$9+1,1))</f>
        <v>143.12123169427508</v>
      </c>
      <c r="T68" s="59">
        <f t="shared" si="34"/>
        <v>351.98518810889152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26.660204651824781</v>
      </c>
      <c r="AA68" s="21">
        <f>EXP(-LN(2)/25)*AA67+(1-EXP(-LN(2)/25))/(LN(2)/25)*Calculateur!V68*Calculateur!X68*VLOOKUP('Données projet'!$B$9,Paramètres!$A$1:$I$89,3,0)*0.475*44/12</f>
        <v>16.653486636314632</v>
      </c>
      <c r="AB68" s="21">
        <f>EXP(-LN(2)/2)*AB67+(1-EXP(-LN(2)/2))/(LN(2)/2)*V68*Y68*VLOOKUP('Données projet'!$B$9,Paramètres!$A$1:$I$89,3,0)*0.475*44/12</f>
        <v>2.3503717978254484E-4</v>
      </c>
      <c r="AC68" s="22">
        <f t="shared" ref="AC68:AC131" si="57">SUM(Z68:AB68)</f>
        <v>43.313926325319194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229</v>
      </c>
      <c r="AG68" s="12">
        <f>VLOOKUP(A68,'Données projet'!$A$61:$I$81,9,0)</f>
        <v>7.2</v>
      </c>
      <c r="AH68" s="12">
        <f t="array" ref="AH68">INDEX(AG:AG,MIN(IF(ISNUMBER(AG68:AG264),ROW(AG68:AG264),"")))</f>
        <v>7.2</v>
      </c>
      <c r="AI68" s="13">
        <f>IF('Données projet'!$A$62&gt;35,AI67+AH68-AQ67,IF(A68&lt;'Données projet'!$A$62,$AF$205^A68,IF(A68='Données projet'!$A$62,'Données projet'!$B$62,AI67+AH68-AQ67)))</f>
        <v>228.99999999999991</v>
      </c>
      <c r="AJ68" s="13">
        <f>AI68*VLOOKUP('Données projet'!$B$10,Paramètres!$A$1:$I$89,3,0)*VLOOKUP('Données projet'!$B$10,Paramètres!$A$1:$I$89,5,0)</f>
        <v>232.2059999999999</v>
      </c>
      <c r="AK68" s="13">
        <f t="shared" si="35"/>
        <v>56.759404991217522</v>
      </c>
      <c r="AL68" s="20">
        <f t="shared" ref="AL68:AL131" si="58">(AJ68+AK68)*0.475*44/12</f>
        <v>503.281413693037</v>
      </c>
      <c r="AM68" s="59">
        <f t="shared" ref="AM68:AM131" si="59">AL68+(AD68+AE68)*44/12</f>
        <v>796.61474702637031</v>
      </c>
      <c r="AN68" s="59">
        <f ca="1">AVERAGE(OFFSET($AM$3,0,0,'Données projet'!$E$10+1,1))-AVERAGE(OFFSET($H$3,0,0,'Données projet'!$E$10+1,1))</f>
        <v>280.88930300426705</v>
      </c>
      <c r="AO68" s="59">
        <f t="shared" si="36"/>
        <v>166.95395852420467</v>
      </c>
      <c r="AP68" s="15">
        <f>IF(ISNA(VLOOKUP(A68,'Données projet'!$A$61:$I$81,3,0)),0,VLOOKUP(A68,'Données projet'!$A$61:$I$81,3,0))</f>
        <v>9</v>
      </c>
      <c r="AQ68" s="15">
        <f>IF(ISNA(VLOOKUP(A68,'Données projet'!$A$61:$I$81,4,0)),0,VLOOKUP(A68,'Données projet'!$A$61:$I$81,4,0))</f>
        <v>21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1">
        <f t="shared" ref="D69:D132" si="86">IFERROR(EXP(-1.0587+0.8836*LN(C69)+0.284),0)</f>
        <v>14.197492524785963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67">
        <f t="shared" si="56"/>
        <v>402.34197281400208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1.1368683772161603E-13</v>
      </c>
      <c r="O69" s="13">
        <f>N69*VLOOKUP('Données projet'!$B$9,Paramètres!$A$1:$I$89,3,0)*VLOOKUP('Données projet'!$B$9,Paramètres!$A$1:$I$89,5,0)</f>
        <v>6.7984728957526396E-14</v>
      </c>
      <c r="P69" s="13">
        <f t="shared" ref="P69:P132" si="87">EXP(-1.0587+0.8836*LN(O69)+0.284)</f>
        <v>1.0682447123141398E-12</v>
      </c>
      <c r="Q69" s="20">
        <f t="shared" si="54"/>
        <v>1.978932943548152E-12</v>
      </c>
      <c r="R69" s="59">
        <f t="shared" si="55"/>
        <v>293.3333333333353</v>
      </c>
      <c r="S69" s="59">
        <f ca="1">AVERAGE(OFFSET($R$3,0,0,'Données projet'!$E$9+1,1))-AVERAGE(OFFSET($H$3,0,0,'Données projet'!$E$9+1,1))</f>
        <v>143.12123169427508</v>
      </c>
      <c r="T69" s="59">
        <f t="shared" ref="T69:T132" si="88">$T$3</f>
        <v>351.98518810889152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26.137414299721684</v>
      </c>
      <c r="AA69" s="21">
        <f>EXP(-LN(2)/25)*AA68+(1-EXP(-LN(2)/25))/(LN(2)/25)*Calculateur!V69*Calculateur!X69*VLOOKUP('Données projet'!$B$9,Paramètres!$A$1:$I$89,3,0)*0.475*44/12</f>
        <v>16.198096168475807</v>
      </c>
      <c r="AB69" s="21">
        <f>EXP(-LN(2)/2)*AB68+(1-EXP(-LN(2)/2))/(LN(2)/2)*V69*Y69*VLOOKUP('Données projet'!$B$9,Paramètres!$A$1:$I$89,3,0)*0.475*44/12</f>
        <v>1.6619638365519918E-4</v>
      </c>
      <c r="AC69" s="22">
        <f t="shared" si="57"/>
        <v>42.335676664581143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214.79999999999993</v>
      </c>
      <c r="AJ69" s="13">
        <f>AI69*VLOOKUP('Données projet'!$B$10,Paramètres!$A$1:$I$89,3,0)*VLOOKUP('Données projet'!$B$10,Paramètres!$A$1:$I$89,5,0)</f>
        <v>217.80719999999994</v>
      </c>
      <c r="AK69" s="13">
        <f t="shared" ref="AK69:AK132" si="89">EXP(-1.0587+0.8836*LN(AJ69)+0.284)</f>
        <v>53.638013973813976</v>
      </c>
      <c r="AL69" s="20">
        <f t="shared" si="58"/>
        <v>472.76708100439259</v>
      </c>
      <c r="AM69" s="59">
        <f t="shared" si="59"/>
        <v>766.10041433772585</v>
      </c>
      <c r="AN69" s="59">
        <f ca="1">AVERAGE(OFFSET($AM$3,0,0,'Données projet'!$E$10+1,1))-AVERAGE(OFFSET($H$3,0,0,'Données projet'!$E$10+1,1))</f>
        <v>280.88930300426705</v>
      </c>
      <c r="AO69" s="59">
        <f t="shared" ref="AO69:AO132" si="90">$AO$3</f>
        <v>166.95395852420467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1">
        <f t="shared" si="86"/>
        <v>14.387400160367701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67">
        <f t="shared" si="56"/>
        <v>403.94971861264025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1.1368683772161603E-13</v>
      </c>
      <c r="O70" s="13">
        <f>N70*VLOOKUP('Données projet'!$B$9,Paramètres!$A$1:$I$89,3,0)*VLOOKUP('Données projet'!$B$9,Paramètres!$A$1:$I$89,5,0)</f>
        <v>6.7984728957526396E-14</v>
      </c>
      <c r="P70" s="13">
        <f t="shared" si="87"/>
        <v>1.0682447123141398E-12</v>
      </c>
      <c r="Q70" s="20">
        <f t="shared" si="54"/>
        <v>1.978932943548152E-12</v>
      </c>
      <c r="R70" s="59">
        <f t="shared" si="55"/>
        <v>293.3333333333353</v>
      </c>
      <c r="S70" s="59">
        <f ca="1">AVERAGE(OFFSET($R$3,0,0,'Données projet'!$E$9+1,1))-AVERAGE(OFFSET($H$3,0,0,'Données projet'!$E$9+1,1))</f>
        <v>143.12123169427508</v>
      </c>
      <c r="T70" s="59">
        <f t="shared" si="88"/>
        <v>351.98518810889152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25.624875547552698</v>
      </c>
      <c r="AA70" s="21">
        <f>EXP(-LN(2)/25)*AA69+(1-EXP(-LN(2)/25))/(LN(2)/25)*Calculateur!V70*Calculateur!X70*VLOOKUP('Données projet'!$B$9,Paramètres!$A$1:$I$89,3,0)*0.475*44/12</f>
        <v>15.75515837692798</v>
      </c>
      <c r="AB70" s="21">
        <f>EXP(-LN(2)/2)*AB69+(1-EXP(-LN(2)/2))/(LN(2)/2)*V70*Y70*VLOOKUP('Données projet'!$B$9,Paramètres!$A$1:$I$89,3,0)*0.475*44/12</f>
        <v>1.1751858989127243E-4</v>
      </c>
      <c r="AC70" s="22">
        <f t="shared" si="57"/>
        <v>41.380151443070567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221.59999999999994</v>
      </c>
      <c r="AJ70" s="13">
        <f>AI70*VLOOKUP('Données projet'!$B$10,Paramètres!$A$1:$I$89,3,0)*VLOOKUP('Données projet'!$B$10,Paramètres!$A$1:$I$89,5,0)</f>
        <v>224.70239999999995</v>
      </c>
      <c r="AK70" s="13">
        <f t="shared" si="89"/>
        <v>55.135667706678262</v>
      </c>
      <c r="AL70" s="20">
        <f t="shared" si="58"/>
        <v>487.38463458913128</v>
      </c>
      <c r="AM70" s="59">
        <f t="shared" si="59"/>
        <v>780.7179679224646</v>
      </c>
      <c r="AN70" s="59">
        <f ca="1">AVERAGE(OFFSET($AM$3,0,0,'Données projet'!$E$10+1,1))-AVERAGE(OFFSET($H$3,0,0,'Données projet'!$E$10+1,1))</f>
        <v>280.88930300426705</v>
      </c>
      <c r="AO70" s="59">
        <f t="shared" si="90"/>
        <v>166.95395852420467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1">
        <f t="shared" si="86"/>
        <v>14.576978140351192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67">
        <f t="shared" si="56"/>
        <v>405.5568902611115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1.1368683772161603E-13</v>
      </c>
      <c r="O71" s="13">
        <f>N71*VLOOKUP('Données projet'!$B$9,Paramètres!$A$1:$I$89,3,0)*VLOOKUP('Données projet'!$B$9,Paramètres!$A$1:$I$89,5,0)</f>
        <v>6.7984728957526396E-14</v>
      </c>
      <c r="P71" s="13">
        <f t="shared" si="87"/>
        <v>1.0682447123141398E-12</v>
      </c>
      <c r="Q71" s="20">
        <f t="shared" si="54"/>
        <v>1.978932943548152E-12</v>
      </c>
      <c r="R71" s="59">
        <f t="shared" si="55"/>
        <v>293.3333333333353</v>
      </c>
      <c r="S71" s="59">
        <f ca="1">AVERAGE(OFFSET($R$3,0,0,'Données projet'!$E$9+1,1))-AVERAGE(OFFSET($H$3,0,0,'Données projet'!$E$9+1,1))</f>
        <v>143.12123169427508</v>
      </c>
      <c r="T71" s="59">
        <f t="shared" si="88"/>
        <v>351.98518810889152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25.122387367695975</v>
      </c>
      <c r="AA71" s="21">
        <f>EXP(-LN(2)/25)*AA70+(1-EXP(-LN(2)/25))/(LN(2)/25)*Calculateur!V71*Calculateur!X71*VLOOKUP('Données projet'!$B$9,Paramètres!$A$1:$I$89,3,0)*0.475*44/12</f>
        <v>15.324332742583115</v>
      </c>
      <c r="AB71" s="21">
        <f>EXP(-LN(2)/2)*AB70+(1-EXP(-LN(2)/2))/(LN(2)/2)*V71*Y71*VLOOKUP('Données projet'!$B$9,Paramètres!$A$1:$I$89,3,0)*0.475*44/12</f>
        <v>8.3098191827599605E-5</v>
      </c>
      <c r="AC71" s="22">
        <f t="shared" si="57"/>
        <v>40.446803208470918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228.39999999999995</v>
      </c>
      <c r="AJ71" s="13">
        <f>AI71*VLOOKUP('Données projet'!$B$10,Paramètres!$A$1:$I$89,3,0)*VLOOKUP('Données projet'!$B$10,Paramètres!$A$1:$I$89,5,0)</f>
        <v>231.59759999999997</v>
      </c>
      <c r="AK71" s="13">
        <f t="shared" si="89"/>
        <v>56.627980714948151</v>
      </c>
      <c r="AL71" s="20">
        <f t="shared" si="58"/>
        <v>501.99288641186791</v>
      </c>
      <c r="AM71" s="59">
        <f t="shared" si="59"/>
        <v>795.32621974520123</v>
      </c>
      <c r="AN71" s="59">
        <f ca="1">AVERAGE(OFFSET($AM$3,0,0,'Données projet'!$E$10+1,1))-AVERAGE(OFFSET($H$3,0,0,'Données projet'!$E$10+1,1))</f>
        <v>280.88930300426705</v>
      </c>
      <c r="AO71" s="59">
        <f t="shared" si="90"/>
        <v>166.95395852420467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1">
        <f t="shared" si="86"/>
        <v>14.766231872668596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67">
        <f t="shared" si="56"/>
        <v>407.16349717823095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1.1368683772161603E-13</v>
      </c>
      <c r="O72" s="13">
        <f>N72*VLOOKUP('Données projet'!$B$9,Paramètres!$A$1:$I$89,3,0)*VLOOKUP('Données projet'!$B$9,Paramètres!$A$1:$I$89,5,0)</f>
        <v>6.7984728957526396E-14</v>
      </c>
      <c r="P72" s="13">
        <f t="shared" si="87"/>
        <v>1.0682447123141398E-12</v>
      </c>
      <c r="Q72" s="20">
        <f t="shared" si="54"/>
        <v>1.978932943548152E-12</v>
      </c>
      <c r="R72" s="59">
        <f t="shared" si="55"/>
        <v>293.3333333333353</v>
      </c>
      <c r="S72" s="59">
        <f ca="1">AVERAGE(OFFSET($R$3,0,0,'Données projet'!$E$9+1,1))-AVERAGE(OFFSET($H$3,0,0,'Données projet'!$E$9+1,1))</f>
        <v>143.12123169427508</v>
      </c>
      <c r="T72" s="59">
        <f t="shared" si="88"/>
        <v>351.98518810889152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24.629752674558716</v>
      </c>
      <c r="AA72" s="21">
        <f>EXP(-LN(2)/25)*AA71+(1-EXP(-LN(2)/25))/(LN(2)/25)*Calculateur!V72*Calculateur!X72*VLOOKUP('Données projet'!$B$9,Paramètres!$A$1:$I$89,3,0)*0.475*44/12</f>
        <v>14.905288057865546</v>
      </c>
      <c r="AB72" s="21">
        <f>EXP(-LN(2)/2)*AB71+(1-EXP(-LN(2)/2))/(LN(2)/2)*V72*Y72*VLOOKUP('Données projet'!$B$9,Paramètres!$A$1:$I$89,3,0)*0.475*44/12</f>
        <v>5.8759294945636231E-5</v>
      </c>
      <c r="AC72" s="22">
        <f t="shared" si="57"/>
        <v>39.535099491719208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235.19999999999996</v>
      </c>
      <c r="AJ72" s="13">
        <f>AI72*VLOOKUP('Données projet'!$B$10,Paramètres!$A$1:$I$89,3,0)*VLOOKUP('Données projet'!$B$10,Paramètres!$A$1:$I$89,5,0)</f>
        <v>238.49279999999996</v>
      </c>
      <c r="AK72" s="13">
        <f t="shared" si="89"/>
        <v>58.115130258576542</v>
      </c>
      <c r="AL72" s="20">
        <f t="shared" si="58"/>
        <v>516.59214520035414</v>
      </c>
      <c r="AM72" s="59">
        <f t="shared" si="59"/>
        <v>809.92547853368751</v>
      </c>
      <c r="AN72" s="59">
        <f ca="1">AVERAGE(OFFSET($AM$3,0,0,'Données projet'!$E$10+1,1))-AVERAGE(OFFSET($H$3,0,0,'Données projet'!$E$10+1,1))</f>
        <v>280.88930300426705</v>
      </c>
      <c r="AO72" s="59">
        <f t="shared" si="90"/>
        <v>166.95395852420467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1">
        <f t="shared" si="86"/>
        <v>14.955166599500004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67">
        <f t="shared" si="56"/>
        <v>408.76954849412897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1.1368683772161603E-13</v>
      </c>
      <c r="O73" s="13">
        <f>N73*VLOOKUP('Données projet'!$B$9,Paramètres!$A$1:$I$89,3,0)*VLOOKUP('Données projet'!$B$9,Paramètres!$A$1:$I$89,5,0)</f>
        <v>6.7984728957526396E-14</v>
      </c>
      <c r="P73" s="13">
        <f t="shared" si="87"/>
        <v>1.0682447123141398E-12</v>
      </c>
      <c r="Q73" s="20">
        <f t="shared" si="54"/>
        <v>1.978932943548152E-12</v>
      </c>
      <c r="R73" s="59">
        <f t="shared" si="55"/>
        <v>293.3333333333353</v>
      </c>
      <c r="S73" s="59">
        <f ca="1">AVERAGE(OFFSET($R$3,0,0,'Données projet'!$E$9+1,1))-AVERAGE(OFFSET($H$3,0,0,'Données projet'!$E$9+1,1))</f>
        <v>143.12123169427508</v>
      </c>
      <c r="T73" s="59">
        <f t="shared" si="88"/>
        <v>351.98518810889152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24.146778247276387</v>
      </c>
      <c r="AA73" s="21">
        <f>EXP(-LN(2)/25)*AA72+(1-EXP(-LN(2)/25))/(LN(2)/25)*Calculateur!V73*Calculateur!X73*VLOOKUP('Données projet'!$B$9,Paramètres!$A$1:$I$89,3,0)*0.475*44/12</f>
        <v>14.49770217208818</v>
      </c>
      <c r="AB73" s="21">
        <f>EXP(-LN(2)/2)*AB72+(1-EXP(-LN(2)/2))/(LN(2)/2)*V73*Y73*VLOOKUP('Données projet'!$B$9,Paramètres!$A$1:$I$89,3,0)*0.475*44/12</f>
        <v>4.1549095913799809E-5</v>
      </c>
      <c r="AC73" s="22">
        <f t="shared" si="57"/>
        <v>38.644521968460481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241.99999999999997</v>
      </c>
      <c r="AJ73" s="13">
        <f>AI73*VLOOKUP('Données projet'!$B$10,Paramètres!$A$1:$I$89,3,0)*VLOOKUP('Données projet'!$B$10,Paramètres!$A$1:$I$89,5,0)</f>
        <v>245.38799999999998</v>
      </c>
      <c r="AK73" s="13">
        <f t="shared" si="89"/>
        <v>59.597282764919569</v>
      </c>
      <c r="AL73" s="20">
        <f t="shared" si="58"/>
        <v>531.18270081556818</v>
      </c>
      <c r="AM73" s="59">
        <f t="shared" si="59"/>
        <v>824.51603414890155</v>
      </c>
      <c r="AN73" s="59">
        <f ca="1">AVERAGE(OFFSET($AM$3,0,0,'Données projet'!$E$10+1,1))-AVERAGE(OFFSET($H$3,0,0,'Données projet'!$E$10+1,1))</f>
        <v>280.88930300426705</v>
      </c>
      <c r="AO73" s="59">
        <f t="shared" si="90"/>
        <v>166.95395852420467</v>
      </c>
      <c r="AP73" s="15">
        <f>IF(ISNA(VLOOKUP(A73,'Données projet'!$A$61:$I$81,3,0)),0,VLOOKUP(A73,'Données projet'!$A$61:$I$81,3,0))</f>
        <v>10</v>
      </c>
      <c r="AQ73" s="15">
        <f>IF(ISNA(VLOOKUP(A73,'Données projet'!$A$61:$I$81,4,0)),0,VLOOKUP(A73,'Données projet'!$A$61:$I$81,4,0))</f>
        <v>21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1">
        <f t="shared" si="86"/>
        <v>15.14378740464756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67">
        <f t="shared" si="56"/>
        <v>410.3750530630943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6.7984728957526396E-14</v>
      </c>
      <c r="P74" s="13">
        <f t="shared" si="87"/>
        <v>1.0682447123141398E-12</v>
      </c>
      <c r="Q74" s="20">
        <f t="shared" si="54"/>
        <v>1.978932943548152E-12</v>
      </c>
      <c r="R74" s="59">
        <f t="shared" si="55"/>
        <v>293.3333333333353</v>
      </c>
      <c r="S74" s="59">
        <f ca="1">AVERAGE(OFFSET($R$3,0,0,'Données projet'!$E$9+1,1))-AVERAGE(OFFSET($H$3,0,0,'Données projet'!$E$9+1,1))</f>
        <v>143.12123169427508</v>
      </c>
      <c r="T74" s="59">
        <f t="shared" si="88"/>
        <v>351.98518810889152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23.673274653927752</v>
      </c>
      <c r="AA74" s="21">
        <f>EXP(-LN(2)/25)*AA73+(1-EXP(-LN(2)/25))/(LN(2)/25)*Calculateur!V74*Calculateur!X74*VLOOKUP('Données projet'!$B$9,Paramètres!$A$1:$I$89,3,0)*0.475*44/12</f>
        <v>14.101261743791406</v>
      </c>
      <c r="AB74" s="21">
        <f>EXP(-LN(2)/2)*AB73+(1-EXP(-LN(2)/2))/(LN(2)/2)*V74*Y74*VLOOKUP('Données projet'!$B$9,Paramètres!$A$1:$I$89,3,0)*0.475*44/12</f>
        <v>2.9379647472818119E-5</v>
      </c>
      <c r="AC74" s="22">
        <f t="shared" si="57"/>
        <v>37.774565777366632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6.2</v>
      </c>
      <c r="AI74" s="13">
        <f>IF('Données projet'!$A$62&gt;35,AI73+AH74-AQ73,IF(A74&lt;'Données projet'!$A$62,$AF$205^A74,IF(A74='Données projet'!$A$62,'Données projet'!$B$62,AI73+AH74-AQ73)))</f>
        <v>227.19999999999996</v>
      </c>
      <c r="AJ74" s="13">
        <f>AI74*VLOOKUP('Données projet'!$B$10,Paramètres!$A$1:$I$89,3,0)*VLOOKUP('Données projet'!$B$10,Paramètres!$A$1:$I$89,5,0)</f>
        <v>230.38079999999997</v>
      </c>
      <c r="AK74" s="13">
        <f t="shared" si="89"/>
        <v>56.365011465139979</v>
      </c>
      <c r="AL74" s="20">
        <f t="shared" si="58"/>
        <v>499.41562163511867</v>
      </c>
      <c r="AM74" s="59">
        <f t="shared" si="59"/>
        <v>792.74895496845193</v>
      </c>
      <c r="AN74" s="59">
        <f ca="1">AVERAGE(OFFSET($AM$3,0,0,'Données projet'!$E$10+1,1))-AVERAGE(OFFSET($H$3,0,0,'Données projet'!$E$10+1,1))</f>
        <v>280.88930300426705</v>
      </c>
      <c r="AO74" s="59">
        <f t="shared" si="90"/>
        <v>166.95395852420467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1">
        <f t="shared" si="86"/>
        <v>15.332099220482363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67">
        <f t="shared" si="56"/>
        <v>411.98001947567326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6.7984728957526396E-14</v>
      </c>
      <c r="P75" s="13">
        <f t="shared" si="87"/>
        <v>1.0682447123141398E-12</v>
      </c>
      <c r="Q75" s="20">
        <f t="shared" si="54"/>
        <v>1.978932943548152E-12</v>
      </c>
      <c r="R75" s="59">
        <f t="shared" si="55"/>
        <v>293.3333333333353</v>
      </c>
      <c r="S75" s="59">
        <f ca="1">AVERAGE(OFFSET($R$3,0,0,'Données projet'!$E$9+1,1))-AVERAGE(OFFSET($H$3,0,0,'Données projet'!$E$9+1,1))</f>
        <v>143.12123169427508</v>
      </c>
      <c r="T75" s="59">
        <f t="shared" si="88"/>
        <v>351.98518810889152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23.209056177236008</v>
      </c>
      <c r="AA75" s="21">
        <f>EXP(-LN(2)/25)*AA74+(1-EXP(-LN(2)/25))/(LN(2)/25)*Calculateur!V75*Calculateur!X75*VLOOKUP('Données projet'!$B$9,Paramètres!$A$1:$I$89,3,0)*0.475*44/12</f>
        <v>13.715661999854303</v>
      </c>
      <c r="AB75" s="21">
        <f>EXP(-LN(2)/2)*AB74+(1-EXP(-LN(2)/2))/(LN(2)/2)*V75*Y75*VLOOKUP('Données projet'!$B$9,Paramètres!$A$1:$I$89,3,0)*0.475*44/12</f>
        <v>2.0774547956899908E-5</v>
      </c>
      <c r="AC75" s="22">
        <f t="shared" si="57"/>
        <v>36.924738951638268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6.2</v>
      </c>
      <c r="AI75" s="13">
        <f>IF('Données projet'!$A$62&gt;35,AI74+AH75-AQ74,IF(A75&lt;'Données projet'!$A$62,$AF$205^A75,IF(A75='Données projet'!$A$62,'Données projet'!$B$62,AI74+AH75-AQ74)))</f>
        <v>233.39999999999995</v>
      </c>
      <c r="AJ75" s="13">
        <f>AI75*VLOOKUP('Données projet'!$B$10,Paramètres!$A$1:$I$89,3,0)*VLOOKUP('Données projet'!$B$10,Paramètres!$A$1:$I$89,5,0)</f>
        <v>236.66759999999996</v>
      </c>
      <c r="AK75" s="13">
        <f t="shared" si="89"/>
        <v>57.721965974560838</v>
      </c>
      <c r="AL75" s="20">
        <f t="shared" si="58"/>
        <v>512.72849407236004</v>
      </c>
      <c r="AM75" s="59">
        <f t="shared" si="59"/>
        <v>806.06182740569329</v>
      </c>
      <c r="AN75" s="59">
        <f ca="1">AVERAGE(OFFSET($AM$3,0,0,'Données projet'!$E$10+1,1))-AVERAGE(OFFSET($H$3,0,0,'Données projet'!$E$10+1,1))</f>
        <v>280.88930300426705</v>
      </c>
      <c r="AO75" s="59">
        <f t="shared" si="90"/>
        <v>166.95395852420467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1">
        <f t="shared" si="86"/>
        <v>15.520106834494458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67">
        <f t="shared" si="56"/>
        <v>413.58445607007764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6.7984728957526396E-14</v>
      </c>
      <c r="P76" s="13">
        <f t="shared" si="87"/>
        <v>1.0682447123141398E-12</v>
      </c>
      <c r="Q76" s="20">
        <f t="shared" si="54"/>
        <v>1.978932943548152E-12</v>
      </c>
      <c r="R76" s="59">
        <f t="shared" si="55"/>
        <v>293.3333333333353</v>
      </c>
      <c r="S76" s="59">
        <f ca="1">AVERAGE(OFFSET($R$3,0,0,'Données projet'!$E$9+1,1))-AVERAGE(OFFSET($H$3,0,0,'Données projet'!$E$9+1,1))</f>
        <v>143.12123169427508</v>
      </c>
      <c r="T76" s="59">
        <f t="shared" si="88"/>
        <v>351.98518810889152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22.753940741726876</v>
      </c>
      <c r="AA76" s="21">
        <f>EXP(-LN(2)/25)*AA75+(1-EXP(-LN(2)/25))/(LN(2)/25)*Calculateur!V76*Calculateur!X76*VLOOKUP('Données projet'!$B$9,Paramètres!$A$1:$I$89,3,0)*0.475*44/12</f>
        <v>13.340606501192971</v>
      </c>
      <c r="AB76" s="21">
        <f>EXP(-LN(2)/2)*AB75+(1-EXP(-LN(2)/2))/(LN(2)/2)*V76*Y76*VLOOKUP('Données projet'!$B$9,Paramètres!$A$1:$I$89,3,0)*0.475*44/12</f>
        <v>1.4689823736409063E-5</v>
      </c>
      <c r="AC76" s="22">
        <f t="shared" si="57"/>
        <v>36.094561932743581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6.2</v>
      </c>
      <c r="AI76" s="13">
        <f>IF('Données projet'!$A$62&gt;35,AI75+AH76-AQ75,IF(A76&lt;'Données projet'!$A$62,$AF$205^A76,IF(A76='Données projet'!$A$62,'Données projet'!$B$62,AI75+AH76-AQ75)))</f>
        <v>239.59999999999994</v>
      </c>
      <c r="AJ76" s="13">
        <f>AI76*VLOOKUP('Données projet'!$B$10,Paramètres!$A$1:$I$89,3,0)*VLOOKUP('Données projet'!$B$10,Paramètres!$A$1:$I$89,5,0)</f>
        <v>242.95439999999994</v>
      </c>
      <c r="AK76" s="13">
        <f t="shared" si="89"/>
        <v>59.074730698078945</v>
      </c>
      <c r="AL76" s="20">
        <f t="shared" si="58"/>
        <v>526.034069299154</v>
      </c>
      <c r="AM76" s="59">
        <f t="shared" si="59"/>
        <v>819.36740263248726</v>
      </c>
      <c r="AN76" s="59">
        <f ca="1">AVERAGE(OFFSET($AM$3,0,0,'Données projet'!$E$10+1,1))-AVERAGE(OFFSET($H$3,0,0,'Données projet'!$E$10+1,1))</f>
        <v>280.88930300426705</v>
      </c>
      <c r="AO76" s="59">
        <f t="shared" si="90"/>
        <v>166.95395852420467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1">
        <f t="shared" si="86"/>
        <v>15.707814895473696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67">
        <f t="shared" si="56"/>
        <v>415.1883709429498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6.7984728957526396E-14</v>
      </c>
      <c r="P77" s="13">
        <f t="shared" si="87"/>
        <v>1.0682447123141398E-12</v>
      </c>
      <c r="Q77" s="20">
        <f t="shared" si="54"/>
        <v>1.978932943548152E-12</v>
      </c>
      <c r="R77" s="59">
        <f t="shared" si="55"/>
        <v>293.3333333333353</v>
      </c>
      <c r="S77" s="59">
        <f ca="1">AVERAGE(OFFSET($R$3,0,0,'Données projet'!$E$9+1,1))-AVERAGE(OFFSET($H$3,0,0,'Données projet'!$E$9+1,1))</f>
        <v>143.12123169427508</v>
      </c>
      <c r="T77" s="59">
        <f t="shared" si="88"/>
        <v>351.98518810889152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22.307749842315072</v>
      </c>
      <c r="AA77" s="21">
        <f>EXP(-LN(2)/25)*AA76+(1-EXP(-LN(2)/25))/(LN(2)/25)*Calculateur!V77*Calculateur!X77*VLOOKUP('Données projet'!$B$9,Paramètres!$A$1:$I$89,3,0)*0.475*44/12</f>
        <v>12.975806914865844</v>
      </c>
      <c r="AB77" s="21">
        <f>EXP(-LN(2)/2)*AB76+(1-EXP(-LN(2)/2))/(LN(2)/2)*V77*Y77*VLOOKUP('Données projet'!$B$9,Paramètres!$A$1:$I$89,3,0)*0.475*44/12</f>
        <v>1.0387273978449956E-5</v>
      </c>
      <c r="AC77" s="22">
        <f t="shared" si="57"/>
        <v>35.283567144454899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6.2</v>
      </c>
      <c r="AI77" s="13">
        <f>IF('Données projet'!$A$62&gt;35,AI76+AH77-AQ76,IF(A77&lt;'Données projet'!$A$62,$AF$205^A77,IF(A77='Données projet'!$A$62,'Données projet'!$B$62,AI76+AH77-AQ76)))</f>
        <v>245.79999999999993</v>
      </c>
      <c r="AJ77" s="13">
        <f>AI77*VLOOKUP('Données projet'!$B$10,Paramètres!$A$1:$I$89,3,0)*VLOOKUP('Données projet'!$B$10,Paramètres!$A$1:$I$89,5,0)</f>
        <v>249.24119999999994</v>
      </c>
      <c r="AK77" s="13">
        <f t="shared" si="89"/>
        <v>60.42342651744692</v>
      </c>
      <c r="AL77" s="20">
        <f t="shared" si="58"/>
        <v>539.33255785121992</v>
      </c>
      <c r="AM77" s="59">
        <f t="shared" si="59"/>
        <v>832.66589118455317</v>
      </c>
      <c r="AN77" s="59">
        <f ca="1">AVERAGE(OFFSET($AM$3,0,0,'Données projet'!$E$10+1,1))-AVERAGE(OFFSET($H$3,0,0,'Données projet'!$E$10+1,1))</f>
        <v>280.88930300426705</v>
      </c>
      <c r="AO77" s="59">
        <f t="shared" si="90"/>
        <v>166.95395852420467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1">
        <f t="shared" si="86"/>
        <v>15.895227919346986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67">
        <f t="shared" si="56"/>
        <v>416.79177195952911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6.7984728957526396E-14</v>
      </c>
      <c r="P78" s="13">
        <f t="shared" si="87"/>
        <v>1.0682447123141398E-12</v>
      </c>
      <c r="Q78" s="20">
        <f t="shared" si="54"/>
        <v>1.978932943548152E-12</v>
      </c>
      <c r="R78" s="59">
        <f t="shared" si="55"/>
        <v>293.3333333333353</v>
      </c>
      <c r="S78" s="59">
        <f ca="1">AVERAGE(OFFSET($R$3,0,0,'Données projet'!$E$9+1,1))-AVERAGE(OFFSET($H$3,0,0,'Données projet'!$E$9+1,1))</f>
        <v>143.12123169427508</v>
      </c>
      <c r="T78" s="59">
        <f t="shared" si="88"/>
        <v>351.98518810889152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21.870308474291157</v>
      </c>
      <c r="AA78" s="21">
        <f>EXP(-LN(2)/25)*AA77+(1-EXP(-LN(2)/25))/(LN(2)/25)*Calculateur!V78*Calculateur!X78*VLOOKUP('Données projet'!$B$9,Paramètres!$A$1:$I$89,3,0)*0.475*44/12</f>
        <v>12.620982792410809</v>
      </c>
      <c r="AB78" s="21">
        <f>EXP(-LN(2)/2)*AB77+(1-EXP(-LN(2)/2))/(LN(2)/2)*V78*Y78*VLOOKUP('Données projet'!$B$9,Paramètres!$A$1:$I$89,3,0)*0.475*44/12</f>
        <v>7.3449118682045322E-6</v>
      </c>
      <c r="AC78" s="22">
        <f t="shared" si="57"/>
        <v>34.491298611613836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252</v>
      </c>
      <c r="AG78" s="12">
        <f>VLOOKUP(A78,'Données projet'!$A$61:$I$81,9,0)</f>
        <v>6.2</v>
      </c>
      <c r="AH78" s="12">
        <f t="array" ref="AH78">INDEX(AG:AG,MIN(IF(ISNUMBER(AG78:AG274),ROW(AG78:AG274),"")))</f>
        <v>6.2</v>
      </c>
      <c r="AI78" s="13">
        <f>IF('Données projet'!$A$62&gt;35,AI77+AH78-AQ77,IF(A78&lt;'Données projet'!$A$62,$AF$205^A78,IF(A78='Données projet'!$A$62,'Données projet'!$B$62,AI77+AH78-AQ77)))</f>
        <v>251.99999999999991</v>
      </c>
      <c r="AJ78" s="13">
        <f>AI78*VLOOKUP('Données projet'!$B$10,Paramètres!$A$1:$I$89,3,0)*VLOOKUP('Données projet'!$B$10,Paramètres!$A$1:$I$89,5,0)</f>
        <v>255.52799999999993</v>
      </c>
      <c r="AK78" s="13">
        <f t="shared" si="89"/>
        <v>61.768167868721477</v>
      </c>
      <c r="AL78" s="20">
        <f t="shared" si="58"/>
        <v>552.62415903802309</v>
      </c>
      <c r="AM78" s="59">
        <f t="shared" si="59"/>
        <v>845.95749237135647</v>
      </c>
      <c r="AN78" s="59">
        <f ca="1">AVERAGE(OFFSET($AM$3,0,0,'Données projet'!$E$10+1,1))-AVERAGE(OFFSET($H$3,0,0,'Données projet'!$E$10+1,1))</f>
        <v>280.88930300426705</v>
      </c>
      <c r="AO78" s="59">
        <f t="shared" si="90"/>
        <v>166.95395852420467</v>
      </c>
      <c r="AP78" s="15">
        <f>IF(ISNA(VLOOKUP(A78,'Données projet'!$A$61:$I$81,3,0)),0,VLOOKUP(A78,'Données projet'!$A$61:$I$81,3,0))</f>
        <v>11</v>
      </c>
      <c r="AQ78" s="15">
        <f>IF(ISNA(VLOOKUP(A78,'Données projet'!$A$61:$I$81,4,0)),0,VLOOKUP(A78,'Données projet'!$A$61:$I$81,4,0))</f>
        <v>21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1">
        <f t="shared" si="86"/>
        <v>16.08235029469542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67">
        <f t="shared" si="56"/>
        <v>418.394666763261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6.7984728957526396E-14</v>
      </c>
      <c r="P79" s="13">
        <f t="shared" si="87"/>
        <v>1.0682447123141398E-12</v>
      </c>
      <c r="Q79" s="20">
        <f t="shared" si="54"/>
        <v>1.978932943548152E-12</v>
      </c>
      <c r="R79" s="59">
        <f t="shared" si="55"/>
        <v>293.3333333333353</v>
      </c>
      <c r="S79" s="59">
        <f ca="1">AVERAGE(OFFSET($R$3,0,0,'Données projet'!$E$9+1,1))-AVERAGE(OFFSET($H$3,0,0,'Données projet'!$E$9+1,1))</f>
        <v>143.12123169427508</v>
      </c>
      <c r="T79" s="59">
        <f t="shared" si="88"/>
        <v>351.98518810889152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21.441445064681304</v>
      </c>
      <c r="AA79" s="21">
        <f>EXP(-LN(2)/25)*AA78+(1-EXP(-LN(2)/25))/(LN(2)/25)*Calculateur!V79*Calculateur!X79*VLOOKUP('Données projet'!$B$9,Paramètres!$A$1:$I$89,3,0)*0.475*44/12</f>
        <v>12.275861354243697</v>
      </c>
      <c r="AB79" s="21">
        <f>EXP(-LN(2)/2)*AB78+(1-EXP(-LN(2)/2))/(LN(2)/2)*V79*Y79*VLOOKUP('Données projet'!$B$9,Paramètres!$A$1:$I$89,3,0)*0.475*44/12</f>
        <v>5.1936369892249787E-6</v>
      </c>
      <c r="AC79" s="22">
        <f t="shared" si="57"/>
        <v>33.717311612561986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236.99999999999989</v>
      </c>
      <c r="AJ79" s="13">
        <f>AI79*VLOOKUP('Données projet'!$B$10,Paramètres!$A$1:$I$89,3,0)*VLOOKUP('Données projet'!$B$10,Paramètres!$A$1:$I$89,5,0)</f>
        <v>240.3179999999999</v>
      </c>
      <c r="AK79" s="13">
        <f t="shared" si="89"/>
        <v>58.507944457766484</v>
      </c>
      <c r="AL79" s="20">
        <f t="shared" si="58"/>
        <v>520.45518659727634</v>
      </c>
      <c r="AM79" s="59">
        <f t="shared" si="59"/>
        <v>813.78851993060971</v>
      </c>
      <c r="AN79" s="59">
        <f ca="1">AVERAGE(OFFSET($AM$3,0,0,'Données projet'!$E$10+1,1))-AVERAGE(OFFSET($H$3,0,0,'Données projet'!$E$10+1,1))</f>
        <v>280.88930300426705</v>
      </c>
      <c r="AO79" s="59">
        <f t="shared" si="90"/>
        <v>166.95395852420467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1">
        <f t="shared" si="86"/>
        <v>16.269186287972673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67">
        <f t="shared" si="56"/>
        <v>419.99706278488549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6.7984728957526396E-14</v>
      </c>
      <c r="P80" s="13">
        <f t="shared" si="87"/>
        <v>1.0682447123141398E-12</v>
      </c>
      <c r="Q80" s="20">
        <f t="shared" si="54"/>
        <v>1.978932943548152E-12</v>
      </c>
      <c r="R80" s="59">
        <f t="shared" si="55"/>
        <v>293.3333333333353</v>
      </c>
      <c r="S80" s="59">
        <f ca="1">AVERAGE(OFFSET($R$3,0,0,'Données projet'!$E$9+1,1))-AVERAGE(OFFSET($H$3,0,0,'Données projet'!$E$9+1,1))</f>
        <v>143.12123169427508</v>
      </c>
      <c r="T80" s="59">
        <f t="shared" si="88"/>
        <v>351.98518810889152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21.020991404953048</v>
      </c>
      <c r="AA80" s="21">
        <f>EXP(-LN(2)/25)*AA79+(1-EXP(-LN(2)/25))/(LN(2)/25)*Calculateur!V80*Calculateur!X80*VLOOKUP('Données projet'!$B$9,Paramètres!$A$1:$I$89,3,0)*0.475*44/12</f>
        <v>11.940177279952412</v>
      </c>
      <c r="AB80" s="21">
        <f>EXP(-LN(2)/2)*AB79+(1-EXP(-LN(2)/2))/(LN(2)/2)*V80*Y80*VLOOKUP('Données projet'!$B$9,Paramètres!$A$1:$I$89,3,0)*0.475*44/12</f>
        <v>3.6724559341022665E-6</v>
      </c>
      <c r="AC80" s="22">
        <f t="shared" si="57"/>
        <v>32.961172357361392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242.99999999999989</v>
      </c>
      <c r="AJ80" s="13">
        <f>AI80*VLOOKUP('Données projet'!$B$10,Paramètres!$A$1:$I$89,3,0)*VLOOKUP('Données projet'!$B$10,Paramètres!$A$1:$I$89,5,0)</f>
        <v>246.4019999999999</v>
      </c>
      <c r="AK80" s="13">
        <f t="shared" si="89"/>
        <v>59.814834475385474</v>
      </c>
      <c r="AL80" s="20">
        <f t="shared" si="58"/>
        <v>533.32765337796286</v>
      </c>
      <c r="AM80" s="59">
        <f t="shared" si="59"/>
        <v>826.66098671129612</v>
      </c>
      <c r="AN80" s="59">
        <f ca="1">AVERAGE(OFFSET($AM$3,0,0,'Données projet'!$E$10+1,1))-AVERAGE(OFFSET($H$3,0,0,'Données projet'!$E$10+1,1))</f>
        <v>280.88930300426705</v>
      </c>
      <c r="AO80" s="59">
        <f t="shared" si="90"/>
        <v>166.95395852420467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1">
        <f t="shared" si="86"/>
        <v>16.455740048444692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67">
        <f t="shared" si="56"/>
        <v>421.5989672510409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6.7984728957526396E-14</v>
      </c>
      <c r="P81" s="13">
        <f t="shared" si="87"/>
        <v>1.0682447123141398E-12</v>
      </c>
      <c r="Q81" s="20">
        <f t="shared" si="54"/>
        <v>1.978932943548152E-12</v>
      </c>
      <c r="R81" s="59">
        <f t="shared" si="55"/>
        <v>293.3333333333353</v>
      </c>
      <c r="S81" s="59">
        <f ca="1">AVERAGE(OFFSET($R$3,0,0,'Données projet'!$E$9+1,1))-AVERAGE(OFFSET($H$3,0,0,'Données projet'!$E$9+1,1))</f>
        <v>143.12123169427508</v>
      </c>
      <c r="T81" s="59">
        <f t="shared" si="88"/>
        <v>351.98518810889152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20.608782585040654</v>
      </c>
      <c r="AA81" s="21">
        <f>EXP(-LN(2)/25)*AA80+(1-EXP(-LN(2)/25))/(LN(2)/25)*Calculateur!V81*Calculateur!X81*VLOOKUP('Données projet'!$B$9,Paramètres!$A$1:$I$89,3,0)*0.475*44/12</f>
        <v>11.61367250432548</v>
      </c>
      <c r="AB81" s="21">
        <f>EXP(-LN(2)/2)*AB80+(1-EXP(-LN(2)/2))/(LN(2)/2)*V81*Y81*VLOOKUP('Données projet'!$B$9,Paramètres!$A$1:$I$89,3,0)*0.475*44/12</f>
        <v>2.5968184946124898E-6</v>
      </c>
      <c r="AC81" s="22">
        <f t="shared" si="57"/>
        <v>32.222457686184633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248.99999999999989</v>
      </c>
      <c r="AJ81" s="13">
        <f>AI81*VLOOKUP('Données projet'!$B$10,Paramètres!$A$1:$I$89,3,0)*VLOOKUP('Données projet'!$B$10,Paramètres!$A$1:$I$89,5,0)</f>
        <v>252.4859999999999</v>
      </c>
      <c r="AK81" s="13">
        <f t="shared" si="89"/>
        <v>61.117973383957384</v>
      </c>
      <c r="AL81" s="20">
        <f t="shared" si="58"/>
        <v>546.193586977059</v>
      </c>
      <c r="AM81" s="59">
        <f t="shared" si="59"/>
        <v>839.52692031039237</v>
      </c>
      <c r="AN81" s="59">
        <f ca="1">AVERAGE(OFFSET($AM$3,0,0,'Données projet'!$E$10+1,1))-AVERAGE(OFFSET($H$3,0,0,'Données projet'!$E$10+1,1))</f>
        <v>280.88930300426705</v>
      </c>
      <c r="AO81" s="59">
        <f t="shared" si="90"/>
        <v>166.95395852420467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1">
        <f t="shared" si="86"/>
        <v>16.642015612868772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67">
        <f t="shared" si="56"/>
        <v>423.2003871924129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6.7984728957526396E-14</v>
      </c>
      <c r="P82" s="13">
        <f t="shared" si="87"/>
        <v>1.0682447123141398E-12</v>
      </c>
      <c r="Q82" s="20">
        <f t="shared" si="54"/>
        <v>1.978932943548152E-12</v>
      </c>
      <c r="R82" s="59">
        <f t="shared" si="55"/>
        <v>293.3333333333353</v>
      </c>
      <c r="S82" s="59">
        <f ca="1">AVERAGE(OFFSET($R$3,0,0,'Données projet'!$E$9+1,1))-AVERAGE(OFFSET($H$3,0,0,'Données projet'!$E$9+1,1))</f>
        <v>143.12123169427508</v>
      </c>
      <c r="T82" s="59">
        <f t="shared" si="88"/>
        <v>351.98518810889152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20.204656928664189</v>
      </c>
      <c r="AA82" s="21">
        <f>EXP(-LN(2)/25)*AA81+(1-EXP(-LN(2)/25))/(LN(2)/25)*Calculateur!V82*Calculateur!X82*VLOOKUP('Données projet'!$B$9,Paramètres!$A$1:$I$89,3,0)*0.475*44/12</f>
        <v>11.296096018958206</v>
      </c>
      <c r="AB82" s="21">
        <f>EXP(-LN(2)/2)*AB81+(1-EXP(-LN(2)/2))/(LN(2)/2)*V82*Y82*VLOOKUP('Données projet'!$B$9,Paramètres!$A$1:$I$89,3,0)*0.475*44/12</f>
        <v>1.8362279670511337E-6</v>
      </c>
      <c r="AC82" s="22">
        <f t="shared" si="57"/>
        <v>31.500754783850361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254.99999999999989</v>
      </c>
      <c r="AJ82" s="13">
        <f>AI82*VLOOKUP('Données projet'!$B$10,Paramètres!$A$1:$I$89,3,0)*VLOOKUP('Données projet'!$B$10,Paramètres!$A$1:$I$89,5,0)</f>
        <v>258.56999999999994</v>
      </c>
      <c r="AK82" s="13">
        <f t="shared" si="89"/>
        <v>62.417461971173843</v>
      </c>
      <c r="AL82" s="20">
        <f t="shared" si="58"/>
        <v>559.05316293312762</v>
      </c>
      <c r="AM82" s="59">
        <f t="shared" si="59"/>
        <v>852.38649626646088</v>
      </c>
      <c r="AN82" s="59">
        <f ca="1">AVERAGE(OFFSET($AM$3,0,0,'Données projet'!$E$10+1,1))-AVERAGE(OFFSET($H$3,0,0,'Données projet'!$E$10+1,1))</f>
        <v>280.88930300426705</v>
      </c>
      <c r="AO82" s="59">
        <f t="shared" si="90"/>
        <v>166.95395852420467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1">
        <f t="shared" si="86"/>
        <v>16.82801690992903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67">
        <f t="shared" si="56"/>
        <v>424.80132945145942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6.7984728957526396E-14</v>
      </c>
      <c r="P83" s="13">
        <f t="shared" si="87"/>
        <v>1.0682447123141398E-12</v>
      </c>
      <c r="Q83" s="20">
        <f t="shared" si="54"/>
        <v>1.978932943548152E-12</v>
      </c>
      <c r="R83" s="59">
        <f t="shared" si="55"/>
        <v>293.3333333333353</v>
      </c>
      <c r="S83" s="59">
        <f ca="1">AVERAGE(OFFSET($R$3,0,0,'Données projet'!$E$9+1,1))-AVERAGE(OFFSET($H$3,0,0,'Données projet'!$E$9+1,1))</f>
        <v>143.12123169427508</v>
      </c>
      <c r="T83" s="59">
        <f t="shared" si="88"/>
        <v>351.98518810889152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19.808455929916953</v>
      </c>
      <c r="AA83" s="21">
        <f>EXP(-LN(2)/25)*AA82+(1-EXP(-LN(2)/25))/(LN(2)/25)*Calculateur!V83*Calculateur!X83*VLOOKUP('Données projet'!$B$9,Paramètres!$A$1:$I$89,3,0)*0.475*44/12</f>
        <v>10.987203679283922</v>
      </c>
      <c r="AB83" s="21">
        <f>EXP(-LN(2)/2)*AB82+(1-EXP(-LN(2)/2))/(LN(2)/2)*V83*Y83*VLOOKUP('Données projet'!$B$9,Paramètres!$A$1:$I$89,3,0)*0.475*44/12</f>
        <v>1.2984092473062451E-6</v>
      </c>
      <c r="AC83" s="22">
        <f t="shared" si="57"/>
        <v>30.795660907610124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261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260.99999999999989</v>
      </c>
      <c r="AJ83" s="13">
        <f>AI83*VLOOKUP('Données projet'!$B$10,Paramètres!$A$1:$I$89,3,0)*VLOOKUP('Données projet'!$B$10,Paramètres!$A$1:$I$89,5,0)</f>
        <v>264.65399999999988</v>
      </c>
      <c r="AK83" s="13">
        <f t="shared" si="89"/>
        <v>63.71339601121106</v>
      </c>
      <c r="AL83" s="20">
        <f t="shared" si="58"/>
        <v>571.90654805285897</v>
      </c>
      <c r="AM83" s="59">
        <f t="shared" si="59"/>
        <v>865.23988138619234</v>
      </c>
      <c r="AN83" s="59">
        <f ca="1">AVERAGE(OFFSET($AM$3,0,0,'Données projet'!$E$10+1,1))-AVERAGE(OFFSET($H$3,0,0,'Données projet'!$E$10+1,1))</f>
        <v>280.88930300426705</v>
      </c>
      <c r="AO83" s="59">
        <f t="shared" si="90"/>
        <v>166.95395852420467</v>
      </c>
      <c r="AP83" s="15">
        <f>IF(ISNA(VLOOKUP(A83,'Données projet'!$A$61:$I$81,3,0)),0,VLOOKUP(A83,'Données projet'!$A$61:$I$81,3,0))</f>
        <v>12</v>
      </c>
      <c r="AQ83" s="15">
        <f>IF(ISNA(VLOOKUP(A83,'Données projet'!$A$61:$I$81,4,0)),0,VLOOKUP(A83,'Données projet'!$A$61:$I$81,4,0))</f>
        <v>21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1">
        <f t="shared" si="86"/>
        <v>17.013747764443796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67">
        <f t="shared" si="56"/>
        <v>426.40180068973939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6.7984728957526396E-14</v>
      </c>
      <c r="P84" s="13">
        <f t="shared" si="87"/>
        <v>1.0682447123141398E-12</v>
      </c>
      <c r="Q84" s="20">
        <f t="shared" si="54"/>
        <v>1.978932943548152E-12</v>
      </c>
      <c r="R84" s="59">
        <f t="shared" si="55"/>
        <v>293.3333333333353</v>
      </c>
      <c r="S84" s="59">
        <f ca="1">AVERAGE(OFFSET($R$3,0,0,'Données projet'!$E$9+1,1))-AVERAGE(OFFSET($H$3,0,0,'Données projet'!$E$9+1,1))</f>
        <v>143.12123169427508</v>
      </c>
      <c r="T84" s="59">
        <f t="shared" si="88"/>
        <v>351.98518810889152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19.420024191096402</v>
      </c>
      <c r="AA84" s="21">
        <f>EXP(-LN(2)/25)*AA83+(1-EXP(-LN(2)/25))/(LN(2)/25)*Calculateur!V84*Calculateur!X84*VLOOKUP('Données projet'!$B$9,Paramètres!$A$1:$I$89,3,0)*0.475*44/12</f>
        <v>10.686758016881974</v>
      </c>
      <c r="AB84" s="21">
        <f>EXP(-LN(2)/2)*AB83+(1-EXP(-LN(2)/2))/(LN(2)/2)*V84*Y84*VLOOKUP('Données projet'!$B$9,Paramètres!$A$1:$I$89,3,0)*0.475*44/12</f>
        <v>9.1811398352556695E-7</v>
      </c>
      <c r="AC84" s="22">
        <f t="shared" si="57"/>
        <v>30.10678312609236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5.8</v>
      </c>
      <c r="AI84" s="13">
        <f>IF('Données projet'!$A$62&gt;35,AI83+AH84-AQ83,IF(A84&lt;'Données projet'!$A$62,$AF$205^A84,IF(A84='Données projet'!$A$62,'Données projet'!$B$62,AI83+AH84-AQ83)))</f>
        <v>245.7999999999999</v>
      </c>
      <c r="AJ84" s="13">
        <f>AI84*VLOOKUP('Données projet'!$B$10,Paramètres!$A$1:$I$89,3,0)*VLOOKUP('Données projet'!$B$10,Paramètres!$A$1:$I$89,5,0)</f>
        <v>249.24119999999988</v>
      </c>
      <c r="AK84" s="13">
        <f t="shared" si="89"/>
        <v>60.42342651744687</v>
      </c>
      <c r="AL84" s="20">
        <f t="shared" si="58"/>
        <v>539.3325578512198</v>
      </c>
      <c r="AM84" s="59">
        <f t="shared" si="59"/>
        <v>832.66589118455317</v>
      </c>
      <c r="AN84" s="59">
        <f ca="1">AVERAGE(OFFSET($AM$3,0,0,'Données projet'!$E$10+1,1))-AVERAGE(OFFSET($H$3,0,0,'Données projet'!$E$10+1,1))</f>
        <v>280.88930300426705</v>
      </c>
      <c r="AO84" s="59">
        <f t="shared" si="90"/>
        <v>166.95395852420467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1">
        <f t="shared" si="86"/>
        <v>17.199211901359213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67">
        <f t="shared" si="56"/>
        <v>428.001807394867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6.7984728957526396E-14</v>
      </c>
      <c r="P85" s="13">
        <f t="shared" si="87"/>
        <v>1.0682447123141398E-12</v>
      </c>
      <c r="Q85" s="20">
        <f t="shared" si="54"/>
        <v>1.978932943548152E-12</v>
      </c>
      <c r="R85" s="59">
        <f t="shared" si="55"/>
        <v>293.3333333333353</v>
      </c>
      <c r="S85" s="59">
        <f ca="1">AVERAGE(OFFSET($R$3,0,0,'Données projet'!$E$9+1,1))-AVERAGE(OFFSET($H$3,0,0,'Données projet'!$E$9+1,1))</f>
        <v>143.12123169427508</v>
      </c>
      <c r="T85" s="59">
        <f t="shared" si="88"/>
        <v>351.98518810889152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19.039209361754157</v>
      </c>
      <c r="AA85" s="21">
        <f>EXP(-LN(2)/25)*AA84+(1-EXP(-LN(2)/25))/(LN(2)/25)*Calculateur!V85*Calculateur!X85*VLOOKUP('Données projet'!$B$9,Paramètres!$A$1:$I$89,3,0)*0.475*44/12</f>
        <v>10.394528056918157</v>
      </c>
      <c r="AB85" s="21">
        <f>EXP(-LN(2)/2)*AB84+(1-EXP(-LN(2)/2))/(LN(2)/2)*V85*Y85*VLOOKUP('Données projet'!$B$9,Paramètres!$A$1:$I$89,3,0)*0.475*44/12</f>
        <v>6.4920462365312265E-7</v>
      </c>
      <c r="AC85" s="22">
        <f t="shared" si="57"/>
        <v>29.433738067876938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5.8</v>
      </c>
      <c r="AI85" s="13">
        <f>IF('Données projet'!$A$62&gt;35,AI84+AH85-AQ84,IF(A85&lt;'Données projet'!$A$62,$AF$205^A85,IF(A85='Données projet'!$A$62,'Données projet'!$B$62,AI84+AH85-AQ84)))</f>
        <v>251.59999999999991</v>
      </c>
      <c r="AJ85" s="13">
        <f>AI85*VLOOKUP('Données projet'!$B$10,Paramètres!$A$1:$I$89,3,0)*VLOOKUP('Données projet'!$B$10,Paramètres!$A$1:$I$89,5,0)</f>
        <v>255.12239999999991</v>
      </c>
      <c r="AK85" s="13">
        <f t="shared" si="89"/>
        <v>61.681527554261443</v>
      </c>
      <c r="AL85" s="20">
        <f t="shared" si="58"/>
        <v>551.7668404903385</v>
      </c>
      <c r="AM85" s="59">
        <f t="shared" si="59"/>
        <v>845.10017382367187</v>
      </c>
      <c r="AN85" s="59">
        <f ca="1">AVERAGE(OFFSET($AM$3,0,0,'Données projet'!$E$10+1,1))-AVERAGE(OFFSET($H$3,0,0,'Données projet'!$E$10+1,1))</f>
        <v>280.88930300426705</v>
      </c>
      <c r="AO85" s="59">
        <f t="shared" si="90"/>
        <v>166.95395852420467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1">
        <f t="shared" si="86"/>
        <v>17.384412949542618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67">
        <f t="shared" si="56"/>
        <v>429.60135588711978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6.7984728957526396E-14</v>
      </c>
      <c r="P86" s="13">
        <f t="shared" si="87"/>
        <v>1.0682447123141398E-12</v>
      </c>
      <c r="Q86" s="20">
        <f t="shared" si="54"/>
        <v>1.978932943548152E-12</v>
      </c>
      <c r="R86" s="59">
        <f t="shared" si="55"/>
        <v>293.3333333333353</v>
      </c>
      <c r="S86" s="59">
        <f ca="1">AVERAGE(OFFSET($R$3,0,0,'Données projet'!$E$9+1,1))-AVERAGE(OFFSET($H$3,0,0,'Données projet'!$E$9+1,1))</f>
        <v>143.12123169427508</v>
      </c>
      <c r="T86" s="59">
        <f t="shared" si="88"/>
        <v>351.98518810889152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18.665862078941203</v>
      </c>
      <c r="AA86" s="21">
        <f>EXP(-LN(2)/25)*AA85+(1-EXP(-LN(2)/25))/(LN(2)/25)*Calculateur!V86*Calculateur!X86*VLOOKUP('Données projet'!$B$9,Paramètres!$A$1:$I$89,3,0)*0.475*44/12</f>
        <v>10.110289140577256</v>
      </c>
      <c r="AB86" s="21">
        <f>EXP(-LN(2)/2)*AB85+(1-EXP(-LN(2)/2))/(LN(2)/2)*V86*Y86*VLOOKUP('Données projet'!$B$9,Paramètres!$A$1:$I$89,3,0)*0.475*44/12</f>
        <v>4.5905699176278358E-7</v>
      </c>
      <c r="AC86" s="22">
        <f t="shared" si="57"/>
        <v>28.776151678575452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5.8</v>
      </c>
      <c r="AI86" s="13">
        <f>IF('Données projet'!$A$62&gt;35,AI85+AH86-AQ85,IF(A86&lt;'Données projet'!$A$62,$AF$205^A86,IF(A86='Données projet'!$A$62,'Données projet'!$B$62,AI85+AH86-AQ85)))</f>
        <v>257.39999999999992</v>
      </c>
      <c r="AJ86" s="13">
        <f>AI86*VLOOKUP('Données projet'!$B$10,Paramètres!$A$1:$I$89,3,0)*VLOOKUP('Données projet'!$B$10,Paramètres!$A$1:$I$89,5,0)</f>
        <v>261.00359999999995</v>
      </c>
      <c r="AK86" s="13">
        <f t="shared" si="89"/>
        <v>62.936256929541173</v>
      </c>
      <c r="AL86" s="20">
        <f t="shared" si="58"/>
        <v>564.19525081895074</v>
      </c>
      <c r="AM86" s="59">
        <f t="shared" si="59"/>
        <v>857.52858415228411</v>
      </c>
      <c r="AN86" s="59">
        <f ca="1">AVERAGE(OFFSET($AM$3,0,0,'Données projet'!$E$10+1,1))-AVERAGE(OFFSET($H$3,0,0,'Données projet'!$E$10+1,1))</f>
        <v>280.88930300426705</v>
      </c>
      <c r="AO86" s="59">
        <f t="shared" si="90"/>
        <v>166.95395852420467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1">
        <f t="shared" si="86"/>
        <v>17.569354445387791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67">
        <f t="shared" si="56"/>
        <v>431.20045232571681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6.7984728957526396E-14</v>
      </c>
      <c r="P87" s="13">
        <f t="shared" si="87"/>
        <v>1.0682447123141398E-12</v>
      </c>
      <c r="Q87" s="20">
        <f t="shared" si="54"/>
        <v>1.978932943548152E-12</v>
      </c>
      <c r="R87" s="59">
        <f t="shared" si="55"/>
        <v>293.3333333333353</v>
      </c>
      <c r="S87" s="59">
        <f ca="1">AVERAGE(OFFSET($R$3,0,0,'Données projet'!$E$9+1,1))-AVERAGE(OFFSET($H$3,0,0,'Données projet'!$E$9+1,1))</f>
        <v>143.12123169427508</v>
      </c>
      <c r="T87" s="59">
        <f t="shared" si="88"/>
        <v>351.98518810889152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18.299835908624853</v>
      </c>
      <c r="AA87" s="21">
        <f>EXP(-LN(2)/25)*AA86+(1-EXP(-LN(2)/25))/(LN(2)/25)*Calculateur!V87*Calculateur!X87*VLOOKUP('Données projet'!$B$9,Paramètres!$A$1:$I$89,3,0)*0.475*44/12</f>
        <v>9.833822752351173</v>
      </c>
      <c r="AB87" s="21">
        <f>EXP(-LN(2)/2)*AB86+(1-EXP(-LN(2)/2))/(LN(2)/2)*V87*Y87*VLOOKUP('Données projet'!$B$9,Paramètres!$A$1:$I$89,3,0)*0.475*44/12</f>
        <v>3.2460231182656138E-7</v>
      </c>
      <c r="AC87" s="22">
        <f t="shared" si="57"/>
        <v>28.133658985578336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5.8</v>
      </c>
      <c r="AI87" s="13">
        <f>IF('Données projet'!$A$62&gt;35,AI86+AH87-AQ86,IF(A87&lt;'Données projet'!$A$62,$AF$205^A87,IF(A87='Données projet'!$A$62,'Données projet'!$B$62,AI86+AH87-AQ86)))</f>
        <v>263.19999999999993</v>
      </c>
      <c r="AJ87" s="13">
        <f>AI87*VLOOKUP('Données projet'!$B$10,Paramètres!$A$1:$I$89,3,0)*VLOOKUP('Données projet'!$B$10,Paramètres!$A$1:$I$89,5,0)</f>
        <v>266.88479999999993</v>
      </c>
      <c r="AK87" s="13">
        <f t="shared" si="89"/>
        <v>64.18769936370569</v>
      </c>
      <c r="AL87" s="20">
        <f t="shared" si="58"/>
        <v>576.61793639178723</v>
      </c>
      <c r="AM87" s="59">
        <f t="shared" si="59"/>
        <v>869.95126972512048</v>
      </c>
      <c r="AN87" s="59">
        <f ca="1">AVERAGE(OFFSET($AM$3,0,0,'Données projet'!$E$10+1,1))-AVERAGE(OFFSET($H$3,0,0,'Données projet'!$E$10+1,1))</f>
        <v>280.88930300426705</v>
      </c>
      <c r="AO87" s="59">
        <f t="shared" si="90"/>
        <v>166.95395852420467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1">
        <f t="shared" si="86"/>
        <v>17.754039836243663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67">
        <f t="shared" si="56"/>
        <v>432.79910271479082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6.7984728957526396E-14</v>
      </c>
      <c r="P88" s="13">
        <f t="shared" si="87"/>
        <v>1.0682447123141398E-12</v>
      </c>
      <c r="Q88" s="20">
        <f t="shared" si="54"/>
        <v>1.978932943548152E-12</v>
      </c>
      <c r="R88" s="59">
        <f t="shared" si="55"/>
        <v>293.3333333333353</v>
      </c>
      <c r="S88" s="59">
        <f ca="1">AVERAGE(OFFSET($R$3,0,0,'Données projet'!$E$9+1,1))-AVERAGE(OFFSET($H$3,0,0,'Données projet'!$E$9+1,1))</f>
        <v>143.12123169427508</v>
      </c>
      <c r="T88" s="59">
        <f t="shared" si="88"/>
        <v>351.98518810889152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17.940987288254487</v>
      </c>
      <c r="AA88" s="21">
        <f>EXP(-LN(2)/25)*AA87+(1-EXP(-LN(2)/25))/(LN(2)/25)*Calculateur!V88*Calculateur!X88*VLOOKUP('Données projet'!$B$9,Paramètres!$A$1:$I$89,3,0)*0.475*44/12</f>
        <v>9.5649163520498668</v>
      </c>
      <c r="AB88" s="21">
        <f>EXP(-LN(2)/2)*AB87+(1-EXP(-LN(2)/2))/(LN(2)/2)*V88*Y88*VLOOKUP('Données projet'!$B$9,Paramètres!$A$1:$I$89,3,0)*0.475*44/12</f>
        <v>2.2952849588139182E-7</v>
      </c>
      <c r="AC88" s="22">
        <f t="shared" si="57"/>
        <v>27.505903869832849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269</v>
      </c>
      <c r="AG88" s="12">
        <f>VLOOKUP(A88,'Données projet'!$A$61:$I$81,9,0)</f>
        <v>5.8</v>
      </c>
      <c r="AH88" s="12">
        <f t="array" ref="AH88">INDEX(AG:AG,MIN(IF(ISNUMBER(AG88:AG284),ROW(AG88:AG284),"")))</f>
        <v>5.8</v>
      </c>
      <c r="AI88" s="13">
        <f>IF('Données projet'!$A$62&gt;35,AI87+AH88-AQ87,IF(A88&lt;'Données projet'!$A$62,$AF$205^A88,IF(A88='Données projet'!$A$62,'Données projet'!$B$62,AI87+AH88-AQ87)))</f>
        <v>268.99999999999994</v>
      </c>
      <c r="AJ88" s="13">
        <f>AI88*VLOOKUP('Données projet'!$B$10,Paramètres!$A$1:$I$89,3,0)*VLOOKUP('Données projet'!$B$10,Paramètres!$A$1:$I$89,5,0)</f>
        <v>272.76599999999996</v>
      </c>
      <c r="AK88" s="13">
        <f t="shared" si="89"/>
        <v>65.43593563008757</v>
      </c>
      <c r="AL88" s="20">
        <f t="shared" si="58"/>
        <v>589.03503788906914</v>
      </c>
      <c r="AM88" s="59">
        <f t="shared" si="59"/>
        <v>882.3683712224024</v>
      </c>
      <c r="AN88" s="59">
        <f ca="1">AVERAGE(OFFSET($AM$3,0,0,'Données projet'!$E$10+1,1))-AVERAGE(OFFSET($H$3,0,0,'Données projet'!$E$10+1,1))</f>
        <v>280.88930300426705</v>
      </c>
      <c r="AO88" s="59">
        <f t="shared" si="90"/>
        <v>166.95395852420467</v>
      </c>
      <c r="AP88" s="15">
        <f>IF(ISNA(VLOOKUP(A88,'Données projet'!$A$61:$I$81,3,0)),0,VLOOKUP(A88,'Données projet'!$A$61:$I$81,3,0))</f>
        <v>13</v>
      </c>
      <c r="AQ88" s="15">
        <f>IF(ISNA(VLOOKUP(A88,'Données projet'!$A$61:$I$81,4,0)),0,VLOOKUP(A88,'Données projet'!$A$61:$I$81,4,0))</f>
        <v>21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1">
        <f t="shared" si="86"/>
        <v>17.93847248367711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67">
        <f t="shared" si="56"/>
        <v>434.39731290907071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6.7984728957526396E-14</v>
      </c>
      <c r="P89" s="13">
        <f t="shared" si="87"/>
        <v>1.0682447123141398E-12</v>
      </c>
      <c r="Q89" s="20">
        <f t="shared" si="54"/>
        <v>1.978932943548152E-12</v>
      </c>
      <c r="R89" s="59">
        <f t="shared" si="55"/>
        <v>293.3333333333353</v>
      </c>
      <c r="S89" s="59">
        <f ca="1">AVERAGE(OFFSET($R$3,0,0,'Données projet'!$E$9+1,1))-AVERAGE(OFFSET($H$3,0,0,'Données projet'!$E$9+1,1))</f>
        <v>143.12123169427508</v>
      </c>
      <c r="T89" s="59">
        <f t="shared" si="88"/>
        <v>351.98518810889152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17.589175470453537</v>
      </c>
      <c r="AA89" s="21">
        <f>EXP(-LN(2)/25)*AA88+(1-EXP(-LN(2)/25))/(LN(2)/25)*Calculateur!V89*Calculateur!X89*VLOOKUP('Données projet'!$B$9,Paramètres!$A$1:$I$89,3,0)*0.475*44/12</f>
        <v>9.3033632114059728</v>
      </c>
      <c r="AB89" s="21">
        <f>EXP(-LN(2)/2)*AB88+(1-EXP(-LN(2)/2))/(LN(2)/2)*V89*Y89*VLOOKUP('Données projet'!$B$9,Paramètres!$A$1:$I$89,3,0)*0.475*44/12</f>
        <v>1.6230115591328072E-7</v>
      </c>
      <c r="AC89" s="22">
        <f t="shared" si="57"/>
        <v>26.892538844160665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5.4</v>
      </c>
      <c r="AI89" s="13">
        <f>IF('Données projet'!$A$62&gt;35,AI88+AH89-AQ88,IF(A89&lt;'Données projet'!$A$62,$AF$205^A89,IF(A89='Données projet'!$A$62,'Données projet'!$B$62,AI88+AH89-AQ88)))</f>
        <v>253.39999999999992</v>
      </c>
      <c r="AJ89" s="13">
        <f>AI89*VLOOKUP('Données projet'!$B$10,Paramètres!$A$1:$I$89,3,0)*VLOOKUP('Données projet'!$B$10,Paramètres!$A$1:$I$89,5,0)</f>
        <v>256.94759999999991</v>
      </c>
      <c r="AK89" s="13">
        <f t="shared" si="89"/>
        <v>62.071283104858246</v>
      </c>
      <c r="AL89" s="20">
        <f t="shared" si="58"/>
        <v>555.62455474096134</v>
      </c>
      <c r="AM89" s="59">
        <f t="shared" si="59"/>
        <v>848.95788807429471</v>
      </c>
      <c r="AN89" s="59">
        <f ca="1">AVERAGE(OFFSET($AM$3,0,0,'Données projet'!$E$10+1,1))-AVERAGE(OFFSET($H$3,0,0,'Données projet'!$E$10+1,1))</f>
        <v>280.88930300426705</v>
      </c>
      <c r="AO89" s="59">
        <f t="shared" si="90"/>
        <v>166.95395852420467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1">
        <f t="shared" si="86"/>
        <v>18.122655666579583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67">
        <f t="shared" si="56"/>
        <v>435.99508861929246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6.7984728957526396E-14</v>
      </c>
      <c r="P90" s="13">
        <f t="shared" si="87"/>
        <v>1.0682447123141398E-12</v>
      </c>
      <c r="Q90" s="20">
        <f t="shared" si="54"/>
        <v>1.978932943548152E-12</v>
      </c>
      <c r="R90" s="59">
        <f t="shared" si="55"/>
        <v>293.3333333333353</v>
      </c>
      <c r="S90" s="59">
        <f ca="1">AVERAGE(OFFSET($R$3,0,0,'Données projet'!$E$9+1,1))-AVERAGE(OFFSET($H$3,0,0,'Données projet'!$E$9+1,1))</f>
        <v>143.12123169427508</v>
      </c>
      <c r="T90" s="59">
        <f t="shared" si="88"/>
        <v>351.98518810889152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17.244262467815645</v>
      </c>
      <c r="AA90" s="21">
        <f>EXP(-LN(2)/25)*AA89+(1-EXP(-LN(2)/25))/(LN(2)/25)*Calculateur!V90*Calculateur!X90*VLOOKUP('Données projet'!$B$9,Paramètres!$A$1:$I$89,3,0)*0.475*44/12</f>
        <v>9.0489622551474689</v>
      </c>
      <c r="AB90" s="21">
        <f>EXP(-LN(2)/2)*AB89+(1-EXP(-LN(2)/2))/(LN(2)/2)*V90*Y90*VLOOKUP('Données projet'!$B$9,Paramètres!$A$1:$I$89,3,0)*0.475*44/12</f>
        <v>1.1476424794069594E-7</v>
      </c>
      <c r="AC90" s="22">
        <f t="shared" si="57"/>
        <v>26.293224837727362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5.4</v>
      </c>
      <c r="AI90" s="13">
        <f>IF('Données projet'!$A$62&gt;35,AI89+AH90-AQ89,IF(A90&lt;'Données projet'!$A$62,$AF$205^A90,IF(A90='Données projet'!$A$62,'Données projet'!$B$62,AI89+AH90-AQ89)))</f>
        <v>258.7999999999999</v>
      </c>
      <c r="AJ90" s="13">
        <f>AI90*VLOOKUP('Données projet'!$B$10,Paramètres!$A$1:$I$89,3,0)*VLOOKUP('Données projet'!$B$10,Paramètres!$A$1:$I$89,5,0)</f>
        <v>262.42319999999989</v>
      </c>
      <c r="AK90" s="13">
        <f t="shared" si="89"/>
        <v>63.238627062047733</v>
      </c>
      <c r="AL90" s="20">
        <f t="shared" si="58"/>
        <v>567.19434879973289</v>
      </c>
      <c r="AM90" s="59">
        <f t="shared" si="59"/>
        <v>860.52768213306626</v>
      </c>
      <c r="AN90" s="59">
        <f ca="1">AVERAGE(OFFSET($AM$3,0,0,'Données projet'!$E$10+1,1))-AVERAGE(OFFSET($H$3,0,0,'Données projet'!$E$10+1,1))</f>
        <v>280.88930300426705</v>
      </c>
      <c r="AO90" s="59">
        <f t="shared" si="90"/>
        <v>166.95395852420467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1">
        <f t="shared" si="86"/>
        <v>18.30659258412695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67">
        <f t="shared" si="56"/>
        <v>437.59243541735412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6.7984728957526396E-14</v>
      </c>
      <c r="P91" s="13">
        <f t="shared" si="87"/>
        <v>1.0682447123141398E-12</v>
      </c>
      <c r="Q91" s="20">
        <f t="shared" si="54"/>
        <v>1.978932943548152E-12</v>
      </c>
      <c r="R91" s="59">
        <f t="shared" si="55"/>
        <v>293.3333333333353</v>
      </c>
      <c r="S91" s="59">
        <f ca="1">AVERAGE(OFFSET($R$3,0,0,'Données projet'!$E$9+1,1))-AVERAGE(OFFSET($H$3,0,0,'Données projet'!$E$9+1,1))</f>
        <v>143.12123169427508</v>
      </c>
      <c r="T91" s="59">
        <f t="shared" si="88"/>
        <v>351.98518810889152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16.906112998783325</v>
      </c>
      <c r="AA91" s="21">
        <f>EXP(-LN(2)/25)*AA90+(1-EXP(-LN(2)/25))/(LN(2)/25)*Calculateur!V91*Calculateur!X91*VLOOKUP('Données projet'!$B$9,Paramètres!$A$1:$I$89,3,0)*0.475*44/12</f>
        <v>8.8015179064162172</v>
      </c>
      <c r="AB91" s="21">
        <f>EXP(-LN(2)/2)*AB90+(1-EXP(-LN(2)/2))/(LN(2)/2)*V91*Y91*VLOOKUP('Données projet'!$B$9,Paramètres!$A$1:$I$89,3,0)*0.475*44/12</f>
        <v>8.1150577956640371E-8</v>
      </c>
      <c r="AC91" s="22">
        <f t="shared" si="57"/>
        <v>25.707630986350122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5.4</v>
      </c>
      <c r="AI91" s="13">
        <f>IF('Données projet'!$A$62&gt;35,AI90+AH91-AQ90,IF(A91&lt;'Données projet'!$A$62,$AF$205^A91,IF(A91='Données projet'!$A$62,'Données projet'!$B$62,AI90+AH91-AQ90)))</f>
        <v>264.19999999999987</v>
      </c>
      <c r="AJ91" s="13">
        <f>AI91*VLOOKUP('Données projet'!$B$10,Paramètres!$A$1:$I$89,3,0)*VLOOKUP('Données projet'!$B$10,Paramètres!$A$1:$I$89,5,0)</f>
        <v>267.89879999999988</v>
      </c>
      <c r="AK91" s="13">
        <f t="shared" si="89"/>
        <v>64.403139057834508</v>
      </c>
      <c r="AL91" s="20">
        <f t="shared" si="58"/>
        <v>578.75921052572812</v>
      </c>
      <c r="AM91" s="59">
        <f t="shared" si="59"/>
        <v>872.09254385906138</v>
      </c>
      <c r="AN91" s="59">
        <f ca="1">AVERAGE(OFFSET($AM$3,0,0,'Données projet'!$E$10+1,1))-AVERAGE(OFFSET($H$3,0,0,'Données projet'!$E$10+1,1))</f>
        <v>280.88930300426705</v>
      </c>
      <c r="AO91" s="59">
        <f t="shared" si="90"/>
        <v>166.95395852420467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1">
        <f t="shared" si="86"/>
        <v>18.490286358600777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67">
        <f t="shared" si="56"/>
        <v>439.1893587412294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6.7984728957526396E-14</v>
      </c>
      <c r="P92" s="13">
        <f t="shared" si="87"/>
        <v>1.0682447123141398E-12</v>
      </c>
      <c r="Q92" s="20">
        <f t="shared" si="54"/>
        <v>1.978932943548152E-12</v>
      </c>
      <c r="R92" s="59">
        <f t="shared" si="55"/>
        <v>293.3333333333353</v>
      </c>
      <c r="S92" s="59">
        <f ca="1">AVERAGE(OFFSET($R$3,0,0,'Données projet'!$E$9+1,1))-AVERAGE(OFFSET($H$3,0,0,'Données projet'!$E$9+1,1))</f>
        <v>143.12123169427508</v>
      </c>
      <c r="T92" s="59">
        <f t="shared" si="88"/>
        <v>351.98518810889152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16.574594434587915</v>
      </c>
      <c r="AA92" s="21">
        <f>EXP(-LN(2)/25)*AA91+(1-EXP(-LN(2)/25))/(LN(2)/25)*Calculateur!V92*Calculateur!X92*VLOOKUP('Données projet'!$B$9,Paramètres!$A$1:$I$89,3,0)*0.475*44/12</f>
        <v>8.5608399364135543</v>
      </c>
      <c r="AB92" s="21">
        <f>EXP(-LN(2)/2)*AB91+(1-EXP(-LN(2)/2))/(LN(2)/2)*V92*Y92*VLOOKUP('Données projet'!$B$9,Paramètres!$A$1:$I$89,3,0)*0.475*44/12</f>
        <v>5.7382123970347974E-8</v>
      </c>
      <c r="AC92" s="22">
        <f t="shared" si="57"/>
        <v>25.135434428383594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5.4</v>
      </c>
      <c r="AI92" s="13">
        <f>IF('Données projet'!$A$62&gt;35,AI91+AH92-AQ91,IF(A92&lt;'Données projet'!$A$62,$AF$205^A92,IF(A92='Données projet'!$A$62,'Données projet'!$B$62,AI91+AH92-AQ91)))</f>
        <v>269.59999999999985</v>
      </c>
      <c r="AJ92" s="13">
        <f>AI92*VLOOKUP('Données projet'!$B$10,Paramètres!$A$1:$I$89,3,0)*VLOOKUP('Données projet'!$B$10,Paramètres!$A$1:$I$89,5,0)</f>
        <v>273.37439999999987</v>
      </c>
      <c r="AK92" s="13">
        <f t="shared" si="89"/>
        <v>65.564883644654373</v>
      </c>
      <c r="AL92" s="20">
        <f t="shared" si="58"/>
        <v>590.3192523477727</v>
      </c>
      <c r="AM92" s="59">
        <f t="shared" si="59"/>
        <v>883.65258568110607</v>
      </c>
      <c r="AN92" s="59">
        <f ca="1">AVERAGE(OFFSET($AM$3,0,0,'Données projet'!$E$10+1,1))-AVERAGE(OFFSET($H$3,0,0,'Données projet'!$E$10+1,1))</f>
        <v>280.88930300426705</v>
      </c>
      <c r="AO92" s="59">
        <f t="shared" si="90"/>
        <v>166.95395852420467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1">
        <f t="shared" si="86"/>
        <v>18.673740038079401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67">
        <f t="shared" si="56"/>
        <v>440.78586389965466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6.7984728957526396E-14</v>
      </c>
      <c r="P93" s="13">
        <f t="shared" si="87"/>
        <v>1.0682447123141398E-12</v>
      </c>
      <c r="Q93" s="20">
        <f t="shared" si="54"/>
        <v>1.978932943548152E-12</v>
      </c>
      <c r="R93" s="59">
        <f t="shared" si="55"/>
        <v>293.3333333333353</v>
      </c>
      <c r="S93" s="59">
        <f ca="1">AVERAGE(OFFSET($R$3,0,0,'Données projet'!$E$9+1,1))-AVERAGE(OFFSET($H$3,0,0,'Données projet'!$E$9+1,1))</f>
        <v>143.12123169427508</v>
      </c>
      <c r="T93" s="59">
        <f t="shared" si="88"/>
        <v>351.98518810889152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16.249576747230019</v>
      </c>
      <c r="AA93" s="21">
        <f>EXP(-LN(2)/25)*AA92+(1-EXP(-LN(2)/25))/(LN(2)/25)*Calculateur!V93*Calculateur!X93*VLOOKUP('Données projet'!$B$9,Paramètres!$A$1:$I$89,3,0)*0.475*44/12</f>
        <v>8.3267433181573196</v>
      </c>
      <c r="AB93" s="21">
        <f>EXP(-LN(2)/2)*AB92+(1-EXP(-LN(2)/2))/(LN(2)/2)*V93*Y93*VLOOKUP('Données projet'!$B$9,Paramètres!$A$1:$I$89,3,0)*0.475*44/12</f>
        <v>4.0575288978320192E-8</v>
      </c>
      <c r="AC93" s="22">
        <f t="shared" si="57"/>
        <v>24.57632010596263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275</v>
      </c>
      <c r="AG93" s="12">
        <f>VLOOKUP(A93,'Données projet'!$A$61:$I$81,9,0)</f>
        <v>5.4</v>
      </c>
      <c r="AH93" s="12">
        <f t="array" ref="AH93">INDEX(AG:AG,MIN(IF(ISNUMBER(AG93:AG289),ROW(AG93:AG289),"")))</f>
        <v>5.4</v>
      </c>
      <c r="AI93" s="13">
        <f>IF('Données projet'!$A$62&gt;35,AI92+AH93-AQ92,IF(A93&lt;'Données projet'!$A$62,$AF$205^A93,IF(A93='Données projet'!$A$62,'Données projet'!$B$62,AI92+AH93-AQ92)))</f>
        <v>274.99999999999983</v>
      </c>
      <c r="AJ93" s="13">
        <f>AI93*VLOOKUP('Données projet'!$B$10,Paramètres!$A$1:$I$89,3,0)*VLOOKUP('Données projet'!$B$10,Paramètres!$A$1:$I$89,5,0)</f>
        <v>278.84999999999985</v>
      </c>
      <c r="AK93" s="13">
        <f t="shared" si="89"/>
        <v>66.723922641152967</v>
      </c>
      <c r="AL93" s="20">
        <f t="shared" si="58"/>
        <v>601.87458193334112</v>
      </c>
      <c r="AM93" s="59">
        <f t="shared" si="59"/>
        <v>895.20791526667449</v>
      </c>
      <c r="AN93" s="59">
        <f ca="1">AVERAGE(OFFSET($AM$3,0,0,'Données projet'!$E$10+1,1))-AVERAGE(OFFSET($H$3,0,0,'Données projet'!$E$10+1,1))</f>
        <v>280.88930300426705</v>
      </c>
      <c r="AO93" s="59">
        <f t="shared" si="90"/>
        <v>166.95395852420467</v>
      </c>
      <c r="AP93" s="15">
        <f>IF(ISNA(VLOOKUP(A93,'Données projet'!$A$61:$I$81,3,0)),0,VLOOKUP(A93,'Données projet'!$A$61:$I$81,3,0))</f>
        <v>14</v>
      </c>
      <c r="AQ93" s="15">
        <f>IF(ISNA(VLOOKUP(A93,'Données projet'!$A$61:$I$81,4,0)),0,VLOOKUP(A93,'Données projet'!$A$61:$I$81,4,0))</f>
        <v>21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1">
        <f t="shared" si="86"/>
        <v>18.85695659900588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67">
        <f t="shared" si="56"/>
        <v>442.38195607660163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6.7984728957526396E-14</v>
      </c>
      <c r="P94" s="13">
        <f t="shared" si="87"/>
        <v>1.0682447123141398E-12</v>
      </c>
      <c r="Q94" s="20">
        <f t="shared" si="54"/>
        <v>1.978932943548152E-12</v>
      </c>
      <c r="R94" s="59">
        <f t="shared" si="55"/>
        <v>293.3333333333353</v>
      </c>
      <c r="S94" s="59">
        <f ca="1">AVERAGE(OFFSET($R$3,0,0,'Données projet'!$E$9+1,1))-AVERAGE(OFFSET($H$3,0,0,'Données projet'!$E$9+1,1))</f>
        <v>143.12123169427508</v>
      </c>
      <c r="T94" s="59">
        <f t="shared" si="88"/>
        <v>351.98518810889152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15.930932458479999</v>
      </c>
      <c r="AA94" s="21">
        <f>EXP(-LN(2)/25)*AA93+(1-EXP(-LN(2)/25))/(LN(2)/25)*Calculateur!V94*Calculateur!X94*VLOOKUP('Données projet'!$B$9,Paramètres!$A$1:$I$89,3,0)*0.475*44/12</f>
        <v>8.0990480842379071</v>
      </c>
      <c r="AB94" s="21">
        <f>EXP(-LN(2)/2)*AB93+(1-EXP(-LN(2)/2))/(LN(2)/2)*V94*Y94*VLOOKUP('Données projet'!$B$9,Paramètres!$A$1:$I$89,3,0)*0.475*44/12</f>
        <v>2.869106198517399E-8</v>
      </c>
      <c r="AC94" s="22">
        <f t="shared" si="57"/>
        <v>24.02998057140897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</v>
      </c>
      <c r="AI94" s="13">
        <f>IF('Données projet'!$A$62&gt;35,AI93+AH94-AQ93,IF(A94&lt;'Données projet'!$A$62,$AF$205^A94,IF(A94='Données projet'!$A$62,'Données projet'!$B$62,AI93+AH94-AQ93)))</f>
        <v>258.99999999999983</v>
      </c>
      <c r="AJ94" s="13">
        <f>AI94*VLOOKUP('Données projet'!$B$10,Paramètres!$A$1:$I$89,3,0)*VLOOKUP('Données projet'!$B$10,Paramètres!$A$1:$I$89,5,0)</f>
        <v>262.62599999999986</v>
      </c>
      <c r="AK94" s="13">
        <f t="shared" si="89"/>
        <v>63.281807230823397</v>
      </c>
      <c r="AL94" s="20">
        <f t="shared" si="58"/>
        <v>567.62276426035044</v>
      </c>
      <c r="AM94" s="59">
        <f t="shared" si="59"/>
        <v>860.95609759368381</v>
      </c>
      <c r="AN94" s="59">
        <f ca="1">AVERAGE(OFFSET($AM$3,0,0,'Données projet'!$E$10+1,1))-AVERAGE(OFFSET($H$3,0,0,'Données projet'!$E$10+1,1))</f>
        <v>280.88930300426705</v>
      </c>
      <c r="AO94" s="59">
        <f t="shared" si="90"/>
        <v>166.95395852420467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1">
        <f t="shared" si="86"/>
        <v>19.03993894863974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67">
        <f t="shared" si="56"/>
        <v>443.97764033554722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6.7984728957526396E-14</v>
      </c>
      <c r="P95" s="13">
        <f t="shared" si="87"/>
        <v>1.0682447123141398E-12</v>
      </c>
      <c r="Q95" s="20">
        <f t="shared" si="54"/>
        <v>1.978932943548152E-12</v>
      </c>
      <c r="R95" s="59">
        <f t="shared" si="55"/>
        <v>293.3333333333353</v>
      </c>
      <c r="S95" s="59">
        <f ca="1">AVERAGE(OFFSET($R$3,0,0,'Données projet'!$E$9+1,1))-AVERAGE(OFFSET($H$3,0,0,'Données projet'!$E$9+1,1))</f>
        <v>143.12123169427508</v>
      </c>
      <c r="T95" s="59">
        <f t="shared" si="88"/>
        <v>351.98518810889152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15.618536589878541</v>
      </c>
      <c r="AA95" s="21">
        <f>EXP(-LN(2)/25)*AA94+(1-EXP(-LN(2)/25))/(LN(2)/25)*Calculateur!V95*Calculateur!X95*VLOOKUP('Données projet'!$B$9,Paramètres!$A$1:$I$89,3,0)*0.475*44/12</f>
        <v>7.8775791884639936</v>
      </c>
      <c r="AB95" s="21">
        <f>EXP(-LN(2)/2)*AB94+(1-EXP(-LN(2)/2))/(LN(2)/2)*V95*Y95*VLOOKUP('Données projet'!$B$9,Paramètres!$A$1:$I$89,3,0)*0.475*44/12</f>
        <v>2.0287644489160099E-8</v>
      </c>
      <c r="AC95" s="22">
        <f t="shared" si="57"/>
        <v>23.496115798630179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</v>
      </c>
      <c r="AI95" s="13">
        <f>IF('Données projet'!$A$62&gt;35,AI94+AH95-AQ94,IF(A95&lt;'Données projet'!$A$62,$AF$205^A95,IF(A95='Données projet'!$A$62,'Données projet'!$B$62,AI94+AH95-AQ94)))</f>
        <v>263.99999999999983</v>
      </c>
      <c r="AJ95" s="13">
        <f>AI95*VLOOKUP('Données projet'!$B$10,Paramètres!$A$1:$I$89,3,0)*VLOOKUP('Données projet'!$B$10,Paramètres!$A$1:$I$89,5,0)</f>
        <v>267.69599999999986</v>
      </c>
      <c r="AK95" s="13">
        <f t="shared" si="89"/>
        <v>64.360058723585439</v>
      </c>
      <c r="AL95" s="20">
        <f t="shared" si="58"/>
        <v>578.33096894357766</v>
      </c>
      <c r="AM95" s="59">
        <f t="shared" si="59"/>
        <v>871.66430227691103</v>
      </c>
      <c r="AN95" s="59">
        <f ca="1">AVERAGE(OFFSET($AM$3,0,0,'Données projet'!$E$10+1,1))-AVERAGE(OFFSET($H$3,0,0,'Données projet'!$E$10+1,1))</f>
        <v>280.88930300426705</v>
      </c>
      <c r="AO95" s="59">
        <f t="shared" si="90"/>
        <v>166.95395852420467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1">
        <f t="shared" si="86"/>
        <v>19.222689927399379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67">
        <f t="shared" si="56"/>
        <v>445.57292162355361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6.7984728957526396E-14</v>
      </c>
      <c r="P96" s="13">
        <f t="shared" si="87"/>
        <v>1.0682447123141398E-12</v>
      </c>
      <c r="Q96" s="20">
        <f t="shared" si="54"/>
        <v>1.978932943548152E-12</v>
      </c>
      <c r="R96" s="59">
        <f t="shared" si="55"/>
        <v>293.3333333333353</v>
      </c>
      <c r="S96" s="59">
        <f ca="1">AVERAGE(OFFSET($R$3,0,0,'Données projet'!$E$9+1,1))-AVERAGE(OFFSET($H$3,0,0,'Données projet'!$E$9+1,1))</f>
        <v>143.12123169427508</v>
      </c>
      <c r="T96" s="59">
        <f t="shared" si="88"/>
        <v>351.98518810889152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15.312266613717693</v>
      </c>
      <c r="AA96" s="21">
        <f>EXP(-LN(2)/25)*AA95+(1-EXP(-LN(2)/25))/(LN(2)/25)*Calculateur!V96*Calculateur!X96*VLOOKUP('Données projet'!$B$9,Paramètres!$A$1:$I$89,3,0)*0.475*44/12</f>
        <v>7.6621663712915611</v>
      </c>
      <c r="AB96" s="21">
        <f>EXP(-LN(2)/2)*AB95+(1-EXP(-LN(2)/2))/(LN(2)/2)*V96*Y96*VLOOKUP('Données projet'!$B$9,Paramètres!$A$1:$I$89,3,0)*0.475*44/12</f>
        <v>1.4345530992586999E-8</v>
      </c>
      <c r="AC96" s="22">
        <f t="shared" si="57"/>
        <v>22.974432999354786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5</v>
      </c>
      <c r="AI96" s="13">
        <f>IF('Données projet'!$A$62&gt;35,AI95+AH96-AQ95,IF(A96&lt;'Données projet'!$A$62,$AF$205^A96,IF(A96='Données projet'!$A$62,'Données projet'!$B$62,AI95+AH96-AQ95)))</f>
        <v>268.99999999999983</v>
      </c>
      <c r="AJ96" s="13">
        <f>AI96*VLOOKUP('Données projet'!$B$10,Paramètres!$A$1:$I$89,3,0)*VLOOKUP('Données projet'!$B$10,Paramètres!$A$1:$I$89,5,0)</f>
        <v>272.76599999999985</v>
      </c>
      <c r="AK96" s="13">
        <f t="shared" si="89"/>
        <v>65.43593563008757</v>
      </c>
      <c r="AL96" s="20">
        <f t="shared" si="58"/>
        <v>589.03503788906892</v>
      </c>
      <c r="AM96" s="59">
        <f t="shared" si="59"/>
        <v>882.36837122240217</v>
      </c>
      <c r="AN96" s="59">
        <f ca="1">AVERAGE(OFFSET($AM$3,0,0,'Données projet'!$E$10+1,1))-AVERAGE(OFFSET($H$3,0,0,'Données projet'!$E$10+1,1))</f>
        <v>280.88930300426705</v>
      </c>
      <c r="AO96" s="59">
        <f t="shared" si="90"/>
        <v>166.95395852420467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1">
        <f t="shared" si="86"/>
        <v>19.405212311100474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67">
        <f t="shared" si="56"/>
        <v>447.16780477516636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6.7984728957526396E-14</v>
      </c>
      <c r="P97" s="13">
        <f t="shared" si="87"/>
        <v>1.0682447123141398E-12</v>
      </c>
      <c r="Q97" s="20">
        <f t="shared" si="54"/>
        <v>1.978932943548152E-12</v>
      </c>
      <c r="R97" s="59">
        <f t="shared" si="55"/>
        <v>293.3333333333353</v>
      </c>
      <c r="S97" s="59">
        <f ca="1">AVERAGE(OFFSET($R$3,0,0,'Données projet'!$E$9+1,1))-AVERAGE(OFFSET($H$3,0,0,'Données projet'!$E$9+1,1))</f>
        <v>143.12123169427508</v>
      </c>
      <c r="T97" s="59">
        <f t="shared" si="88"/>
        <v>351.98518810889152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15.012002404983118</v>
      </c>
      <c r="AA97" s="21">
        <f>EXP(-LN(2)/25)*AA96+(1-EXP(-LN(2)/25))/(LN(2)/25)*Calculateur!V97*Calculateur!X97*VLOOKUP('Données projet'!$B$9,Paramètres!$A$1:$I$89,3,0)*0.475*44/12</f>
        <v>7.4526440289327756</v>
      </c>
      <c r="AB97" s="21">
        <f>EXP(-LN(2)/2)*AB96+(1-EXP(-LN(2)/2))/(LN(2)/2)*V97*Y97*VLOOKUP('Données projet'!$B$9,Paramètres!$A$1:$I$89,3,0)*0.475*44/12</f>
        <v>1.0143822244580051E-8</v>
      </c>
      <c r="AC97" s="22">
        <f t="shared" si="57"/>
        <v>22.464646444059717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</v>
      </c>
      <c r="AI97" s="13">
        <f>IF('Données projet'!$A$62&gt;35,AI96+AH97-AQ96,IF(A97&lt;'Données projet'!$A$62,$AF$205^A97,IF(A97='Données projet'!$A$62,'Données projet'!$B$62,AI96+AH97-AQ96)))</f>
        <v>273.99999999999983</v>
      </c>
      <c r="AJ97" s="13">
        <f>AI97*VLOOKUP('Données projet'!$B$10,Paramètres!$A$1:$I$89,3,0)*VLOOKUP('Données projet'!$B$10,Paramètres!$A$1:$I$89,5,0)</f>
        <v>277.83599999999984</v>
      </c>
      <c r="AK97" s="13">
        <f t="shared" si="89"/>
        <v>66.509487177652261</v>
      </c>
      <c r="AL97" s="20">
        <f t="shared" si="58"/>
        <v>599.73505683441078</v>
      </c>
      <c r="AM97" s="59">
        <f t="shared" si="59"/>
        <v>893.06839016774416</v>
      </c>
      <c r="AN97" s="59">
        <f ca="1">AVERAGE(OFFSET($AM$3,0,0,'Données projet'!$E$10+1,1))-AVERAGE(OFFSET($H$3,0,0,'Données projet'!$E$10+1,1))</f>
        <v>280.88930300426705</v>
      </c>
      <c r="AO97" s="59">
        <f t="shared" si="90"/>
        <v>166.95395852420467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1">
        <f t="shared" si="86"/>
        <v>19.58750881309674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67">
        <f t="shared" si="56"/>
        <v>448.76229451614319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6.7984728957526396E-14</v>
      </c>
      <c r="P98" s="13">
        <f t="shared" si="87"/>
        <v>1.0682447123141398E-12</v>
      </c>
      <c r="Q98" s="20">
        <f t="shared" si="54"/>
        <v>1.978932943548152E-12</v>
      </c>
      <c r="R98" s="59">
        <f t="shared" si="55"/>
        <v>293.3333333333353</v>
      </c>
      <c r="S98" s="59">
        <f ca="1">AVERAGE(OFFSET($R$3,0,0,'Données projet'!$E$9+1,1))-AVERAGE(OFFSET($H$3,0,0,'Données projet'!$E$9+1,1))</f>
        <v>143.12123169427508</v>
      </c>
      <c r="T98" s="59">
        <f t="shared" si="88"/>
        <v>351.98518810889152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14.717626194238745</v>
      </c>
      <c r="AA98" s="21">
        <f>EXP(-LN(2)/25)*AA97+(1-EXP(-LN(2)/25))/(LN(2)/25)*Calculateur!V98*Calculateur!X98*VLOOKUP('Données projet'!$B$9,Paramètres!$A$1:$I$89,3,0)*0.475*44/12</f>
        <v>7.2488510860440929</v>
      </c>
      <c r="AB98" s="21">
        <f>EXP(-LN(2)/2)*AB97+(1-EXP(-LN(2)/2))/(LN(2)/2)*V98*Y98*VLOOKUP('Données projet'!$B$9,Paramètres!$A$1:$I$89,3,0)*0.475*44/12</f>
        <v>7.1727654962935001E-9</v>
      </c>
      <c r="AC98" s="22">
        <f t="shared" si="57"/>
        <v>21.966477287455604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279</v>
      </c>
      <c r="AG98" s="12">
        <f>VLOOKUP(A98,'Données projet'!$A$61:$I$81,9,0)</f>
        <v>5</v>
      </c>
      <c r="AH98" s="12">
        <f t="array" ref="AH98">INDEX(AG:AG,MIN(IF(ISNUMBER(AG98:AG294),ROW(AG98:AG294),"")))</f>
        <v>5</v>
      </c>
      <c r="AI98" s="13">
        <f>IF('Données projet'!$A$62&gt;35,AI97+AH98-AQ97,IF(A98&lt;'Données projet'!$A$62,$AF$205^A98,IF(A98='Données projet'!$A$62,'Données projet'!$B$62,AI97+AH98-AQ97)))</f>
        <v>278.99999999999983</v>
      </c>
      <c r="AJ98" s="13">
        <f>AI98*VLOOKUP('Données projet'!$B$10,Paramètres!$A$1:$I$89,3,0)*VLOOKUP('Données projet'!$B$10,Paramètres!$A$1:$I$89,5,0)</f>
        <v>282.90599999999989</v>
      </c>
      <c r="AK98" s="13">
        <f t="shared" si="89"/>
        <v>67.580760694123455</v>
      </c>
      <c r="AL98" s="20">
        <f t="shared" si="58"/>
        <v>610.43110820893151</v>
      </c>
      <c r="AM98" s="59">
        <f t="shared" si="59"/>
        <v>903.76444154226488</v>
      </c>
      <c r="AN98" s="59">
        <f ca="1">AVERAGE(OFFSET($AM$3,0,0,'Données projet'!$E$10+1,1))-AVERAGE(OFFSET($H$3,0,0,'Données projet'!$E$10+1,1))</f>
        <v>280.88930300426705</v>
      </c>
      <c r="AO98" s="59">
        <f t="shared" si="90"/>
        <v>166.95395852420467</v>
      </c>
      <c r="AP98" s="15">
        <f>IF(ISNA(VLOOKUP(A98,'Données projet'!$A$61:$I$81,3,0)),0,VLOOKUP(A98,'Données projet'!$A$61:$I$81,3,0))</f>
        <v>15</v>
      </c>
      <c r="AQ98" s="15">
        <f>IF(ISNA(VLOOKUP(A98,'Données projet'!$A$61:$I$81,4,0)),0,VLOOKUP(A98,'Données projet'!$A$61:$I$81,4,0))</f>
        <v>21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1">
        <f t="shared" si="86"/>
        <v>19.769582086327762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67">
        <f t="shared" si="56"/>
        <v>450.35639546702049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6.7984728957526396E-14</v>
      </c>
      <c r="P99" s="13">
        <f t="shared" si="87"/>
        <v>1.0682447123141398E-12</v>
      </c>
      <c r="Q99" s="20">
        <f t="shared" ref="Q99:Q130" si="107">(O99+P99)*0.475*44/12</f>
        <v>1.978932943548152E-12</v>
      </c>
      <c r="R99" s="59">
        <f t="shared" si="55"/>
        <v>293.3333333333353</v>
      </c>
      <c r="S99" s="59">
        <f ca="1">AVERAGE(OFFSET($R$3,0,0,'Données projet'!$E$9+1,1))-AVERAGE(OFFSET($H$3,0,0,'Données projet'!$E$9+1,1))</f>
        <v>143.12123169427508</v>
      </c>
      <c r="T99" s="59">
        <f t="shared" si="88"/>
        <v>351.98518810889152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14.429022521435311</v>
      </c>
      <c r="AA99" s="21">
        <f>EXP(-LN(2)/25)*AA98+(1-EXP(-LN(2)/25))/(LN(2)/25)*Calculateur!V99*Calculateur!X99*VLOOKUP('Données projet'!$B$9,Paramètres!$A$1:$I$89,3,0)*0.475*44/12</f>
        <v>7.0506308718957058</v>
      </c>
      <c r="AB99" s="21">
        <f>EXP(-LN(2)/2)*AB98+(1-EXP(-LN(2)/2))/(LN(2)/2)*V99*Y99*VLOOKUP('Données projet'!$B$9,Paramètres!$A$1:$I$89,3,0)*0.475*44/12</f>
        <v>5.0719111222900265E-9</v>
      </c>
      <c r="AC99" s="22">
        <f t="shared" si="57"/>
        <v>21.479653398402927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4.8</v>
      </c>
      <c r="AI99" s="13">
        <f>IF('Données projet'!$A$62&gt;35,AI98+AH99-AQ98,IF(A99&lt;'Données projet'!$A$62,$AF$205^A99,IF(A99='Données projet'!$A$62,'Données projet'!$B$62,AI98+AH99-AQ98)))</f>
        <v>262.79999999999984</v>
      </c>
      <c r="AJ99" s="13">
        <f>AI99*VLOOKUP('Données projet'!$B$10,Paramètres!$A$1:$I$89,3,0)*VLOOKUP('Données projet'!$B$10,Paramètres!$A$1:$I$89,5,0)</f>
        <v>266.47919999999988</v>
      </c>
      <c r="AK99" s="13">
        <f t="shared" si="89"/>
        <v>64.101496824889622</v>
      </c>
      <c r="AL99" s="20">
        <f t="shared" si="58"/>
        <v>575.76138030334926</v>
      </c>
      <c r="AM99" s="59">
        <f t="shared" si="59"/>
        <v>869.09471363668263</v>
      </c>
      <c r="AN99" s="59">
        <f ca="1">AVERAGE(OFFSET($AM$3,0,0,'Données projet'!$E$10+1,1))-AVERAGE(OFFSET($H$3,0,0,'Données projet'!$E$10+1,1))</f>
        <v>280.88930300426705</v>
      </c>
      <c r="AO99" s="59">
        <f t="shared" si="90"/>
        <v>166.95395852420467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1">
        <f t="shared" si="86"/>
        <v>19.951434725279164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67">
        <f t="shared" si="56"/>
        <v>451.95011214652754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6.7984728957526396E-14</v>
      </c>
      <c r="P100" s="13">
        <f t="shared" si="87"/>
        <v>1.0682447123141398E-12</v>
      </c>
      <c r="Q100" s="20">
        <f t="shared" si="107"/>
        <v>1.978932943548152E-12</v>
      </c>
      <c r="R100" s="59">
        <f t="shared" si="55"/>
        <v>293.3333333333353</v>
      </c>
      <c r="S100" s="59">
        <f ca="1">AVERAGE(OFFSET($R$3,0,0,'Données projet'!$E$9+1,1))-AVERAGE(OFFSET($H$3,0,0,'Données projet'!$E$9+1,1))</f>
        <v>143.12123169427508</v>
      </c>
      <c r="T100" s="59">
        <f t="shared" si="88"/>
        <v>351.98518810889152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14.146078190624692</v>
      </c>
      <c r="AA100" s="21">
        <f>EXP(-LN(2)/25)*AA99+(1-EXP(-LN(2)/25))/(LN(2)/25)*Calculateur!V100*Calculateur!X100*VLOOKUP('Données projet'!$B$9,Paramètres!$A$1:$I$89,3,0)*0.475*44/12</f>
        <v>6.8578309999271543</v>
      </c>
      <c r="AB100" s="21">
        <f>EXP(-LN(2)/2)*AB99+(1-EXP(-LN(2)/2))/(LN(2)/2)*V100*Y100*VLOOKUP('Données projet'!$B$9,Paramètres!$A$1:$I$89,3,0)*0.475*44/12</f>
        <v>3.5863827481467509E-9</v>
      </c>
      <c r="AC100" s="22">
        <f t="shared" si="57"/>
        <v>21.003909194138227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4.8</v>
      </c>
      <c r="AI100" s="13">
        <f>IF('Données projet'!$A$62&gt;35,AI99+AH100-AQ99,IF(A100&lt;'Données projet'!$A$62,$AF$205^A100,IF(A100='Données projet'!$A$62,'Données projet'!$B$62,AI99+AH100-AQ99)))</f>
        <v>267.59999999999985</v>
      </c>
      <c r="AJ100" s="13">
        <f>AI100*VLOOKUP('Données projet'!$B$10,Paramètres!$A$1:$I$89,3,0)*VLOOKUP('Données projet'!$B$10,Paramètres!$A$1:$I$89,5,0)</f>
        <v>271.34639999999985</v>
      </c>
      <c r="AK100" s="13">
        <f t="shared" si="89"/>
        <v>65.134926573557308</v>
      </c>
      <c r="AL100" s="20">
        <f t="shared" si="58"/>
        <v>586.03831044894537</v>
      </c>
      <c r="AM100" s="59">
        <f t="shared" si="59"/>
        <v>879.37164378227862</v>
      </c>
      <c r="AN100" s="59">
        <f ca="1">AVERAGE(OFFSET($AM$3,0,0,'Données projet'!$E$10+1,1))-AVERAGE(OFFSET($H$3,0,0,'Données projet'!$E$10+1,1))</f>
        <v>280.88930300426705</v>
      </c>
      <c r="AO100" s="59">
        <f t="shared" si="90"/>
        <v>166.95395852420467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1">
        <f t="shared" si="86"/>
        <v>20.133069267859618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67">
        <f t="shared" si="56"/>
        <v>453.54344897485515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6.7984728957526396E-14</v>
      </c>
      <c r="P101" s="13">
        <f t="shared" si="87"/>
        <v>1.0682447123141398E-12</v>
      </c>
      <c r="Q101" s="20">
        <f t="shared" si="107"/>
        <v>1.978932943548152E-12</v>
      </c>
      <c r="R101" s="59">
        <f t="shared" si="55"/>
        <v>293.3333333333353</v>
      </c>
      <c r="S101" s="59">
        <f ca="1">AVERAGE(OFFSET($R$3,0,0,'Données projet'!$E$9+1,1))-AVERAGE(OFFSET($H$3,0,0,'Données projet'!$E$9+1,1))</f>
        <v>143.12123169427508</v>
      </c>
      <c r="T101" s="59">
        <f t="shared" si="88"/>
        <v>351.98518810889152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13.868682225562269</v>
      </c>
      <c r="AA101" s="21">
        <f>EXP(-LN(2)/25)*AA100+(1-EXP(-LN(2)/25))/(LN(2)/25)*Calculateur!V101*Calculateur!X101*VLOOKUP('Données projet'!$B$9,Paramètres!$A$1:$I$89,3,0)*0.475*44/12</f>
        <v>6.6703032505964881</v>
      </c>
      <c r="AB101" s="21">
        <f>EXP(-LN(2)/2)*AB100+(1-EXP(-LN(2)/2))/(LN(2)/2)*V101*Y101*VLOOKUP('Données projet'!$B$9,Paramètres!$A$1:$I$89,3,0)*0.475*44/12</f>
        <v>2.5359555611450137E-9</v>
      </c>
      <c r="AC101" s="22">
        <f t="shared" si="57"/>
        <v>20.538985478694713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4.8</v>
      </c>
      <c r="AI101" s="13">
        <f>IF('Données projet'!$A$62&gt;35,AI100+AH101-AQ100,IF(A101&lt;'Données projet'!$A$62,$AF$205^A101,IF(A101='Données projet'!$A$62,'Données projet'!$B$62,AI100+AH101-AQ100)))</f>
        <v>272.39999999999986</v>
      </c>
      <c r="AJ101" s="13">
        <f>AI101*VLOOKUP('Données projet'!$B$10,Paramètres!$A$1:$I$89,3,0)*VLOOKUP('Données projet'!$B$10,Paramètres!$A$1:$I$89,5,0)</f>
        <v>276.21359999999987</v>
      </c>
      <c r="AK101" s="13">
        <f t="shared" si="89"/>
        <v>66.166200760877416</v>
      </c>
      <c r="AL101" s="20">
        <f t="shared" si="58"/>
        <v>596.31148632519455</v>
      </c>
      <c r="AM101" s="59">
        <f t="shared" si="59"/>
        <v>889.64481965852792</v>
      </c>
      <c r="AN101" s="59">
        <f ca="1">AVERAGE(OFFSET($AM$3,0,0,'Données projet'!$E$10+1,1))-AVERAGE(OFFSET($H$3,0,0,'Données projet'!$E$10+1,1))</f>
        <v>280.88930300426705</v>
      </c>
      <c r="AO101" s="59">
        <f t="shared" si="90"/>
        <v>166.95395852420467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1">
        <f t="shared" si="86"/>
        <v>20.314488197199012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67">
        <f t="shared" si="56"/>
        <v>455.13641027678796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6.7984728957526396E-14</v>
      </c>
      <c r="P102" s="13">
        <f t="shared" si="87"/>
        <v>1.0682447123141398E-12</v>
      </c>
      <c r="Q102" s="20">
        <f t="shared" si="107"/>
        <v>1.978932943548152E-12</v>
      </c>
      <c r="R102" s="59">
        <f t="shared" si="55"/>
        <v>293.3333333333353</v>
      </c>
      <c r="S102" s="59">
        <f ca="1">AVERAGE(OFFSET($R$3,0,0,'Données projet'!$E$9+1,1))-AVERAGE(OFFSET($H$3,0,0,'Données projet'!$E$9+1,1))</f>
        <v>143.12123169427508</v>
      </c>
      <c r="T102" s="59">
        <f t="shared" si="88"/>
        <v>351.98518810889152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13.596725826179888</v>
      </c>
      <c r="AA102" s="21">
        <f>EXP(-LN(2)/25)*AA101+(1-EXP(-LN(2)/25))/(LN(2)/25)*Calculateur!V102*Calculateur!X102*VLOOKUP('Données projet'!$B$9,Paramètres!$A$1:$I$89,3,0)*0.475*44/12</f>
        <v>6.4879034574329246</v>
      </c>
      <c r="AB102" s="21">
        <f>EXP(-LN(2)/2)*AB101+(1-EXP(-LN(2)/2))/(LN(2)/2)*V102*Y102*VLOOKUP('Données projet'!$B$9,Paramètres!$A$1:$I$89,3,0)*0.475*44/12</f>
        <v>1.7931913740733756E-9</v>
      </c>
      <c r="AC102" s="22">
        <f t="shared" si="57"/>
        <v>20.084629285406006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4.8</v>
      </c>
      <c r="AI102" s="13">
        <f>IF('Données projet'!$A$62&gt;35,AI101+AH102-AQ101,IF(A102&lt;'Données projet'!$A$62,$AF$205^A102,IF(A102='Données projet'!$A$62,'Données projet'!$B$62,AI101+AH102-AQ101)))</f>
        <v>277.19999999999987</v>
      </c>
      <c r="AJ102" s="13">
        <f>AI102*VLOOKUP('Données projet'!$B$10,Paramètres!$A$1:$I$89,3,0)*VLOOKUP('Données projet'!$B$10,Paramètres!$A$1:$I$89,5,0)</f>
        <v>281.0807999999999</v>
      </c>
      <c r="AK102" s="13">
        <f t="shared" si="89"/>
        <v>67.19536175254612</v>
      </c>
      <c r="AL102" s="20">
        <f t="shared" si="58"/>
        <v>606.58098171901759</v>
      </c>
      <c r="AM102" s="59">
        <f t="shared" si="59"/>
        <v>899.91431505235096</v>
      </c>
      <c r="AN102" s="59">
        <f ca="1">AVERAGE(OFFSET($AM$3,0,0,'Données projet'!$E$10+1,1))-AVERAGE(OFFSET($H$3,0,0,'Données projet'!$E$10+1,1))</f>
        <v>280.88930300426705</v>
      </c>
      <c r="AO102" s="59">
        <f t="shared" si="90"/>
        <v>166.95395852420467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1">
        <f t="shared" si="86"/>
        <v>20.495693943372022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67">
        <f t="shared" si="56"/>
        <v>456.72900028470588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6.7984728957526396E-14</v>
      </c>
      <c r="P103" s="13">
        <f t="shared" si="87"/>
        <v>1.0682447123141398E-12</v>
      </c>
      <c r="Q103" s="20">
        <f t="shared" si="107"/>
        <v>1.978932943548152E-12</v>
      </c>
      <c r="R103" s="59">
        <f t="shared" si="55"/>
        <v>293.3333333333353</v>
      </c>
      <c r="S103" s="59">
        <f ca="1">AVERAGE(OFFSET($R$3,0,0,'Données projet'!$E$9+1,1))-AVERAGE(OFFSET($H$3,0,0,'Données projet'!$E$9+1,1))</f>
        <v>143.12123169427508</v>
      </c>
      <c r="T103" s="59">
        <f t="shared" si="88"/>
        <v>351.98518810889152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13.330102325912371</v>
      </c>
      <c r="AA103" s="21">
        <f>EXP(-LN(2)/25)*AA102+(1-EXP(-LN(2)/25))/(LN(2)/25)*Calculateur!V103*Calculateur!X103*VLOOKUP('Données projet'!$B$9,Paramètres!$A$1:$I$89,3,0)*0.475*44/12</f>
        <v>6.310491396205407</v>
      </c>
      <c r="AB103" s="21">
        <f>EXP(-LN(2)/2)*AB102+(1-EXP(-LN(2)/2))/(LN(2)/2)*V103*Y103*VLOOKUP('Données projet'!$B$9,Paramètres!$A$1:$I$89,3,0)*0.475*44/12</f>
        <v>1.267977780572507E-9</v>
      </c>
      <c r="AC103" s="22">
        <f t="shared" si="57"/>
        <v>19.640593723385756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282</v>
      </c>
      <c r="AG103" s="12">
        <f>VLOOKUP(A103,'Données projet'!$A$61:$I$81,9,0)</f>
        <v>4.8</v>
      </c>
      <c r="AH103" s="12">
        <f t="array" ref="AH103">INDEX(AG:AG,MIN(IF(ISNUMBER(AG103:AG299),ROW(AG103:AG299),"")))</f>
        <v>4.8</v>
      </c>
      <c r="AI103" s="13">
        <f>IF('Données projet'!$A$62&gt;35,AI102+AH103-AQ102,IF(A103&lt;'Données projet'!$A$62,$AF$205^A103,IF(A103='Données projet'!$A$62,'Données projet'!$B$62,AI102+AH103-AQ102)))</f>
        <v>281.99999999999989</v>
      </c>
      <c r="AJ103" s="13">
        <f>AI103*VLOOKUP('Données projet'!$B$10,Paramètres!$A$1:$I$89,3,0)*VLOOKUP('Données projet'!$B$10,Paramètres!$A$1:$I$89,5,0)</f>
        <v>285.94799999999992</v>
      </c>
      <c r="AK103" s="13">
        <f t="shared" si="89"/>
        <v>68.222450362989377</v>
      </c>
      <c r="AL103" s="20">
        <f t="shared" si="58"/>
        <v>616.84686771553959</v>
      </c>
      <c r="AM103" s="59">
        <f t="shared" si="59"/>
        <v>910.18020104887296</v>
      </c>
      <c r="AN103" s="59">
        <f ca="1">AVERAGE(OFFSET($AM$3,0,0,'Données projet'!$E$10+1,1))-AVERAGE(OFFSET($H$3,0,0,'Données projet'!$E$10+1,1))</f>
        <v>280.88930300426705</v>
      </c>
      <c r="AO103" s="59">
        <f t="shared" si="90"/>
        <v>166.95395852420467</v>
      </c>
      <c r="AP103" s="15">
        <f>IF(ISNA(VLOOKUP(A103,'Données projet'!$A$61:$I$81,3,0)),0,VLOOKUP(A103,'Données projet'!$A$61:$I$81,3,0))</f>
        <v>16</v>
      </c>
      <c r="AQ103" s="15">
        <f>IF(ISNA(VLOOKUP(A103,'Données projet'!$A$61:$I$81,4,0)),0,VLOOKUP(A103,'Données projet'!$A$61:$I$81,4,0))</f>
        <v>21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1">
        <f t="shared" si="86"/>
        <v>20.676688885050506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67">
        <f t="shared" si="56"/>
        <v>458.32122314146261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143.12123169427508</v>
      </c>
      <c r="T104" s="59">
        <f t="shared" si="88"/>
        <v>351.98518810889152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13.068707149860822</v>
      </c>
      <c r="AA104" s="21">
        <f>EXP(-LN(2)/25)*AA103+(1-EXP(-LN(2)/25))/(LN(2)/25)*Calculateur!V104*Calculateur!X104*VLOOKUP('Données projet'!$B$9,Paramètres!$A$1:$I$89,3,0)*0.475*44/12</f>
        <v>6.13793067712185</v>
      </c>
      <c r="AB104" s="21">
        <f>EXP(-LN(2)/2)*AB103+(1-EXP(-LN(2)/2))/(LN(2)/2)*V104*Y104*VLOOKUP('Données projet'!$B$9,Paramètres!$A$1:$I$89,3,0)*0.475*44/12</f>
        <v>8.9659568703668793E-10</v>
      </c>
      <c r="AC104" s="22">
        <f t="shared" si="57"/>
        <v>19.206637827879266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4.5999999999999996</v>
      </c>
      <c r="AI104" s="13">
        <f>IF('Données projet'!$A$62&gt;35,AI103+AH104-AQ103,IF(A104&lt;'Données projet'!$A$62,$AF$205^A104,IF(A104='Données projet'!$A$62,'Données projet'!$B$62,AI103+AH104-AQ103)))</f>
        <v>265.59999999999991</v>
      </c>
      <c r="AJ104" s="13">
        <f>AI104*VLOOKUP('Données projet'!$B$10,Paramètres!$A$1:$I$89,3,0)*VLOOKUP('Données projet'!$B$10,Paramètres!$A$1:$I$89,5,0)</f>
        <v>269.31839999999994</v>
      </c>
      <c r="AK104" s="13">
        <f t="shared" si="89"/>
        <v>64.70459529265311</v>
      </c>
      <c r="AL104" s="20">
        <f t="shared" si="58"/>
        <v>581.75671680137077</v>
      </c>
      <c r="AM104" s="59">
        <f t="shared" si="59"/>
        <v>875.09005013470414</v>
      </c>
      <c r="AN104" s="59">
        <f ca="1">AVERAGE(OFFSET($AM$3,0,0,'Données projet'!$E$10+1,1))-AVERAGE(OFFSET($H$3,0,0,'Données projet'!$E$10+1,1))</f>
        <v>280.88930300426705</v>
      </c>
      <c r="AO104" s="59">
        <f t="shared" si="90"/>
        <v>166.95395852420467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1">
        <f t="shared" si="86"/>
        <v>20.857475351088922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67">
        <f t="shared" si="56"/>
        <v>459.91308290314612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143.12123169427508</v>
      </c>
      <c r="T105" s="59">
        <f t="shared" si="88"/>
        <v>351.98518810889152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12.812437773776329</v>
      </c>
      <c r="AA105" s="21">
        <f>EXP(-LN(2)/25)*AA104+(1-EXP(-LN(2)/25))/(LN(2)/25)*Calculateur!V105*Calculateur!X105*VLOOKUP('Données projet'!$B$9,Paramètres!$A$1:$I$89,3,0)*0.475*44/12</f>
        <v>5.9700886399762068</v>
      </c>
      <c r="AB105" s="21">
        <f>EXP(-LN(2)/2)*AB104+(1-EXP(-LN(2)/2))/(LN(2)/2)*V105*Y105*VLOOKUP('Données projet'!$B$9,Paramètres!$A$1:$I$89,3,0)*0.475*44/12</f>
        <v>6.3398889028625362E-10</v>
      </c>
      <c r="AC105" s="22">
        <f t="shared" si="57"/>
        <v>18.782526414386524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4.5999999999999996</v>
      </c>
      <c r="AI105" s="13">
        <f>IF('Données projet'!$A$62&gt;35,AI104+AH105-AQ104,IF(A105&lt;'Données projet'!$A$62,$AF$205^A105,IF(A105='Données projet'!$A$62,'Données projet'!$B$62,AI104+AH105-AQ104)))</f>
        <v>270.19999999999993</v>
      </c>
      <c r="AJ105" s="13">
        <f>AI105*VLOOKUP('Données projet'!$B$10,Paramètres!$A$1:$I$89,3,0)*VLOOKUP('Données projet'!$B$10,Paramètres!$A$1:$I$89,5,0)</f>
        <v>273.98279999999994</v>
      </c>
      <c r="AK105" s="13">
        <f t="shared" si="89"/>
        <v>65.693798259477774</v>
      </c>
      <c r="AL105" s="20">
        <f t="shared" si="58"/>
        <v>591.6034086352571</v>
      </c>
      <c r="AM105" s="59">
        <f t="shared" si="59"/>
        <v>884.93674196859047</v>
      </c>
      <c r="AN105" s="59">
        <f ca="1">AVERAGE(OFFSET($AM$3,0,0,'Données projet'!$E$10+1,1))-AVERAGE(OFFSET($H$3,0,0,'Données projet'!$E$10+1,1))</f>
        <v>280.88930300426705</v>
      </c>
      <c r="AO105" s="59">
        <f t="shared" si="90"/>
        <v>166.95395852420467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1">
        <f t="shared" si="86"/>
        <v>21.038055622045484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67">
        <f t="shared" si="56"/>
        <v>461.50458354172883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143.12123169427508</v>
      </c>
      <c r="T106" s="59">
        <f t="shared" si="88"/>
        <v>351.98518810889152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12.561193683847968</v>
      </c>
      <c r="AA106" s="21">
        <f>EXP(-LN(2)/25)*AA105+(1-EXP(-LN(2)/25))/(LN(2)/25)*Calculateur!V106*Calculateur!X106*VLOOKUP('Données projet'!$B$9,Paramètres!$A$1:$I$89,3,0)*0.475*44/12</f>
        <v>5.806836252162741</v>
      </c>
      <c r="AB106" s="21">
        <f>EXP(-LN(2)/2)*AB105+(1-EXP(-LN(2)/2))/(LN(2)/2)*V106*Y106*VLOOKUP('Données projet'!$B$9,Paramètres!$A$1:$I$89,3,0)*0.475*44/12</f>
        <v>4.4829784351834407E-10</v>
      </c>
      <c r="AC106" s="22">
        <f t="shared" si="57"/>
        <v>18.368029936459006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4.5999999999999996</v>
      </c>
      <c r="AI106" s="13">
        <f>IF('Données projet'!$A$62&gt;35,AI105+AH106-AQ105,IF(A106&lt;'Données projet'!$A$62,$AF$205^A106,IF(A106='Données projet'!$A$62,'Données projet'!$B$62,AI105+AH106-AQ105)))</f>
        <v>274.79999999999995</v>
      </c>
      <c r="AJ106" s="13">
        <f>AI106*VLOOKUP('Données projet'!$B$10,Paramètres!$A$1:$I$89,3,0)*VLOOKUP('Données projet'!$B$10,Paramètres!$A$1:$I$89,5,0)</f>
        <v>278.6472</v>
      </c>
      <c r="AK106" s="13">
        <f t="shared" si="89"/>
        <v>66.681042819901123</v>
      </c>
      <c r="AL106" s="20">
        <f t="shared" si="58"/>
        <v>601.44668957799445</v>
      </c>
      <c r="AM106" s="59">
        <f t="shared" si="59"/>
        <v>894.78002291132771</v>
      </c>
      <c r="AN106" s="59">
        <f ca="1">AVERAGE(OFFSET($AM$3,0,0,'Données projet'!$E$10+1,1))-AVERAGE(OFFSET($H$3,0,0,'Données projet'!$E$10+1,1))</f>
        <v>280.88930300426705</v>
      </c>
      <c r="AO106" s="59">
        <f t="shared" si="90"/>
        <v>166.95395852420467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1">
        <f t="shared" si="86"/>
        <v>21.21843193164279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67">
        <f t="shared" si="56"/>
        <v>463.09572894761084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143.12123169427508</v>
      </c>
      <c r="T107" s="59">
        <f t="shared" si="88"/>
        <v>351.98518810889152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12.314876337279339</v>
      </c>
      <c r="AA107" s="21">
        <f>EXP(-LN(2)/25)*AA106+(1-EXP(-LN(2)/25))/(LN(2)/25)*Calculateur!V107*Calculateur!X107*VLOOKUP('Données projet'!$B$9,Paramètres!$A$1:$I$89,3,0)*0.475*44/12</f>
        <v>5.6480480094791039</v>
      </c>
      <c r="AB107" s="21">
        <f>EXP(-LN(2)/2)*AB106+(1-EXP(-LN(2)/2))/(LN(2)/2)*V107*Y107*VLOOKUP('Données projet'!$B$9,Paramètres!$A$1:$I$89,3,0)*0.475*44/12</f>
        <v>3.1699444514312686E-10</v>
      </c>
      <c r="AC107" s="22">
        <f t="shared" si="57"/>
        <v>17.962924347075436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4.5999999999999996</v>
      </c>
      <c r="AI107" s="13">
        <f>IF('Données projet'!$A$62&gt;35,AI106+AH107-AQ106,IF(A107&lt;'Données projet'!$A$62,$AF$205^A107,IF(A107='Données projet'!$A$62,'Données projet'!$B$62,AI106+AH107-AQ106)))</f>
        <v>279.39999999999998</v>
      </c>
      <c r="AJ107" s="13">
        <f>AI107*VLOOKUP('Données projet'!$B$10,Paramètres!$A$1:$I$89,3,0)*VLOOKUP('Données projet'!$B$10,Paramètres!$A$1:$I$89,5,0)</f>
        <v>283.3116</v>
      </c>
      <c r="AK107" s="13">
        <f t="shared" si="89"/>
        <v>67.666365540271272</v>
      </c>
      <c r="AL107" s="20">
        <f t="shared" si="58"/>
        <v>611.28662331597241</v>
      </c>
      <c r="AM107" s="59">
        <f t="shared" si="59"/>
        <v>904.61995664930578</v>
      </c>
      <c r="AN107" s="59">
        <f ca="1">AVERAGE(OFFSET($AM$3,0,0,'Données projet'!$E$10+1,1))-AVERAGE(OFFSET($H$3,0,0,'Données projet'!$E$10+1,1))</f>
        <v>280.88930300426705</v>
      </c>
      <c r="AO107" s="59">
        <f t="shared" si="90"/>
        <v>166.95395852420467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1">
        <f t="shared" si="86"/>
        <v>21.398606468170534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67">
        <f t="shared" si="56"/>
        <v>464.68652293206327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143.12123169427508</v>
      </c>
      <c r="T108" s="59">
        <f t="shared" si="88"/>
        <v>351.98518810889152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12.073389123638174</v>
      </c>
      <c r="AA108" s="21">
        <f>EXP(-LN(2)/25)*AA107+(1-EXP(-LN(2)/25))/(LN(2)/25)*Calculateur!V108*Calculateur!X108*VLOOKUP('Données projet'!$B$9,Paramètres!$A$1:$I$89,3,0)*0.475*44/12</f>
        <v>5.4936018396419621</v>
      </c>
      <c r="AB108" s="21">
        <f>EXP(-LN(2)/2)*AB107+(1-EXP(-LN(2)/2))/(LN(2)/2)*V108*Y108*VLOOKUP('Données projet'!$B$9,Paramètres!$A$1:$I$89,3,0)*0.475*44/12</f>
        <v>2.2414892175917206E-10</v>
      </c>
      <c r="AC108" s="22">
        <f t="shared" si="57"/>
        <v>17.566990963504285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284</v>
      </c>
      <c r="AG108" s="12">
        <f>VLOOKUP(A108,'Données projet'!$A$61:$I$81,9,0)</f>
        <v>4.5999999999999996</v>
      </c>
      <c r="AH108" s="12">
        <f t="array" ref="AH108">INDEX(AG:AG,MIN(IF(ISNUMBER(AG108:AG304),ROW(AG108:AG304),"")))</f>
        <v>4.5999999999999996</v>
      </c>
      <c r="AI108" s="13">
        <f>IF('Données projet'!$A$62&gt;35,AI107+AH108-AQ107,IF(A108&lt;'Données projet'!$A$62,$AF$205^A108,IF(A108='Données projet'!$A$62,'Données projet'!$B$62,AI107+AH108-AQ107)))</f>
        <v>284</v>
      </c>
      <c r="AJ108" s="13">
        <f>AI108*VLOOKUP('Données projet'!$B$10,Paramètres!$A$1:$I$89,3,0)*VLOOKUP('Données projet'!$B$10,Paramètres!$A$1:$I$89,5,0)</f>
        <v>287.976</v>
      </c>
      <c r="AK108" s="13">
        <f t="shared" si="89"/>
        <v>68.649801713863141</v>
      </c>
      <c r="AL108" s="20">
        <f t="shared" si="58"/>
        <v>621.12327131831159</v>
      </c>
      <c r="AM108" s="59">
        <f t="shared" si="59"/>
        <v>914.45660465164497</v>
      </c>
      <c r="AN108" s="59">
        <f ca="1">AVERAGE(OFFSET($AM$3,0,0,'Données projet'!$E$10+1,1))-AVERAGE(OFFSET($H$3,0,0,'Données projet'!$E$10+1,1))</f>
        <v>280.88930300426705</v>
      </c>
      <c r="AO108" s="59">
        <f t="shared" si="90"/>
        <v>166.95395852420467</v>
      </c>
      <c r="AP108" s="15">
        <f>IF(ISNA(VLOOKUP(A108,'Données projet'!$A$61:$I$81,3,0)),0,VLOOKUP(A108,'Données projet'!$A$61:$I$81,3,0))</f>
        <v>17</v>
      </c>
      <c r="AQ108" s="15">
        <f>IF(ISNA(VLOOKUP(A108,'Données projet'!$A$61:$I$81,4,0)),0,VLOOKUP(A108,'Données projet'!$A$61:$I$81,4,0))</f>
        <v>20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1">
        <f t="shared" si="86"/>
        <v>21.578581375833281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67">
        <f t="shared" si="56"/>
        <v>466.27696922957591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143.12123169427508</v>
      </c>
      <c r="T109" s="59">
        <f t="shared" si="88"/>
        <v>351.98518810889152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11.836637326963857</v>
      </c>
      <c r="AA109" s="21">
        <f>EXP(-LN(2)/25)*AA108+(1-EXP(-LN(2)/25))/(LN(2)/25)*Calculateur!V109*Calculateur!X109*VLOOKUP('Données projet'!$B$9,Paramètres!$A$1:$I$89,3,0)*0.475*44/12</f>
        <v>5.343379008440988</v>
      </c>
      <c r="AB109" s="21">
        <f>EXP(-LN(2)/2)*AB108+(1-EXP(-LN(2)/2))/(LN(2)/2)*V109*Y109*VLOOKUP('Données projet'!$B$9,Paramètres!$A$1:$I$89,3,0)*0.475*44/12</f>
        <v>1.5849722257156346E-10</v>
      </c>
      <c r="AC109" s="22">
        <f t="shared" si="57"/>
        <v>17.180016335563341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4.2</v>
      </c>
      <c r="AI109" s="13">
        <f>IF('Données projet'!$A$62&gt;35,AI108+AH109-AQ108,IF(A109&lt;'Données projet'!$A$62,$AF$205^A109,IF(A109='Données projet'!$A$62,'Données projet'!$B$62,AI108+AH109-AQ108)))</f>
        <v>268.2</v>
      </c>
      <c r="AJ109" s="13">
        <f>AI109*VLOOKUP('Données projet'!$B$10,Paramètres!$A$1:$I$89,3,0)*VLOOKUP('Données projet'!$B$10,Paramètres!$A$1:$I$89,5,0)</f>
        <v>271.95480000000003</v>
      </c>
      <c r="AK109" s="13">
        <f t="shared" si="89"/>
        <v>65.263952845017442</v>
      </c>
      <c r="AL109" s="20">
        <f t="shared" si="58"/>
        <v>587.322661205072</v>
      </c>
      <c r="AM109" s="59">
        <f t="shared" si="59"/>
        <v>880.65599453840537</v>
      </c>
      <c r="AN109" s="59">
        <f ca="1">AVERAGE(OFFSET($AM$3,0,0,'Données projet'!$E$10+1,1))-AVERAGE(OFFSET($H$3,0,0,'Données projet'!$E$10+1,1))</f>
        <v>280.88930300426705</v>
      </c>
      <c r="AO109" s="59">
        <f t="shared" si="90"/>
        <v>166.95395852420467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1">
        <f t="shared" si="86"/>
        <v>21.758358756045919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67">
        <f t="shared" si="56"/>
        <v>467.86707150011296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143.12123169427508</v>
      </c>
      <c r="T110" s="59">
        <f t="shared" si="88"/>
        <v>351.98518810889152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11.604528088617984</v>
      </c>
      <c r="AA110" s="21">
        <f>EXP(-LN(2)/25)*AA109+(1-EXP(-LN(2)/25))/(LN(2)/25)*Calculateur!V110*Calculateur!X110*VLOOKUP('Données projet'!$B$9,Paramètres!$A$1:$I$89,3,0)*0.475*44/12</f>
        <v>5.1972640284590792</v>
      </c>
      <c r="AB110" s="21">
        <f>EXP(-LN(2)/2)*AB109+(1-EXP(-LN(2)/2))/(LN(2)/2)*V110*Y110*VLOOKUP('Données projet'!$B$9,Paramètres!$A$1:$I$89,3,0)*0.475*44/12</f>
        <v>1.1207446087958606E-10</v>
      </c>
      <c r="AC110" s="22">
        <f t="shared" si="57"/>
        <v>16.801792117189137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4.2</v>
      </c>
      <c r="AI110" s="13">
        <f>IF('Données projet'!$A$62&gt;35,AI109+AH110-AQ109,IF(A110&lt;'Données projet'!$A$62,$AF$205^A110,IF(A110='Données projet'!$A$62,'Données projet'!$B$62,AI109+AH110-AQ109)))</f>
        <v>272.39999999999998</v>
      </c>
      <c r="AJ110" s="13">
        <f>AI110*VLOOKUP('Données projet'!$B$10,Paramètres!$A$1:$I$89,3,0)*VLOOKUP('Données projet'!$B$10,Paramètres!$A$1:$I$89,5,0)</f>
        <v>276.21359999999999</v>
      </c>
      <c r="AK110" s="13">
        <f t="shared" si="89"/>
        <v>66.166200760877473</v>
      </c>
      <c r="AL110" s="20">
        <f t="shared" si="58"/>
        <v>596.31148632519489</v>
      </c>
      <c r="AM110" s="59">
        <f t="shared" si="59"/>
        <v>889.64481965852815</v>
      </c>
      <c r="AN110" s="59">
        <f ca="1">AVERAGE(OFFSET($AM$3,0,0,'Données projet'!$E$10+1,1))-AVERAGE(OFFSET($H$3,0,0,'Données projet'!$E$10+1,1))</f>
        <v>280.88930300426705</v>
      </c>
      <c r="AO110" s="59">
        <f t="shared" si="90"/>
        <v>166.95395852420467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1">
        <f t="shared" si="86"/>
        <v>21.937940668679364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67">
        <f t="shared" si="56"/>
        <v>469.45683333128278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143.12123169427508</v>
      </c>
      <c r="T111" s="59">
        <f t="shared" si="88"/>
        <v>351.98518810889152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11.376970370863418</v>
      </c>
      <c r="AA111" s="21">
        <f>EXP(-LN(2)/25)*AA110+(1-EXP(-LN(2)/25))/(LN(2)/25)*Calculateur!V111*Calculateur!X111*VLOOKUP('Données projet'!$B$9,Paramètres!$A$1:$I$89,3,0)*0.475*44/12</f>
        <v>5.0551445702886291</v>
      </c>
      <c r="AB111" s="21">
        <f>EXP(-LN(2)/2)*AB110+(1-EXP(-LN(2)/2))/(LN(2)/2)*V111*Y111*VLOOKUP('Données projet'!$B$9,Paramètres!$A$1:$I$89,3,0)*0.475*44/12</f>
        <v>7.9248611285781742E-11</v>
      </c>
      <c r="AC111" s="22">
        <f t="shared" si="57"/>
        <v>16.432114941231298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4.2</v>
      </c>
      <c r="AI111" s="13">
        <f>IF('Données projet'!$A$62&gt;35,AI110+AH111-AQ110,IF(A111&lt;'Données projet'!$A$62,$AF$205^A111,IF(A111='Données projet'!$A$62,'Données projet'!$B$62,AI110+AH111-AQ110)))</f>
        <v>276.59999999999997</v>
      </c>
      <c r="AJ111" s="13">
        <f>AI111*VLOOKUP('Données projet'!$B$10,Paramètres!$A$1:$I$89,3,0)*VLOOKUP('Données projet'!$B$10,Paramètres!$A$1:$I$89,5,0)</f>
        <v>280.47239999999999</v>
      </c>
      <c r="AK111" s="13">
        <f t="shared" si="89"/>
        <v>67.066830784504006</v>
      </c>
      <c r="AL111" s="20">
        <f t="shared" si="58"/>
        <v>605.29749361634447</v>
      </c>
      <c r="AM111" s="59">
        <f t="shared" si="59"/>
        <v>898.63082694967784</v>
      </c>
      <c r="AN111" s="59">
        <f ca="1">AVERAGE(OFFSET($AM$3,0,0,'Données projet'!$E$10+1,1))-AVERAGE(OFFSET($H$3,0,0,'Données projet'!$E$10+1,1))</f>
        <v>280.88930300426705</v>
      </c>
      <c r="AO111" s="59">
        <f t="shared" si="90"/>
        <v>166.95395852420467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1">
        <f t="shared" si="86"/>
        <v>22.117329133258693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67">
        <f t="shared" si="56"/>
        <v>471.04625824042512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143.12123169427508</v>
      </c>
      <c r="T112" s="59">
        <f t="shared" si="88"/>
        <v>351.98518810889152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11.153874921157517</v>
      </c>
      <c r="AA112" s="21">
        <f>EXP(-LN(2)/25)*AA111+(1-EXP(-LN(2)/25))/(LN(2)/25)*Calculateur!V112*Calculateur!X112*VLOOKUP('Données projet'!$B$9,Paramètres!$A$1:$I$89,3,0)*0.475*44/12</f>
        <v>4.9169113761755874</v>
      </c>
      <c r="AB112" s="21">
        <f>EXP(-LN(2)/2)*AB111+(1-EXP(-LN(2)/2))/(LN(2)/2)*V112*Y112*VLOOKUP('Données projet'!$B$9,Paramètres!$A$1:$I$89,3,0)*0.475*44/12</f>
        <v>5.6037230439793034E-11</v>
      </c>
      <c r="AC112" s="22">
        <f t="shared" si="57"/>
        <v>16.070786297389141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4.2</v>
      </c>
      <c r="AI112" s="13">
        <f>IF('Données projet'!$A$62&gt;35,AI111+AH112-AQ111,IF(A112&lt;'Données projet'!$A$62,$AF$205^A112,IF(A112='Données projet'!$A$62,'Données projet'!$B$62,AI111+AH112-AQ111)))</f>
        <v>280.79999999999995</v>
      </c>
      <c r="AJ112" s="13">
        <f>AI112*VLOOKUP('Données projet'!$B$10,Paramètres!$A$1:$I$89,3,0)*VLOOKUP('Données projet'!$B$10,Paramètres!$A$1:$I$89,5,0)</f>
        <v>284.7312</v>
      </c>
      <c r="AK112" s="13">
        <f t="shared" si="89"/>
        <v>67.96587032005101</v>
      </c>
      <c r="AL112" s="20">
        <f t="shared" si="58"/>
        <v>614.28073080742217</v>
      </c>
      <c r="AM112" s="59">
        <f t="shared" si="59"/>
        <v>907.61406414075554</v>
      </c>
      <c r="AN112" s="59">
        <f ca="1">AVERAGE(OFFSET($AM$3,0,0,'Données projet'!$E$10+1,1))-AVERAGE(OFFSET($H$3,0,0,'Données projet'!$E$10+1,1))</f>
        <v>280.88930300426705</v>
      </c>
      <c r="AO112" s="59">
        <f t="shared" si="90"/>
        <v>166.95395852420467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1">
        <f t="shared" si="86"/>
        <v>22.296526130116188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67">
        <f t="shared" si="56"/>
        <v>472.6353496766186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143.12123169427508</v>
      </c>
      <c r="T113" s="59">
        <f t="shared" si="88"/>
        <v>351.98518810889152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10.935154237145561</v>
      </c>
      <c r="AA113" s="21">
        <f>EXP(-LN(2)/25)*AA112+(1-EXP(-LN(2)/25))/(LN(2)/25)*Calculateur!V113*Calculateur!X113*VLOOKUP('Données projet'!$B$9,Paramètres!$A$1:$I$89,3,0)*0.475*44/12</f>
        <v>4.7824581760249343</v>
      </c>
      <c r="AB113" s="21">
        <f>EXP(-LN(2)/2)*AB112+(1-EXP(-LN(2)/2))/(LN(2)/2)*V113*Y113*VLOOKUP('Données projet'!$B$9,Paramètres!$A$1:$I$89,3,0)*0.475*44/12</f>
        <v>3.9624305642890877E-11</v>
      </c>
      <c r="AC113" s="22">
        <f t="shared" si="57"/>
        <v>15.717612413210121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285</v>
      </c>
      <c r="AG113" s="12">
        <f>VLOOKUP(A113,'Données projet'!$A$61:$I$81,9,0)</f>
        <v>4.2</v>
      </c>
      <c r="AH113" s="12">
        <f t="array" ref="AH113">INDEX(AG:AG,MIN(IF(ISNUMBER(AG113:AG309),ROW(AG113:AG309),"")))</f>
        <v>4.2</v>
      </c>
      <c r="AI113" s="13">
        <f>IF('Données projet'!$A$62&gt;35,AI112+AH113-AQ112,IF(A113&lt;'Données projet'!$A$62,$AF$205^A113,IF(A113='Données projet'!$A$62,'Données projet'!$B$62,AI112+AH113-AQ112)))</f>
        <v>284.99999999999994</v>
      </c>
      <c r="AJ113" s="13">
        <f>AI113*VLOOKUP('Données projet'!$B$10,Paramètres!$A$1:$I$89,3,0)*VLOOKUP('Données projet'!$B$10,Paramètres!$A$1:$I$89,5,0)</f>
        <v>288.98999999999995</v>
      </c>
      <c r="AK113" s="13">
        <f t="shared" si="89"/>
        <v>68.863345904836791</v>
      </c>
      <c r="AL113" s="20">
        <f t="shared" si="58"/>
        <v>623.26124411759065</v>
      </c>
      <c r="AM113" s="59">
        <f t="shared" si="59"/>
        <v>916.59457745092391</v>
      </c>
      <c r="AN113" s="59">
        <f ca="1">AVERAGE(OFFSET($AM$3,0,0,'Données projet'!$E$10+1,1))-AVERAGE(OFFSET($H$3,0,0,'Données projet'!$E$10+1,1))</f>
        <v>280.88930300426705</v>
      </c>
      <c r="AO113" s="59">
        <f t="shared" si="90"/>
        <v>166.95395852420467</v>
      </c>
      <c r="AP113" s="15">
        <f>IF(ISNA(VLOOKUP(A113,'Données projet'!$A$61:$I$81,3,0)),0,VLOOKUP(A113,'Données projet'!$A$61:$I$81,3,0))</f>
        <v>18</v>
      </c>
      <c r="AQ113" s="15">
        <f>IF(ISNA(VLOOKUP(A113,'Données projet'!$A$61:$I$81,4,0)),0,VLOOKUP(A113,'Données projet'!$A$61:$I$81,4,0))</f>
        <v>19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1">
        <f t="shared" si="86"/>
        <v>22.475533601501073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67">
        <f t="shared" si="56"/>
        <v>474.2241110226139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143.12123169427508</v>
      </c>
      <c r="T114" s="59">
        <f t="shared" si="88"/>
        <v>351.98518810889152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10.720722532340634</v>
      </c>
      <c r="AA114" s="21">
        <f>EXP(-LN(2)/25)*AA113+(1-EXP(-LN(2)/25))/(LN(2)/25)*Calculateur!V114*Calculateur!X114*VLOOKUP('Données projet'!$B$9,Paramètres!$A$1:$I$89,3,0)*0.475*44/12</f>
        <v>4.6516816057029873</v>
      </c>
      <c r="AB114" s="21">
        <f>EXP(-LN(2)/2)*AB113+(1-EXP(-LN(2)/2))/(LN(2)/2)*V114*Y114*VLOOKUP('Données projet'!$B$9,Paramètres!$A$1:$I$89,3,0)*0.475*44/12</f>
        <v>2.801861521989652E-11</v>
      </c>
      <c r="AC114" s="22">
        <f t="shared" si="57"/>
        <v>15.372404138071639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3.8</v>
      </c>
      <c r="AI114" s="13">
        <f>IF('Données projet'!$A$62&gt;35,AI113+AH114-AQ113,IF(A114&lt;'Données projet'!$A$62,$AF$205^A114,IF(A114='Données projet'!$A$62,'Données projet'!$B$62,AI113+AH114-AQ113)))</f>
        <v>269.79999999999995</v>
      </c>
      <c r="AJ114" s="13">
        <f>AI114*VLOOKUP('Données projet'!$B$10,Paramètres!$A$1:$I$89,3,0)*VLOOKUP('Données projet'!$B$10,Paramètres!$A$1:$I$89,5,0)</f>
        <v>273.57719999999995</v>
      </c>
      <c r="AK114" s="13">
        <f t="shared" si="89"/>
        <v>65.60785888991505</v>
      </c>
      <c r="AL114" s="20">
        <f t="shared" si="58"/>
        <v>590.74731089993531</v>
      </c>
      <c r="AM114" s="59">
        <f t="shared" si="59"/>
        <v>884.08064423326869</v>
      </c>
      <c r="AN114" s="59">
        <f ca="1">AVERAGE(OFFSET($AM$3,0,0,'Données projet'!$E$10+1,1))-AVERAGE(OFFSET($H$3,0,0,'Données projet'!$E$10+1,1))</f>
        <v>280.88930300426705</v>
      </c>
      <c r="AO114" s="59">
        <f t="shared" si="90"/>
        <v>166.95395852420467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1">
        <f t="shared" si="86"/>
        <v>22.654353452648337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67">
        <f t="shared" si="56"/>
        <v>475.81254559669543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143.12123169427508</v>
      </c>
      <c r="T115" s="59">
        <f t="shared" si="88"/>
        <v>351.98518810889152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10.510495702476506</v>
      </c>
      <c r="AA115" s="21">
        <f>EXP(-LN(2)/25)*AA114+(1-EXP(-LN(2)/25))/(LN(2)/25)*Calculateur!V115*Calculateur!X115*VLOOKUP('Données projet'!$B$9,Paramètres!$A$1:$I$89,3,0)*0.475*44/12</f>
        <v>4.5244811275737353</v>
      </c>
      <c r="AB115" s="21">
        <f>EXP(-LN(2)/2)*AB114+(1-EXP(-LN(2)/2))/(LN(2)/2)*V115*Y115*VLOOKUP('Données projet'!$B$9,Paramètres!$A$1:$I$89,3,0)*0.475*44/12</f>
        <v>1.9812152821445439E-11</v>
      </c>
      <c r="AC115" s="22">
        <f t="shared" si="57"/>
        <v>15.034976830070052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3.8</v>
      </c>
      <c r="AI115" s="13">
        <f>IF('Données projet'!$A$62&gt;35,AI114+AH115-AQ114,IF(A115&lt;'Données projet'!$A$62,$AF$205^A115,IF(A115='Données projet'!$A$62,'Données projet'!$B$62,AI114+AH115-AQ114)))</f>
        <v>273.59999999999997</v>
      </c>
      <c r="AJ115" s="13">
        <f>AI115*VLOOKUP('Données projet'!$B$10,Paramètres!$A$1:$I$89,3,0)*VLOOKUP('Données projet'!$B$10,Paramètres!$A$1:$I$89,5,0)</f>
        <v>277.43039999999996</v>
      </c>
      <c r="AK115" s="13">
        <f t="shared" si="89"/>
        <v>66.423687500715673</v>
      </c>
      <c r="AL115" s="20">
        <f t="shared" si="58"/>
        <v>598.87920239707967</v>
      </c>
      <c r="AM115" s="59">
        <f t="shared" si="59"/>
        <v>892.21253573041304</v>
      </c>
      <c r="AN115" s="59">
        <f ca="1">AVERAGE(OFFSET($AM$3,0,0,'Données projet'!$E$10+1,1))-AVERAGE(OFFSET($H$3,0,0,'Données projet'!$E$10+1,1))</f>
        <v>280.88930300426705</v>
      </c>
      <c r="AO115" s="59">
        <f t="shared" si="90"/>
        <v>166.95395852420467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1">
        <f t="shared" si="86"/>
        <v>22.832987552808103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67">
        <f t="shared" si="56"/>
        <v>477.40065665447366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143.12123169427508</v>
      </c>
      <c r="T116" s="59">
        <f t="shared" si="88"/>
        <v>351.98518810889152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10.304391292520309</v>
      </c>
      <c r="AA116" s="21">
        <f>EXP(-LN(2)/25)*AA115+(1-EXP(-LN(2)/25))/(LN(2)/25)*Calculateur!V116*Calculateur!X116*VLOOKUP('Données projet'!$B$9,Paramètres!$A$1:$I$89,3,0)*0.475*44/12</f>
        <v>4.4007589532081095</v>
      </c>
      <c r="AB116" s="21">
        <f>EXP(-LN(2)/2)*AB115+(1-EXP(-LN(2)/2))/(LN(2)/2)*V116*Y116*VLOOKUP('Données projet'!$B$9,Paramètres!$A$1:$I$89,3,0)*0.475*44/12</f>
        <v>1.400930760994826E-11</v>
      </c>
      <c r="AC116" s="22">
        <f t="shared" si="57"/>
        <v>14.705150245742429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3.8</v>
      </c>
      <c r="AI116" s="13">
        <f>IF('Données projet'!$A$62&gt;35,AI115+AH116-AQ115,IF(A116&lt;'Données projet'!$A$62,$AF$205^A116,IF(A116='Données projet'!$A$62,'Données projet'!$B$62,AI115+AH116-AQ115)))</f>
        <v>277.39999999999998</v>
      </c>
      <c r="AJ116" s="13">
        <f>AI116*VLOOKUP('Données projet'!$B$10,Paramètres!$A$1:$I$89,3,0)*VLOOKUP('Données projet'!$B$10,Paramètres!$A$1:$I$89,5,0)</f>
        <v>281.28360000000004</v>
      </c>
      <c r="AK116" s="13">
        <f t="shared" si="89"/>
        <v>67.238198209347928</v>
      </c>
      <c r="AL116" s="20">
        <f t="shared" si="58"/>
        <v>607.00879854794766</v>
      </c>
      <c r="AM116" s="59">
        <f t="shared" si="59"/>
        <v>900.34213188128092</v>
      </c>
      <c r="AN116" s="59">
        <f ca="1">AVERAGE(OFFSET($AM$3,0,0,'Données projet'!$E$10+1,1))-AVERAGE(OFFSET($H$3,0,0,'Données projet'!$E$10+1,1))</f>
        <v>280.88930300426705</v>
      </c>
      <c r="AO116" s="59">
        <f t="shared" si="90"/>
        <v>166.95395852420467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1">
        <f t="shared" si="86"/>
        <v>23.011437736237557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67">
        <f t="shared" si="56"/>
        <v>478.98844739061326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143.12123169427508</v>
      </c>
      <c r="T117" s="59">
        <f t="shared" si="88"/>
        <v>351.98518810889152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10.102328464332077</v>
      </c>
      <c r="AA117" s="21">
        <f>EXP(-LN(2)/25)*AA116+(1-EXP(-LN(2)/25))/(LN(2)/25)*Calculateur!V117*Calculateur!X117*VLOOKUP('Données projet'!$B$9,Paramètres!$A$1:$I$89,3,0)*0.475*44/12</f>
        <v>4.2804199682067781</v>
      </c>
      <c r="AB117" s="21">
        <f>EXP(-LN(2)/2)*AB116+(1-EXP(-LN(2)/2))/(LN(2)/2)*V117*Y117*VLOOKUP('Données projet'!$B$9,Paramètres!$A$1:$I$89,3,0)*0.475*44/12</f>
        <v>9.9060764107227193E-12</v>
      </c>
      <c r="AC117" s="22">
        <f t="shared" si="57"/>
        <v>14.382748432548761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3.8</v>
      </c>
      <c r="AI117" s="13">
        <f>IF('Données projet'!$A$62&gt;35,AI116+AH117-AQ116,IF(A117&lt;'Données projet'!$A$62,$AF$205^A117,IF(A117='Données projet'!$A$62,'Données projet'!$B$62,AI116+AH117-AQ116)))</f>
        <v>281.2</v>
      </c>
      <c r="AJ117" s="13">
        <f>AI117*VLOOKUP('Données projet'!$B$10,Paramètres!$A$1:$I$89,3,0)*VLOOKUP('Données projet'!$B$10,Paramètres!$A$1:$I$89,5,0)</f>
        <v>285.13679999999999</v>
      </c>
      <c r="AK117" s="13">
        <f t="shared" si="89"/>
        <v>68.051411155895636</v>
      </c>
      <c r="AL117" s="20">
        <f t="shared" si="58"/>
        <v>615.1361344298515</v>
      </c>
      <c r="AM117" s="59">
        <f t="shared" si="59"/>
        <v>908.46946776318487</v>
      </c>
      <c r="AN117" s="59">
        <f ca="1">AVERAGE(OFFSET($AM$3,0,0,'Données projet'!$E$10+1,1))-AVERAGE(OFFSET($H$3,0,0,'Données projet'!$E$10+1,1))</f>
        <v>280.88930300426705</v>
      </c>
      <c r="AO117" s="59">
        <f t="shared" si="90"/>
        <v>166.95395852420467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1">
        <f t="shared" si="86"/>
        <v>23.189705803157189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67">
        <f t="shared" si="56"/>
        <v>480.57592094049829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143.12123169427508</v>
      </c>
      <c r="T118" s="59">
        <f t="shared" si="88"/>
        <v>351.98518810889152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9.9042279649584604</v>
      </c>
      <c r="AA118" s="21">
        <f>EXP(-LN(2)/25)*AA117+(1-EXP(-LN(2)/25))/(LN(2)/25)*Calculateur!V118*Calculateur!X118*VLOOKUP('Données projet'!$B$9,Paramètres!$A$1:$I$89,3,0)*0.475*44/12</f>
        <v>4.1633716590786607</v>
      </c>
      <c r="AB118" s="21">
        <f>EXP(-LN(2)/2)*AB117+(1-EXP(-LN(2)/2))/(LN(2)/2)*V118*Y118*VLOOKUP('Données projet'!$B$9,Paramètres!$A$1:$I$89,3,0)*0.475*44/12</f>
        <v>7.0046538049741301E-12</v>
      </c>
      <c r="AC118" s="22">
        <f t="shared" si="57"/>
        <v>14.067599624044126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>
        <f>VLOOKUP(A118,'Données projet'!$A$61:$I$81,2,0)</f>
        <v>285</v>
      </c>
      <c r="AG118" s="12">
        <f>VLOOKUP(A118,'Données projet'!$A$61:$I$81,9,0)</f>
        <v>3.8</v>
      </c>
      <c r="AH118" s="12">
        <f t="array" ref="AH118">INDEX(AG:AG,MIN(IF(ISNUMBER(AG118:AG314),ROW(AG118:AG314),"")))</f>
        <v>3.8</v>
      </c>
      <c r="AI118" s="13">
        <f>IF('Données projet'!$A$62&gt;35,AI117+AH118-AQ117,IF(A118&lt;'Données projet'!$A$62,$AF$205^A118,IF(A118='Données projet'!$A$62,'Données projet'!$B$62,AI117+AH118-AQ117)))</f>
        <v>285</v>
      </c>
      <c r="AJ118" s="13">
        <f>AI118*VLOOKUP('Données projet'!$B$10,Paramètres!$A$1:$I$89,3,0)*VLOOKUP('Données projet'!$B$10,Paramètres!$A$1:$I$89,5,0)</f>
        <v>288.99</v>
      </c>
      <c r="AK118" s="13">
        <f t="shared" si="89"/>
        <v>68.863345904836791</v>
      </c>
      <c r="AL118" s="20">
        <f t="shared" si="58"/>
        <v>623.26124411759076</v>
      </c>
      <c r="AM118" s="59">
        <f t="shared" si="59"/>
        <v>916.59457745092413</v>
      </c>
      <c r="AN118" s="59">
        <f ca="1">AVERAGE(OFFSET($AM$3,0,0,'Données projet'!$E$10+1,1))-AVERAGE(OFFSET($H$3,0,0,'Données projet'!$E$10+1,1))</f>
        <v>280.88930300426705</v>
      </c>
      <c r="AO118" s="59">
        <f t="shared" si="90"/>
        <v>166.95395852420467</v>
      </c>
      <c r="AP118" s="15">
        <f>IF(ISNA(VLOOKUP(A118,'Données projet'!$A$61:$I$81,3,0)),0,VLOOKUP(A118,'Données projet'!$A$61:$I$81,3,0))</f>
        <v>19</v>
      </c>
      <c r="AQ118" s="15">
        <f>IF(ISNA(VLOOKUP(A118,'Données projet'!$A$61:$I$81,4,0)),0,VLOOKUP(A118,'Données projet'!$A$61:$I$81,4,0))</f>
        <v>18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1">
        <f t="shared" si="86"/>
        <v>23.367793520672667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67">
        <f t="shared" si="56"/>
        <v>482.16308038183774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143.12123169427508</v>
      </c>
      <c r="T119" s="59">
        <f t="shared" si="88"/>
        <v>351.98518810889152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9.7100120955481852</v>
      </c>
      <c r="AA119" s="21">
        <f>EXP(-LN(2)/25)*AA118+(1-EXP(-LN(2)/25))/(LN(2)/25)*Calculateur!V119*Calculateur!X119*VLOOKUP('Données projet'!$B$9,Paramètres!$A$1:$I$89,3,0)*0.475*44/12</f>
        <v>4.0495240421189544</v>
      </c>
      <c r="AB119" s="21">
        <f>EXP(-LN(2)/2)*AB118+(1-EXP(-LN(2)/2))/(LN(2)/2)*V119*Y119*VLOOKUP('Données projet'!$B$9,Paramètres!$A$1:$I$89,3,0)*0.475*44/12</f>
        <v>4.9530382053613597E-12</v>
      </c>
      <c r="AC119" s="22">
        <f t="shared" si="57"/>
        <v>13.759536137672093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3.6</v>
      </c>
      <c r="AI119" s="13">
        <f>IF('Données projet'!$A$62&gt;35,AI118+AH119-AQ118,IF(A119&lt;'Données projet'!$A$62,$AF$205^A119,IF(A119='Données projet'!$A$62,'Données projet'!$B$62,AI118+AH119-AQ118)))</f>
        <v>270.60000000000002</v>
      </c>
      <c r="AJ119" s="13">
        <f>AI119*VLOOKUP('Données projet'!$B$10,Paramètres!$A$1:$I$89,3,0)*VLOOKUP('Données projet'!$B$10,Paramètres!$A$1:$I$89,5,0)</f>
        <v>274.38840000000005</v>
      </c>
      <c r="AK119" s="13">
        <f t="shared" si="89"/>
        <v>65.77972282151319</v>
      </c>
      <c r="AL119" s="20">
        <f t="shared" si="58"/>
        <v>592.45948058080216</v>
      </c>
      <c r="AM119" s="59">
        <f t="shared" si="59"/>
        <v>885.79281391413542</v>
      </c>
      <c r="AN119" s="59">
        <f ca="1">AVERAGE(OFFSET($AM$3,0,0,'Données projet'!$E$10+1,1))-AVERAGE(OFFSET($H$3,0,0,'Données projet'!$E$10+1,1))</f>
        <v>280.88930300426705</v>
      </c>
      <c r="AO119" s="59">
        <f t="shared" si="90"/>
        <v>166.95395852420467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1">
        <f t="shared" si="86"/>
        <v>23.545702623664145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67">
        <f t="shared" si="56"/>
        <v>483.7499287362146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143.12123169427508</v>
      </c>
      <c r="T120" s="59">
        <f t="shared" si="88"/>
        <v>351.98518810889152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9.5196046808770625</v>
      </c>
      <c r="AA120" s="21">
        <f>EXP(-LN(2)/25)*AA119+(1-EXP(-LN(2)/25))/(LN(2)/25)*Calculateur!V120*Calculateur!X120*VLOOKUP('Données projet'!$B$9,Paramètres!$A$1:$I$89,3,0)*0.475*44/12</f>
        <v>3.9387895942319977</v>
      </c>
      <c r="AB120" s="21">
        <f>EXP(-LN(2)/2)*AB119+(1-EXP(-LN(2)/2))/(LN(2)/2)*V120*Y120*VLOOKUP('Données projet'!$B$9,Paramètres!$A$1:$I$89,3,0)*0.475*44/12</f>
        <v>3.502326902487065E-12</v>
      </c>
      <c r="AC120" s="22">
        <f t="shared" si="57"/>
        <v>13.458394275112564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3.6</v>
      </c>
      <c r="AI120" s="13">
        <f>IF('Données projet'!$A$62&gt;35,AI119+AH120-AQ119,IF(A120&lt;'Données projet'!$A$62,$AF$205^A120,IF(A120='Données projet'!$A$62,'Données projet'!$B$62,AI119+AH120-AQ119)))</f>
        <v>274.20000000000005</v>
      </c>
      <c r="AJ120" s="13">
        <f>AI120*VLOOKUP('Données projet'!$B$10,Paramètres!$A$1:$I$89,3,0)*VLOOKUP('Données projet'!$B$10,Paramètres!$A$1:$I$89,5,0)</f>
        <v>278.03880000000009</v>
      </c>
      <c r="AK120" s="13">
        <f t="shared" si="89"/>
        <v>66.5523815477178</v>
      </c>
      <c r="AL120" s="20">
        <f t="shared" si="58"/>
        <v>600.16297452894207</v>
      </c>
      <c r="AM120" s="59">
        <f t="shared" si="59"/>
        <v>893.49630786227544</v>
      </c>
      <c r="AN120" s="59">
        <f ca="1">AVERAGE(OFFSET($AM$3,0,0,'Données projet'!$E$10+1,1))-AVERAGE(OFFSET($H$3,0,0,'Données projet'!$E$10+1,1))</f>
        <v>280.88930300426705</v>
      </c>
      <c r="AO120" s="59">
        <f t="shared" si="90"/>
        <v>166.95395852420467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1">
        <f t="shared" si="86"/>
        <v>23.72343481564414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67">
        <f t="shared" si="56"/>
        <v>485.33646897057974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143.12123169427508</v>
      </c>
      <c r="T121" s="59">
        <f t="shared" si="88"/>
        <v>351.98518810889152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9.3329310394705853</v>
      </c>
      <c r="AA121" s="21">
        <f>EXP(-LN(2)/25)*AA120+(1-EXP(-LN(2)/25))/(LN(2)/25)*Calculateur!V121*Calculateur!X121*VLOOKUP('Données projet'!$B$9,Paramètres!$A$1:$I$89,3,0)*0.475*44/12</f>
        <v>3.831083185645781</v>
      </c>
      <c r="AB121" s="21">
        <f>EXP(-LN(2)/2)*AB120+(1-EXP(-LN(2)/2))/(LN(2)/2)*V121*Y121*VLOOKUP('Données projet'!$B$9,Paramètres!$A$1:$I$89,3,0)*0.475*44/12</f>
        <v>2.4765191026806798E-12</v>
      </c>
      <c r="AC121" s="22">
        <f t="shared" si="57"/>
        <v>13.164014225118843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3.6</v>
      </c>
      <c r="AI121" s="13">
        <f>IF('Données projet'!$A$62&gt;35,AI120+AH121-AQ120,IF(A121&lt;'Données projet'!$A$62,$AF$205^A121,IF(A121='Données projet'!$A$62,'Données projet'!$B$62,AI120+AH121-AQ120)))</f>
        <v>277.80000000000007</v>
      </c>
      <c r="AJ121" s="13">
        <f>AI121*VLOOKUP('Données projet'!$B$10,Paramètres!$A$1:$I$89,3,0)*VLOOKUP('Données projet'!$B$10,Paramètres!$A$1:$I$89,5,0)</f>
        <v>281.68920000000008</v>
      </c>
      <c r="AK121" s="13">
        <f t="shared" si="89"/>
        <v>67.323860341513637</v>
      </c>
      <c r="AL121" s="20">
        <f t="shared" si="58"/>
        <v>607.86441342813634</v>
      </c>
      <c r="AM121" s="59">
        <f t="shared" si="59"/>
        <v>901.19774676146972</v>
      </c>
      <c r="AN121" s="59">
        <f ca="1">AVERAGE(OFFSET($AM$3,0,0,'Données projet'!$E$10+1,1))-AVERAGE(OFFSET($H$3,0,0,'Données projet'!$E$10+1,1))</f>
        <v>280.88930300426705</v>
      </c>
      <c r="AO121" s="59">
        <f t="shared" si="90"/>
        <v>166.95395852420467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1">
        <f t="shared" si="86"/>
        <v>23.900991769585712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67">
        <f t="shared" si="56"/>
        <v>486.92270399869466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143.12123169427508</v>
      </c>
      <c r="T122" s="59">
        <f t="shared" si="88"/>
        <v>351.98518810889152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9.1499179543124107</v>
      </c>
      <c r="AA122" s="21">
        <f>EXP(-LN(2)/25)*AA121+(1-EXP(-LN(2)/25))/(LN(2)/25)*Calculateur!V122*Calculateur!X122*VLOOKUP('Données projet'!$B$9,Paramètres!$A$1:$I$89,3,0)*0.475*44/12</f>
        <v>3.7263220144663882</v>
      </c>
      <c r="AB122" s="21">
        <f>EXP(-LN(2)/2)*AB121+(1-EXP(-LN(2)/2))/(LN(2)/2)*V122*Y122*VLOOKUP('Données projet'!$B$9,Paramètres!$A$1:$I$89,3,0)*0.475*44/12</f>
        <v>1.7511634512435325E-12</v>
      </c>
      <c r="AC122" s="22">
        <f t="shared" si="57"/>
        <v>12.876239968780551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3.6</v>
      </c>
      <c r="AI122" s="13">
        <f>IF('Données projet'!$A$62&gt;35,AI121+AH122-AQ121,IF(A122&lt;'Données projet'!$A$62,$AF$205^A122,IF(A122='Données projet'!$A$62,'Données projet'!$B$62,AI121+AH122-AQ121)))</f>
        <v>281.40000000000009</v>
      </c>
      <c r="AJ122" s="13">
        <f>AI122*VLOOKUP('Données projet'!$B$10,Paramètres!$A$1:$I$89,3,0)*VLOOKUP('Données projet'!$B$10,Paramètres!$A$1:$I$89,5,0)</f>
        <v>285.33960000000008</v>
      </c>
      <c r="AK122" s="13">
        <f t="shared" si="89"/>
        <v>68.094176261531288</v>
      </c>
      <c r="AL122" s="20">
        <f t="shared" si="58"/>
        <v>615.56382698883374</v>
      </c>
      <c r="AM122" s="59">
        <f t="shared" si="59"/>
        <v>908.89716032216711</v>
      </c>
      <c r="AN122" s="59">
        <f ca="1">AVERAGE(OFFSET($AM$3,0,0,'Données projet'!$E$10+1,1))-AVERAGE(OFFSET($H$3,0,0,'Données projet'!$E$10+1,1))</f>
        <v>280.88930300426705</v>
      </c>
      <c r="AO122" s="59">
        <f t="shared" si="90"/>
        <v>166.95395852420467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1">
        <f t="shared" si="86"/>
        <v>24.078375128721721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67">
        <f t="shared" si="56"/>
        <v>488.50863668252316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143.12123169427508</v>
      </c>
      <c r="T123" s="59">
        <f t="shared" si="88"/>
        <v>351.98518810889152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8.9704936441272292</v>
      </c>
      <c r="AA123" s="21">
        <f>EXP(-LN(2)/25)*AA122+(1-EXP(-LN(2)/25))/(LN(2)/25)*Calculateur!V123*Calculateur!X123*VLOOKUP('Données projet'!$B$9,Paramètres!$A$1:$I$89,3,0)*0.475*44/12</f>
        <v>3.6244255430220469</v>
      </c>
      <c r="AB123" s="21">
        <f>EXP(-LN(2)/2)*AB122+(1-EXP(-LN(2)/2))/(LN(2)/2)*V123*Y123*VLOOKUP('Données projet'!$B$9,Paramètres!$A$1:$I$89,3,0)*0.475*44/12</f>
        <v>1.2382595513403399E-12</v>
      </c>
      <c r="AC123" s="22">
        <f t="shared" si="57"/>
        <v>12.594919187150515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285</v>
      </c>
      <c r="AG123" s="12">
        <f>VLOOKUP(A123,'Données projet'!$A$61:$I$81,9,0)</f>
        <v>3.6</v>
      </c>
      <c r="AH123" s="12">
        <f t="array" ref="AH123">INDEX(AG:AG,MIN(IF(ISNUMBER(AG123:AG319),ROW(AG123:AG319),"")))</f>
        <v>3.6</v>
      </c>
      <c r="AI123" s="13">
        <f>IF('Données projet'!$A$62&gt;35,AI122+AH123-AQ122,IF(A123&lt;'Données projet'!$A$62,$AF$205^A123,IF(A123='Données projet'!$A$62,'Données projet'!$B$62,AI122+AH123-AQ122)))</f>
        <v>285.00000000000011</v>
      </c>
      <c r="AJ123" s="13">
        <f>AI123*VLOOKUP('Données projet'!$B$10,Paramètres!$A$1:$I$89,3,0)*VLOOKUP('Données projet'!$B$10,Paramètres!$A$1:$I$89,5,0)</f>
        <v>288.99000000000012</v>
      </c>
      <c r="AK123" s="13">
        <f t="shared" si="89"/>
        <v>68.863345904836791</v>
      </c>
      <c r="AL123" s="20">
        <f t="shared" si="58"/>
        <v>623.26124411759099</v>
      </c>
      <c r="AM123" s="59">
        <f t="shared" si="59"/>
        <v>916.59457745092436</v>
      </c>
      <c r="AN123" s="59">
        <f ca="1">AVERAGE(OFFSET($AM$3,0,0,'Données projet'!$E$10+1,1))-AVERAGE(OFFSET($H$3,0,0,'Données projet'!$E$10+1,1))</f>
        <v>280.88930300426705</v>
      </c>
      <c r="AO123" s="59">
        <f t="shared" si="90"/>
        <v>166.95395852420467</v>
      </c>
      <c r="AP123" s="15">
        <f>IF(ISNA(VLOOKUP(A123,'Données projet'!$A$61:$I$81,3,0)),0,VLOOKUP(A123,'Données projet'!$A$61:$I$81,3,0))</f>
        <v>20</v>
      </c>
      <c r="AQ123" s="15">
        <f>IF(ISNA(VLOOKUP(A123,'Données projet'!$A$61:$I$81,4,0)),0,VLOOKUP(A123,'Données projet'!$A$61:$I$81,4,0))</f>
        <v>285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1">
        <f t="shared" si="86"/>
        <v>24.255586507317027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67">
        <f t="shared" si="56"/>
        <v>490.09426983357662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143.12123169427508</v>
      </c>
      <c r="T124" s="59">
        <f t="shared" si="88"/>
        <v>351.98518810889152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8.7945877352267559</v>
      </c>
      <c r="AA124" s="21">
        <f>EXP(-LN(2)/25)*AA123+(1-EXP(-LN(2)/25))/(LN(2)/25)*Calculateur!V124*Calculateur!X124*VLOOKUP('Données projet'!$B$9,Paramètres!$A$1:$I$89,3,0)*0.475*44/12</f>
        <v>3.5253154359478533</v>
      </c>
      <c r="AB124" s="21">
        <f>EXP(-LN(2)/2)*AB123+(1-EXP(-LN(2)/2))/(LN(2)/2)*V124*Y124*VLOOKUP('Données projet'!$B$9,Paramètres!$A$1:$I$89,3,0)*0.475*44/12</f>
        <v>8.7558172562176626E-13</v>
      </c>
      <c r="AC124" s="22">
        <f t="shared" si="57"/>
        <v>12.319903171175485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1.1368683772161603E-13</v>
      </c>
      <c r="AJ124" s="13">
        <f>AI124*VLOOKUP('Données projet'!$B$10,Paramètres!$A$1:$I$89,3,0)*VLOOKUP('Données projet'!$B$10,Paramètres!$A$1:$I$89,5,0)</f>
        <v>1.1527845344971866E-13</v>
      </c>
      <c r="AK124" s="13">
        <f t="shared" si="89"/>
        <v>1.7033846239409443E-12</v>
      </c>
      <c r="AL124" s="20">
        <f t="shared" si="58"/>
        <v>3.1675048597887374E-12</v>
      </c>
      <c r="AM124" s="59">
        <f t="shared" si="59"/>
        <v>293.3333333333365</v>
      </c>
      <c r="AN124" s="59">
        <f ca="1">AVERAGE(OFFSET($AM$3,0,0,'Données projet'!$E$10+1,1))-AVERAGE(OFFSET($H$3,0,0,'Données projet'!$E$10+1,1))</f>
        <v>280.88930300426705</v>
      </c>
      <c r="AO124" s="59">
        <f t="shared" si="90"/>
        <v>166.95395852420467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1">
        <f t="shared" si="86"/>
        <v>24.432627491414117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67">
        <f t="shared" si="56"/>
        <v>491.67960621421241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143.12123169427508</v>
      </c>
      <c r="T125" s="59">
        <f t="shared" si="88"/>
        <v>351.98518810889152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8.62213123390781</v>
      </c>
      <c r="AA125" s="21">
        <f>EXP(-LN(2)/25)*AA124+(1-EXP(-LN(2)/25))/(LN(2)/25)*Calculateur!V125*Calculateur!X125*VLOOKUP('Données projet'!$B$9,Paramètres!$A$1:$I$89,3,0)*0.475*44/12</f>
        <v>3.4289154999635776</v>
      </c>
      <c r="AB125" s="21">
        <f>EXP(-LN(2)/2)*AB124+(1-EXP(-LN(2)/2))/(LN(2)/2)*V125*Y125*VLOOKUP('Données projet'!$B$9,Paramètres!$A$1:$I$89,3,0)*0.475*44/12</f>
        <v>6.1912977567016996E-13</v>
      </c>
      <c r="AC125" s="22">
        <f t="shared" si="57"/>
        <v>12.051046733872008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1.1368683772161603E-13</v>
      </c>
      <c r="AJ125" s="13">
        <f>AI125*VLOOKUP('Données projet'!$B$10,Paramètres!$A$1:$I$89,3,0)*VLOOKUP('Données projet'!$B$10,Paramètres!$A$1:$I$89,5,0)</f>
        <v>1.1527845344971866E-13</v>
      </c>
      <c r="AK125" s="13">
        <f t="shared" si="89"/>
        <v>1.7033846239409443E-12</v>
      </c>
      <c r="AL125" s="20">
        <f t="shared" si="58"/>
        <v>3.1675048597887374E-12</v>
      </c>
      <c r="AM125" s="59">
        <f t="shared" si="59"/>
        <v>293.3333333333365</v>
      </c>
      <c r="AN125" s="59">
        <f ca="1">AVERAGE(OFFSET($AM$3,0,0,'Données projet'!$E$10+1,1))-AVERAGE(OFFSET($H$3,0,0,'Données projet'!$E$10+1,1))</f>
        <v>280.88930300426705</v>
      </c>
      <c r="AO125" s="59">
        <f t="shared" si="90"/>
        <v>166.95395852420467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1">
        <f t="shared" si="86"/>
        <v>24.609499639553714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67">
        <f t="shared" si="56"/>
        <v>493.26464853888888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143.12123169427508</v>
      </c>
      <c r="T126" s="59">
        <f t="shared" si="88"/>
        <v>351.98518810889152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8.4530564993916499</v>
      </c>
      <c r="AA126" s="21">
        <f>EXP(-LN(2)/25)*AA125+(1-EXP(-LN(2)/25))/(LN(2)/25)*Calculateur!V126*Calculateur!X126*VLOOKUP('Données projet'!$B$9,Paramètres!$A$1:$I$89,3,0)*0.475*44/12</f>
        <v>3.3351516252982445</v>
      </c>
      <c r="AB126" s="21">
        <f>EXP(-LN(2)/2)*AB125+(1-EXP(-LN(2)/2))/(LN(2)/2)*V126*Y126*VLOOKUP('Données projet'!$B$9,Paramètres!$A$1:$I$89,3,0)*0.475*44/12</f>
        <v>4.3779086281088313E-13</v>
      </c>
      <c r="AC126" s="22">
        <f t="shared" si="57"/>
        <v>11.788208124690332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1.1368683772161603E-13</v>
      </c>
      <c r="AJ126" s="13">
        <f>AI126*VLOOKUP('Données projet'!$B$10,Paramètres!$A$1:$I$89,3,0)*VLOOKUP('Données projet'!$B$10,Paramètres!$A$1:$I$89,5,0)</f>
        <v>1.1527845344971866E-13</v>
      </c>
      <c r="AK126" s="13">
        <f t="shared" si="89"/>
        <v>1.7033846239409443E-12</v>
      </c>
      <c r="AL126" s="20">
        <f t="shared" si="58"/>
        <v>3.1675048597887374E-12</v>
      </c>
      <c r="AM126" s="59">
        <f t="shared" si="59"/>
        <v>293.3333333333365</v>
      </c>
      <c r="AN126" s="59">
        <f ca="1">AVERAGE(OFFSET($AM$3,0,0,'Données projet'!$E$10+1,1))-AVERAGE(OFFSET($H$3,0,0,'Données projet'!$E$10+1,1))</f>
        <v>280.88930300426705</v>
      </c>
      <c r="AO126" s="59">
        <f t="shared" si="90"/>
        <v>166.95395852420467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1">
        <f t="shared" si="86"/>
        <v>24.786204483471373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67">
        <f t="shared" si="56"/>
        <v>494.84939947537879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143.12123169427508</v>
      </c>
      <c r="T127" s="59">
        <f t="shared" si="88"/>
        <v>351.98518810889152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8.2872972172939452</v>
      </c>
      <c r="AA127" s="21">
        <f>EXP(-LN(2)/25)*AA126+(1-EXP(-LN(2)/25))/(LN(2)/25)*Calculateur!V127*Calculateur!X127*VLOOKUP('Données projet'!$B$9,Paramètres!$A$1:$I$89,3,0)*0.475*44/12</f>
        <v>3.2439517287164628</v>
      </c>
      <c r="AB127" s="21">
        <f>EXP(-LN(2)/2)*AB126+(1-EXP(-LN(2)/2))/(LN(2)/2)*V127*Y127*VLOOKUP('Données projet'!$B$9,Paramètres!$A$1:$I$89,3,0)*0.475*44/12</f>
        <v>3.0956488783508498E-13</v>
      </c>
      <c r="AC127" s="22">
        <f t="shared" si="57"/>
        <v>11.531248946010717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1.1368683772161603E-13</v>
      </c>
      <c r="AJ127" s="13">
        <f>AI127*VLOOKUP('Données projet'!$B$10,Paramètres!$A$1:$I$89,3,0)*VLOOKUP('Données projet'!$B$10,Paramètres!$A$1:$I$89,5,0)</f>
        <v>1.1527845344971866E-13</v>
      </c>
      <c r="AK127" s="13">
        <f t="shared" si="89"/>
        <v>1.7033846239409443E-12</v>
      </c>
      <c r="AL127" s="20">
        <f t="shared" si="58"/>
        <v>3.1675048597887374E-12</v>
      </c>
      <c r="AM127" s="59">
        <f t="shared" si="59"/>
        <v>293.3333333333365</v>
      </c>
      <c r="AN127" s="59">
        <f ca="1">AVERAGE(OFFSET($AM$3,0,0,'Données projet'!$E$10+1,1))-AVERAGE(OFFSET($H$3,0,0,'Données projet'!$E$10+1,1))</f>
        <v>280.88930300426705</v>
      </c>
      <c r="AO127" s="59">
        <f t="shared" si="90"/>
        <v>166.95395852420467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1">
        <f t="shared" si="86"/>
        <v>24.96274352877078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67">
        <f t="shared" si="56"/>
        <v>496.43386164594193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143.12123169427508</v>
      </c>
      <c r="T128" s="59">
        <f t="shared" si="88"/>
        <v>351.98518810889152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8.1247883736149973</v>
      </c>
      <c r="AA128" s="21">
        <f>EXP(-LN(2)/25)*AA127+(1-EXP(-LN(2)/25))/(LN(2)/25)*Calculateur!V128*Calculateur!X128*VLOOKUP('Données projet'!$B$9,Paramètres!$A$1:$I$89,3,0)*0.475*44/12</f>
        <v>3.1552456981027039</v>
      </c>
      <c r="AB128" s="21">
        <f>EXP(-LN(2)/2)*AB127+(1-EXP(-LN(2)/2))/(LN(2)/2)*V128*Y128*VLOOKUP('Données projet'!$B$9,Paramètres!$A$1:$I$89,3,0)*0.475*44/12</f>
        <v>2.1889543140544156E-13</v>
      </c>
      <c r="AC128" s="22">
        <f t="shared" si="57"/>
        <v>11.280034071717919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1.1368683772161603E-13</v>
      </c>
      <c r="AJ128" s="13">
        <f>AI128*VLOOKUP('Données projet'!$B$10,Paramètres!$A$1:$I$89,3,0)*VLOOKUP('Données projet'!$B$10,Paramètres!$A$1:$I$89,5,0)</f>
        <v>1.1527845344971866E-13</v>
      </c>
      <c r="AK128" s="13">
        <f t="shared" si="89"/>
        <v>1.7033846239409443E-12</v>
      </c>
      <c r="AL128" s="20">
        <f t="shared" si="58"/>
        <v>3.1675048597887374E-12</v>
      </c>
      <c r="AM128" s="59">
        <f t="shared" si="59"/>
        <v>293.3333333333365</v>
      </c>
      <c r="AN128" s="59">
        <f ca="1">AVERAGE(OFFSET($AM$3,0,0,'Données projet'!$E$10+1,1))-AVERAGE(OFFSET($H$3,0,0,'Données projet'!$E$10+1,1))</f>
        <v>280.88930300426705</v>
      </c>
      <c r="AO128" s="59">
        <f t="shared" si="90"/>
        <v>166.95395852420467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1">
        <f t="shared" si="86"/>
        <v>25.139118255575003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67">
        <f t="shared" si="56"/>
        <v>498.0180376284593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143.12123169427508</v>
      </c>
      <c r="T129" s="59">
        <f t="shared" si="88"/>
        <v>351.98518810889152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7.9654662292399872</v>
      </c>
      <c r="AA129" s="21">
        <f>EXP(-LN(2)/25)*AA128+(1-EXP(-LN(2)/25))/(LN(2)/25)*Calculateur!V129*Calculateur!X129*VLOOKUP('Données projet'!$B$9,Paramètres!$A$1:$I$89,3,0)*0.475*44/12</f>
        <v>3.0689653385609255</v>
      </c>
      <c r="AB129" s="21">
        <f>EXP(-LN(2)/2)*AB128+(1-EXP(-LN(2)/2))/(LN(2)/2)*V129*Y129*VLOOKUP('Données projet'!$B$9,Paramètres!$A$1:$I$89,3,0)*0.475*44/12</f>
        <v>1.5478244391754249E-13</v>
      </c>
      <c r="AC129" s="22">
        <f t="shared" si="57"/>
        <v>11.034431567801066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1.1368683772161603E-13</v>
      </c>
      <c r="AJ129" s="13">
        <f>AI129*VLOOKUP('Données projet'!$B$10,Paramètres!$A$1:$I$89,3,0)*VLOOKUP('Données projet'!$B$10,Paramètres!$A$1:$I$89,5,0)</f>
        <v>1.1527845344971866E-13</v>
      </c>
      <c r="AK129" s="13">
        <f t="shared" si="89"/>
        <v>1.7033846239409443E-12</v>
      </c>
      <c r="AL129" s="20">
        <f t="shared" si="58"/>
        <v>3.1675048597887374E-12</v>
      </c>
      <c r="AM129" s="59">
        <f t="shared" si="59"/>
        <v>293.3333333333365</v>
      </c>
      <c r="AN129" s="59">
        <f ca="1">AVERAGE(OFFSET($AM$3,0,0,'Données projet'!$E$10+1,1))-AVERAGE(OFFSET($H$3,0,0,'Données projet'!$E$10+1,1))</f>
        <v>280.88930300426705</v>
      </c>
      <c r="AO129" s="59">
        <f t="shared" si="90"/>
        <v>166.95395852420467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1">
        <f t="shared" si="86"/>
        <v>25.31533011915646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67">
        <f t="shared" si="56"/>
        <v>499.60192995753027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143.12123169427508</v>
      </c>
      <c r="T130" s="59">
        <f t="shared" si="88"/>
        <v>351.98518810889152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7.8092682949392582</v>
      </c>
      <c r="AA130" s="21">
        <f>EXP(-LN(2)/25)*AA129+(1-EXP(-LN(2)/25))/(LN(2)/25)*Calculateur!V130*Calculateur!X130*VLOOKUP('Données projet'!$B$9,Paramètres!$A$1:$I$89,3,0)*0.475*44/12</f>
        <v>2.9850443199881038</v>
      </c>
      <c r="AB130" s="21">
        <f>EXP(-LN(2)/2)*AB129+(1-EXP(-LN(2)/2))/(LN(2)/2)*V130*Y130*VLOOKUP('Données projet'!$B$9,Paramètres!$A$1:$I$89,3,0)*0.475*44/12</f>
        <v>1.0944771570272078E-13</v>
      </c>
      <c r="AC130" s="22">
        <f t="shared" si="57"/>
        <v>10.794312614927472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1.1368683772161603E-13</v>
      </c>
      <c r="AJ130" s="13">
        <f>AI130*VLOOKUP('Données projet'!$B$10,Paramètres!$A$1:$I$89,3,0)*VLOOKUP('Données projet'!$B$10,Paramètres!$A$1:$I$89,5,0)</f>
        <v>1.1527845344971866E-13</v>
      </c>
      <c r="AK130" s="13">
        <f t="shared" si="89"/>
        <v>1.7033846239409443E-12</v>
      </c>
      <c r="AL130" s="20">
        <f t="shared" si="58"/>
        <v>3.1675048597887374E-12</v>
      </c>
      <c r="AM130" s="59">
        <f t="shared" si="59"/>
        <v>293.3333333333365</v>
      </c>
      <c r="AN130" s="59">
        <f ca="1">AVERAGE(OFFSET($AM$3,0,0,'Données projet'!$E$10+1,1))-AVERAGE(OFFSET($H$3,0,0,'Données projet'!$E$10+1,1))</f>
        <v>280.88930300426705</v>
      </c>
      <c r="AO130" s="59">
        <f t="shared" si="90"/>
        <v>166.95395852420467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1">
        <f t="shared" si="86"/>
        <v>25.491380550546399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67">
        <f t="shared" si="56"/>
        <v>501.18554112553443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143.12123169427508</v>
      </c>
      <c r="T131" s="59">
        <f t="shared" si="88"/>
        <v>351.98518810889152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7.656133306858834</v>
      </c>
      <c r="AA131" s="21">
        <f>EXP(-LN(2)/25)*AA130+(1-EXP(-LN(2)/25))/(LN(2)/25)*Calculateur!V131*Calculateur!X131*VLOOKUP('Données projet'!$B$9,Paramètres!$A$1:$I$89,3,0)*0.475*44/12</f>
        <v>2.903418126081371</v>
      </c>
      <c r="AB131" s="21">
        <f>EXP(-LN(2)/2)*AB130+(1-EXP(-LN(2)/2))/(LN(2)/2)*V131*Y131*VLOOKUP('Données projet'!$B$9,Paramètres!$A$1:$I$89,3,0)*0.475*44/12</f>
        <v>7.7391221958771245E-14</v>
      </c>
      <c r="AC131" s="22">
        <f t="shared" si="57"/>
        <v>10.559551432940284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1.1368683772161603E-13</v>
      </c>
      <c r="AJ131" s="13">
        <f>AI131*VLOOKUP('Données projet'!$B$10,Paramètres!$A$1:$I$89,3,0)*VLOOKUP('Données projet'!$B$10,Paramètres!$A$1:$I$89,5,0)</f>
        <v>1.1527845344971866E-13</v>
      </c>
      <c r="AK131" s="13">
        <f t="shared" si="89"/>
        <v>1.7033846239409443E-12</v>
      </c>
      <c r="AL131" s="20">
        <f t="shared" si="58"/>
        <v>3.1675048597887374E-12</v>
      </c>
      <c r="AM131" s="59">
        <f t="shared" si="59"/>
        <v>293.3333333333365</v>
      </c>
      <c r="AN131" s="59">
        <f ca="1">AVERAGE(OFFSET($AM$3,0,0,'Données projet'!$E$10+1,1))-AVERAGE(OFFSET($H$3,0,0,'Données projet'!$E$10+1,1))</f>
        <v>280.88930300426705</v>
      </c>
      <c r="AO131" s="59">
        <f t="shared" si="90"/>
        <v>166.95395852420467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1">
        <f t="shared" si="86"/>
        <v>25.667270957125002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67">
        <f t="shared" ref="H132:H195" si="110">(B132+E132+F132)*44/12+(C132+D132)*0.475*44/12</f>
        <v>502.76887358365883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143.12123169427508</v>
      </c>
      <c r="T132" s="59">
        <f t="shared" si="88"/>
        <v>351.98518810889152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7.5060012024915466</v>
      </c>
      <c r="AA132" s="21">
        <f>EXP(-LN(2)/25)*AA131+(1-EXP(-LN(2)/25))/(LN(2)/25)*Calculateur!V132*Calculateur!X132*VLOOKUP('Données projet'!$B$9,Paramètres!$A$1:$I$89,3,0)*0.475*44/12</f>
        <v>2.8240240047395524</v>
      </c>
      <c r="AB132" s="21">
        <f>EXP(-LN(2)/2)*AB131+(1-EXP(-LN(2)/2))/(LN(2)/2)*V132*Y132*VLOOKUP('Données projet'!$B$9,Paramètres!$A$1:$I$89,3,0)*0.475*44/12</f>
        <v>5.4723857851360391E-14</v>
      </c>
      <c r="AC132" s="22">
        <f t="shared" ref="AC132:AC153" si="111">SUM(Z132:AB132)</f>
        <v>10.330025207231154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1.1368683772161603E-13</v>
      </c>
      <c r="AJ132" s="13">
        <f>AI132*VLOOKUP('Données projet'!$B$10,Paramètres!$A$1:$I$89,3,0)*VLOOKUP('Données projet'!$B$10,Paramètres!$A$1:$I$89,5,0)</f>
        <v>1.1527845344971866E-13</v>
      </c>
      <c r="AK132" s="13">
        <f t="shared" si="89"/>
        <v>1.7033846239409443E-12</v>
      </c>
      <c r="AL132" s="20">
        <f t="shared" ref="AL132:AL153" si="112">(AJ132+AK132)*0.475*44/12</f>
        <v>3.1675048597887374E-12</v>
      </c>
      <c r="AM132" s="59">
        <f t="shared" ref="AM132:AM195" si="113">AL132+(AD132+AE132)*44/12</f>
        <v>293.3333333333365</v>
      </c>
      <c r="AN132" s="59">
        <f ca="1">AVERAGE(OFFSET($AM$3,0,0,'Données projet'!$E$10+1,1))-AVERAGE(OFFSET($H$3,0,0,'Données projet'!$E$10+1,1))</f>
        <v>280.88930300426705</v>
      </c>
      <c r="AO132" s="59">
        <f t="shared" si="90"/>
        <v>166.95395852420467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1">
        <f t="shared" ref="D133:D196" si="140">IFERROR(EXP(-1.0587+0.8836*LN(C133)+0.284),0)</f>
        <v>25.843002723192335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67">
        <f t="shared" si="110"/>
        <v>504.35192974289276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143.12123169427508</v>
      </c>
      <c r="T133" s="59">
        <f t="shared" ref="T133:T196" si="142">$T$3</f>
        <v>351.98518810889152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7.3588130971193602</v>
      </c>
      <c r="AA133" s="21">
        <f>EXP(-LN(2)/25)*AA132+(1-EXP(-LN(2)/25))/(LN(2)/25)*Calculateur!V133*Calculateur!X133*VLOOKUP('Données projet'!$B$9,Paramètres!$A$1:$I$89,3,0)*0.475*44/12</f>
        <v>2.7468009198209815</v>
      </c>
      <c r="AB133" s="21">
        <f>EXP(-LN(2)/2)*AB132+(1-EXP(-LN(2)/2))/(LN(2)/2)*V133*Y133*VLOOKUP('Données projet'!$B$9,Paramètres!$A$1:$I$89,3,0)*0.475*44/12</f>
        <v>3.8695610979385622E-14</v>
      </c>
      <c r="AC133" s="22">
        <f t="shared" si="111"/>
        <v>10.105614016940381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1.1368683772161603E-13</v>
      </c>
      <c r="AJ133" s="13">
        <f>AI133*VLOOKUP('Données projet'!$B$10,Paramètres!$A$1:$I$89,3,0)*VLOOKUP('Données projet'!$B$10,Paramètres!$A$1:$I$89,5,0)</f>
        <v>1.1527845344971866E-13</v>
      </c>
      <c r="AK133" s="13">
        <f t="shared" ref="AK133:AK153" si="143">EXP(-1.0587+0.8836*LN(AJ133)+0.284)</f>
        <v>1.7033846239409443E-12</v>
      </c>
      <c r="AL133" s="20">
        <f t="shared" si="112"/>
        <v>3.1675048597887374E-12</v>
      </c>
      <c r="AM133" s="59">
        <f t="shared" si="113"/>
        <v>293.3333333333365</v>
      </c>
      <c r="AN133" s="59">
        <f ca="1">AVERAGE(OFFSET($AM$3,0,0,'Données projet'!$E$10+1,1))-AVERAGE(OFFSET($H$3,0,0,'Données projet'!$E$10+1,1))</f>
        <v>280.88930300426705</v>
      </c>
      <c r="AO133" s="59">
        <f t="shared" ref="AO133:AO196" si="144">$AO$3</f>
        <v>166.95395852420467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1">
        <f t="shared" si="140"/>
        <v>26.018577210521507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67">
        <f t="shared" si="110"/>
        <v>505.93471197499105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143.12123169427508</v>
      </c>
      <c r="T134" s="59">
        <f t="shared" si="142"/>
        <v>351.98518810889152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7.2145112607176429</v>
      </c>
      <c r="AA134" s="21">
        <f>EXP(-LN(2)/25)*AA133+(1-EXP(-LN(2)/25))/(LN(2)/25)*Calculateur!V134*Calculateur!X134*VLOOKUP('Données projet'!$B$9,Paramètres!$A$1:$I$89,3,0)*0.475*44/12</f>
        <v>2.6716895042204944</v>
      </c>
      <c r="AB134" s="21">
        <f>EXP(-LN(2)/2)*AB133+(1-EXP(-LN(2)/2))/(LN(2)/2)*V134*Y134*VLOOKUP('Données projet'!$B$9,Paramètres!$A$1:$I$89,3,0)*0.475*44/12</f>
        <v>2.7361928925680196E-14</v>
      </c>
      <c r="AC134" s="22">
        <f t="shared" si="111"/>
        <v>9.8862007649381649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1.1368683772161603E-13</v>
      </c>
      <c r="AJ134" s="13">
        <f>AI134*VLOOKUP('Données projet'!$B$10,Paramètres!$A$1:$I$89,3,0)*VLOOKUP('Données projet'!$B$10,Paramètres!$A$1:$I$89,5,0)</f>
        <v>1.1527845344971866E-13</v>
      </c>
      <c r="AK134" s="13">
        <f t="shared" si="143"/>
        <v>1.7033846239409443E-12</v>
      </c>
      <c r="AL134" s="20">
        <f t="shared" si="112"/>
        <v>3.1675048597887374E-12</v>
      </c>
      <c r="AM134" s="59">
        <f t="shared" si="113"/>
        <v>293.3333333333365</v>
      </c>
      <c r="AN134" s="59">
        <f ca="1">AVERAGE(OFFSET($AM$3,0,0,'Données projet'!$E$10+1,1))-AVERAGE(OFFSET($H$3,0,0,'Données projet'!$E$10+1,1))</f>
        <v>280.88930300426705</v>
      </c>
      <c r="AO134" s="59">
        <f t="shared" si="144"/>
        <v>166.95395852420467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1">
        <f t="shared" si="140"/>
        <v>26.193995758894371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67">
        <f t="shared" si="110"/>
        <v>507.51722261340717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143.12123169427508</v>
      </c>
      <c r="T135" s="59">
        <f t="shared" si="142"/>
        <v>351.98518810889152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7.0730390953123337</v>
      </c>
      <c r="AA135" s="21">
        <f>EXP(-LN(2)/25)*AA134+(1-EXP(-LN(2)/25))/(LN(2)/25)*Calculateur!V135*Calculateur!X135*VLOOKUP('Données projet'!$B$9,Paramètres!$A$1:$I$89,3,0)*0.475*44/12</f>
        <v>2.59863201422954</v>
      </c>
      <c r="AB135" s="21">
        <f>EXP(-LN(2)/2)*AB134+(1-EXP(-LN(2)/2))/(LN(2)/2)*V135*Y135*VLOOKUP('Données projet'!$B$9,Paramètres!$A$1:$I$89,3,0)*0.475*44/12</f>
        <v>1.9347805489692811E-14</v>
      </c>
      <c r="AC135" s="22">
        <f t="shared" si="111"/>
        <v>9.6716711095418937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1.1368683772161603E-13</v>
      </c>
      <c r="AJ135" s="13">
        <f>AI135*VLOOKUP('Données projet'!$B$10,Paramètres!$A$1:$I$89,3,0)*VLOOKUP('Données projet'!$B$10,Paramètres!$A$1:$I$89,5,0)</f>
        <v>1.1527845344971866E-13</v>
      </c>
      <c r="AK135" s="13">
        <f t="shared" si="143"/>
        <v>1.7033846239409443E-12</v>
      </c>
      <c r="AL135" s="20">
        <f t="shared" si="112"/>
        <v>3.1675048597887374E-12</v>
      </c>
      <c r="AM135" s="59">
        <f t="shared" si="113"/>
        <v>293.3333333333365</v>
      </c>
      <c r="AN135" s="59">
        <f ca="1">AVERAGE(OFFSET($AM$3,0,0,'Données projet'!$E$10+1,1))-AVERAGE(OFFSET($H$3,0,0,'Données projet'!$E$10+1,1))</f>
        <v>280.88930300426705</v>
      </c>
      <c r="AO135" s="59">
        <f t="shared" si="144"/>
        <v>166.95395852420467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1">
        <f t="shared" si="140"/>
        <v>26.369259686620403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67">
        <f t="shared" si="110"/>
        <v>509.09946395419666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143.12123169427508</v>
      </c>
      <c r="T136" s="59">
        <f t="shared" si="142"/>
        <v>351.98518810889152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6.9343411127811221</v>
      </c>
      <c r="AA136" s="21">
        <f>EXP(-LN(2)/25)*AA135+(1-EXP(-LN(2)/25))/(LN(2)/25)*Calculateur!V136*Calculateur!X136*VLOOKUP('Données projet'!$B$9,Paramètres!$A$1:$I$89,3,0)*0.475*44/12</f>
        <v>2.527572285144315</v>
      </c>
      <c r="AB136" s="21">
        <f>EXP(-LN(2)/2)*AB135+(1-EXP(-LN(2)/2))/(LN(2)/2)*V136*Y136*VLOOKUP('Données projet'!$B$9,Paramètres!$A$1:$I$89,3,0)*0.475*44/12</f>
        <v>1.3680964462840098E-14</v>
      </c>
      <c r="AC136" s="22">
        <f t="shared" si="111"/>
        <v>9.4619133979254517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1.1368683772161603E-13</v>
      </c>
      <c r="AJ136" s="13">
        <f>AI136*VLOOKUP('Données projet'!$B$10,Paramètres!$A$1:$I$89,3,0)*VLOOKUP('Données projet'!$B$10,Paramètres!$A$1:$I$89,5,0)</f>
        <v>1.1527845344971866E-13</v>
      </c>
      <c r="AK136" s="13">
        <f t="shared" si="143"/>
        <v>1.7033846239409443E-12</v>
      </c>
      <c r="AL136" s="20">
        <f t="shared" si="112"/>
        <v>3.1675048597887374E-12</v>
      </c>
      <c r="AM136" s="59">
        <f t="shared" si="113"/>
        <v>293.3333333333365</v>
      </c>
      <c r="AN136" s="59">
        <f ca="1">AVERAGE(OFFSET($AM$3,0,0,'Données projet'!$E$10+1,1))-AVERAGE(OFFSET($H$3,0,0,'Données projet'!$E$10+1,1))</f>
        <v>280.88930300426705</v>
      </c>
      <c r="AO136" s="59">
        <f t="shared" si="144"/>
        <v>166.95395852420467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1">
        <f t="shared" si="140"/>
        <v>26.544370291039762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67">
        <f t="shared" si="110"/>
        <v>510.68143825689367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143.12123169427508</v>
      </c>
      <c r="T137" s="59">
        <f t="shared" si="142"/>
        <v>351.98518810889152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6.7983629130899317</v>
      </c>
      <c r="AA137" s="21">
        <f>EXP(-LN(2)/25)*AA136+(1-EXP(-LN(2)/25))/(LN(2)/25)*Calculateur!V137*Calculateur!X137*VLOOKUP('Données projet'!$B$9,Paramètres!$A$1:$I$89,3,0)*0.475*44/12</f>
        <v>2.4584556880877941</v>
      </c>
      <c r="AB137" s="21">
        <f>EXP(-LN(2)/2)*AB136+(1-EXP(-LN(2)/2))/(LN(2)/2)*V137*Y137*VLOOKUP('Données projet'!$B$9,Paramètres!$A$1:$I$89,3,0)*0.475*44/12</f>
        <v>9.6739027448464056E-15</v>
      </c>
      <c r="AC137" s="22">
        <f t="shared" si="111"/>
        <v>9.2568186011777343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1.1368683772161603E-13</v>
      </c>
      <c r="AJ137" s="13">
        <f>AI137*VLOOKUP('Données projet'!$B$10,Paramètres!$A$1:$I$89,3,0)*VLOOKUP('Données projet'!$B$10,Paramètres!$A$1:$I$89,5,0)</f>
        <v>1.1527845344971866E-13</v>
      </c>
      <c r="AK137" s="13">
        <f t="shared" si="143"/>
        <v>1.7033846239409443E-12</v>
      </c>
      <c r="AL137" s="20">
        <f t="shared" si="112"/>
        <v>3.1675048597887374E-12</v>
      </c>
      <c r="AM137" s="59">
        <f t="shared" si="113"/>
        <v>293.3333333333365</v>
      </c>
      <c r="AN137" s="59">
        <f ca="1">AVERAGE(OFFSET($AM$3,0,0,'Données projet'!$E$10+1,1))-AVERAGE(OFFSET($H$3,0,0,'Données projet'!$E$10+1,1))</f>
        <v>280.88930300426705</v>
      </c>
      <c r="AO137" s="59">
        <f t="shared" si="144"/>
        <v>166.95395852420467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1">
        <f t="shared" si="140"/>
        <v>26.719328849010672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67">
        <f t="shared" si="110"/>
        <v>512.26314774535967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143.12123169427508</v>
      </c>
      <c r="T138" s="59">
        <f t="shared" si="142"/>
        <v>351.98518810889152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6.6650511629561731</v>
      </c>
      <c r="AA138" s="21">
        <f>EXP(-LN(2)/25)*AA137+(1-EXP(-LN(2)/25))/(LN(2)/25)*Calculateur!V138*Calculateur!X138*VLOOKUP('Données projet'!$B$9,Paramètres!$A$1:$I$89,3,0)*0.475*44/12</f>
        <v>2.3912290880124676</v>
      </c>
      <c r="AB138" s="21">
        <f>EXP(-LN(2)/2)*AB137+(1-EXP(-LN(2)/2))/(LN(2)/2)*V138*Y138*VLOOKUP('Données projet'!$B$9,Paramètres!$A$1:$I$89,3,0)*0.475*44/12</f>
        <v>6.8404822314200489E-15</v>
      </c>
      <c r="AC138" s="22">
        <f t="shared" si="111"/>
        <v>9.0562802509686477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1.1368683772161603E-13</v>
      </c>
      <c r="AJ138" s="13">
        <f>AI138*VLOOKUP('Données projet'!$B$10,Paramètres!$A$1:$I$89,3,0)*VLOOKUP('Données projet'!$B$10,Paramètres!$A$1:$I$89,5,0)</f>
        <v>1.1527845344971866E-13</v>
      </c>
      <c r="AK138" s="13">
        <f t="shared" si="143"/>
        <v>1.7033846239409443E-12</v>
      </c>
      <c r="AL138" s="20">
        <f t="shared" si="112"/>
        <v>3.1675048597887374E-12</v>
      </c>
      <c r="AM138" s="59">
        <f t="shared" si="113"/>
        <v>293.3333333333365</v>
      </c>
      <c r="AN138" s="59">
        <f ca="1">AVERAGE(OFFSET($AM$3,0,0,'Données projet'!$E$10+1,1))-AVERAGE(OFFSET($H$3,0,0,'Données projet'!$E$10+1,1))</f>
        <v>280.88930300426705</v>
      </c>
      <c r="AO138" s="59">
        <f t="shared" si="144"/>
        <v>166.95395852420467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1">
        <f t="shared" si="140"/>
        <v>26.894136617382109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67">
        <f t="shared" si="110"/>
        <v>513.8445946086066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143.12123169427508</v>
      </c>
      <c r="T139" s="59">
        <f t="shared" si="142"/>
        <v>351.98518810889152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6.5343535749303987</v>
      </c>
      <c r="AA139" s="21">
        <f>EXP(-LN(2)/25)*AA138+(1-EXP(-LN(2)/25))/(LN(2)/25)*Calculateur!V139*Calculateur!X139*VLOOKUP('Données projet'!$B$9,Paramètres!$A$1:$I$89,3,0)*0.475*44/12</f>
        <v>2.3258408028514941</v>
      </c>
      <c r="AB139" s="21">
        <f>EXP(-LN(2)/2)*AB138+(1-EXP(-LN(2)/2))/(LN(2)/2)*V139*Y139*VLOOKUP('Données projet'!$B$9,Paramètres!$A$1:$I$89,3,0)*0.475*44/12</f>
        <v>4.8369513724232028E-15</v>
      </c>
      <c r="AC139" s="22">
        <f t="shared" si="111"/>
        <v>8.8601943777818981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1.1368683772161603E-13</v>
      </c>
      <c r="AJ139" s="13">
        <f>AI139*VLOOKUP('Données projet'!$B$10,Paramètres!$A$1:$I$89,3,0)*VLOOKUP('Données projet'!$B$10,Paramètres!$A$1:$I$89,5,0)</f>
        <v>1.1527845344971866E-13</v>
      </c>
      <c r="AK139" s="13">
        <f t="shared" si="143"/>
        <v>1.7033846239409443E-12</v>
      </c>
      <c r="AL139" s="20">
        <f t="shared" si="112"/>
        <v>3.1675048597887374E-12</v>
      </c>
      <c r="AM139" s="59">
        <f t="shared" si="113"/>
        <v>293.3333333333365</v>
      </c>
      <c r="AN139" s="59">
        <f ca="1">AVERAGE(OFFSET($AM$3,0,0,'Données projet'!$E$10+1,1))-AVERAGE(OFFSET($H$3,0,0,'Données projet'!$E$10+1,1))</f>
        <v>280.88930300426705</v>
      </c>
      <c r="AO139" s="59">
        <f t="shared" si="144"/>
        <v>166.95395852420467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1">
        <f t="shared" si="140"/>
        <v>27.068794833452092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67">
        <f t="shared" si="110"/>
        <v>515.42578100159517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143.12123169427508</v>
      </c>
      <c r="T140" s="59">
        <f t="shared" si="142"/>
        <v>351.98518810889152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6.4062188868881531</v>
      </c>
      <c r="AA140" s="21">
        <f>EXP(-LN(2)/25)*AA139+(1-EXP(-LN(2)/25))/(LN(2)/25)*Calculateur!V140*Calculateur!X140*VLOOKUP('Données projet'!$B$9,Paramètres!$A$1:$I$89,3,0)*0.475*44/12</f>
        <v>2.2622405637868681</v>
      </c>
      <c r="AB140" s="21">
        <f>EXP(-LN(2)/2)*AB139+(1-EXP(-LN(2)/2))/(LN(2)/2)*V140*Y140*VLOOKUP('Données projet'!$B$9,Paramètres!$A$1:$I$89,3,0)*0.475*44/12</f>
        <v>3.4202411157100244E-15</v>
      </c>
      <c r="AC140" s="22">
        <f t="shared" si="111"/>
        <v>8.6684594506750248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1.1368683772161603E-13</v>
      </c>
      <c r="AJ140" s="13">
        <f>AI140*VLOOKUP('Données projet'!$B$10,Paramètres!$A$1:$I$89,3,0)*VLOOKUP('Données projet'!$B$10,Paramètres!$A$1:$I$89,5,0)</f>
        <v>1.1527845344971866E-13</v>
      </c>
      <c r="AK140" s="13">
        <f t="shared" si="143"/>
        <v>1.7033846239409443E-12</v>
      </c>
      <c r="AL140" s="20">
        <f t="shared" si="112"/>
        <v>3.1675048597887374E-12</v>
      </c>
      <c r="AM140" s="59">
        <f t="shared" si="113"/>
        <v>293.3333333333365</v>
      </c>
      <c r="AN140" s="59">
        <f ca="1">AVERAGE(OFFSET($AM$3,0,0,'Données projet'!$E$10+1,1))-AVERAGE(OFFSET($H$3,0,0,'Données projet'!$E$10+1,1))</f>
        <v>280.88930300426705</v>
      </c>
      <c r="AO140" s="59">
        <f t="shared" si="144"/>
        <v>166.95395852420467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1">
        <f t="shared" si="140"/>
        <v>27.243304715412286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67">
        <f t="shared" si="110"/>
        <v>517.00670904600918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143.12123169427508</v>
      </c>
      <c r="T141" s="59">
        <f t="shared" si="142"/>
        <v>351.98518810889152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6.2805968419239733</v>
      </c>
      <c r="AA141" s="21">
        <f>EXP(-LN(2)/25)*AA140+(1-EXP(-LN(2)/25))/(LN(2)/25)*Calculateur!V141*Calculateur!X141*VLOOKUP('Données projet'!$B$9,Paramètres!$A$1:$I$89,3,0)*0.475*44/12</f>
        <v>2.2003794766040552</v>
      </c>
      <c r="AB141" s="21">
        <f>EXP(-LN(2)/2)*AB140+(1-EXP(-LN(2)/2))/(LN(2)/2)*V141*Y141*VLOOKUP('Données projet'!$B$9,Paramètres!$A$1:$I$89,3,0)*0.475*44/12</f>
        <v>2.4184756862116014E-15</v>
      </c>
      <c r="AC141" s="22">
        <f t="shared" si="111"/>
        <v>8.4809763185280307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1.1368683772161603E-13</v>
      </c>
      <c r="AJ141" s="13">
        <f>AI141*VLOOKUP('Données projet'!$B$10,Paramètres!$A$1:$I$89,3,0)*VLOOKUP('Données projet'!$B$10,Paramètres!$A$1:$I$89,5,0)</f>
        <v>1.1527845344971866E-13</v>
      </c>
      <c r="AK141" s="13">
        <f t="shared" si="143"/>
        <v>1.7033846239409443E-12</v>
      </c>
      <c r="AL141" s="20">
        <f t="shared" si="112"/>
        <v>3.1675048597887374E-12</v>
      </c>
      <c r="AM141" s="59">
        <f t="shared" si="113"/>
        <v>293.3333333333365</v>
      </c>
      <c r="AN141" s="59">
        <f ca="1">AVERAGE(OFFSET($AM$3,0,0,'Données projet'!$E$10+1,1))-AVERAGE(OFFSET($H$3,0,0,'Données projet'!$E$10+1,1))</f>
        <v>280.88930300426705</v>
      </c>
      <c r="AO141" s="59">
        <f t="shared" si="144"/>
        <v>166.95395852420467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1">
        <f t="shared" si="140"/>
        <v>27.417667462779246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67">
        <f t="shared" si="110"/>
        <v>518.58738083100661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143.12123169427508</v>
      </c>
      <c r="T142" s="59">
        <f t="shared" si="142"/>
        <v>351.98518810889152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6.1574381686396586</v>
      </c>
      <c r="AA142" s="21">
        <f>EXP(-LN(2)/25)*AA141+(1-EXP(-LN(2)/25))/(LN(2)/25)*Calculateur!V142*Calculateur!X142*VLOOKUP('Données projet'!$B$9,Paramètres!$A$1:$I$89,3,0)*0.475*44/12</f>
        <v>2.1402099841033895</v>
      </c>
      <c r="AB142" s="21">
        <f>EXP(-LN(2)/2)*AB141+(1-EXP(-LN(2)/2))/(LN(2)/2)*V142*Y142*VLOOKUP('Données projet'!$B$9,Paramètres!$A$1:$I$89,3,0)*0.475*44/12</f>
        <v>1.7101205578550122E-15</v>
      </c>
      <c r="AC142" s="22">
        <f t="shared" si="111"/>
        <v>8.297648152743049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1.1368683772161603E-13</v>
      </c>
      <c r="AJ142" s="13">
        <f>AI142*VLOOKUP('Données projet'!$B$10,Paramètres!$A$1:$I$89,3,0)*VLOOKUP('Données projet'!$B$10,Paramètres!$A$1:$I$89,5,0)</f>
        <v>1.1527845344971866E-13</v>
      </c>
      <c r="AK142" s="13">
        <f t="shared" si="143"/>
        <v>1.7033846239409443E-12</v>
      </c>
      <c r="AL142" s="20">
        <f t="shared" si="112"/>
        <v>3.1675048597887374E-12</v>
      </c>
      <c r="AM142" s="59">
        <f t="shared" si="113"/>
        <v>293.3333333333365</v>
      </c>
      <c r="AN142" s="59">
        <f ca="1">AVERAGE(OFFSET($AM$3,0,0,'Données projet'!$E$10+1,1))-AVERAGE(OFFSET($H$3,0,0,'Données projet'!$E$10+1,1))</f>
        <v>280.88930300426705</v>
      </c>
      <c r="AO142" s="59">
        <f t="shared" si="144"/>
        <v>166.95395852420467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1">
        <f t="shared" si="140"/>
        <v>27.591884256812975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67">
        <f t="shared" si="110"/>
        <v>520.16779841394873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143.12123169427508</v>
      </c>
      <c r="T143" s="59">
        <f t="shared" si="142"/>
        <v>351.98518810889152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6.0366945618190764</v>
      </c>
      <c r="AA143" s="21">
        <f>EXP(-LN(2)/25)*AA142+(1-EXP(-LN(2)/25))/(LN(2)/25)*Calculateur!V143*Calculateur!X143*VLOOKUP('Données projet'!$B$9,Paramètres!$A$1:$I$89,3,0)*0.475*44/12</f>
        <v>2.0816858295393308</v>
      </c>
      <c r="AB143" s="21">
        <f>EXP(-LN(2)/2)*AB142+(1-EXP(-LN(2)/2))/(LN(2)/2)*V143*Y143*VLOOKUP('Données projet'!$B$9,Paramètres!$A$1:$I$89,3,0)*0.475*44/12</f>
        <v>1.2092378431058007E-15</v>
      </c>
      <c r="AC143" s="22">
        <f t="shared" si="111"/>
        <v>8.1183803913584089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1.1368683772161603E-13</v>
      </c>
      <c r="AJ143" s="13">
        <f>AI143*VLOOKUP('Données projet'!$B$10,Paramètres!$A$1:$I$89,3,0)*VLOOKUP('Données projet'!$B$10,Paramètres!$A$1:$I$89,5,0)</f>
        <v>1.1527845344971866E-13</v>
      </c>
      <c r="AK143" s="13">
        <f t="shared" si="143"/>
        <v>1.7033846239409443E-12</v>
      </c>
      <c r="AL143" s="20">
        <f t="shared" si="112"/>
        <v>3.1675048597887374E-12</v>
      </c>
      <c r="AM143" s="59">
        <f t="shared" si="113"/>
        <v>293.3333333333365</v>
      </c>
      <c r="AN143" s="59">
        <f ca="1">AVERAGE(OFFSET($AM$3,0,0,'Données projet'!$E$10+1,1))-AVERAGE(OFFSET($H$3,0,0,'Données projet'!$E$10+1,1))</f>
        <v>280.88930300426705</v>
      </c>
      <c r="AO143" s="59">
        <f t="shared" si="144"/>
        <v>166.95395852420467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1">
        <f t="shared" si="140"/>
        <v>27.765956260923254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67">
        <f t="shared" si="110"/>
        <v>521.74796382110731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143.12123169427508</v>
      </c>
      <c r="T144" s="59">
        <f t="shared" si="142"/>
        <v>351.98518810889152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5.9183186634819176</v>
      </c>
      <c r="AA144" s="21">
        <f>EXP(-LN(2)/25)*AA143+(1-EXP(-LN(2)/25))/(LN(2)/25)*Calculateur!V144*Calculateur!X144*VLOOKUP('Données projet'!$B$9,Paramètres!$A$1:$I$89,3,0)*0.475*44/12</f>
        <v>2.0247620210594777</v>
      </c>
      <c r="AB144" s="21">
        <f>EXP(-LN(2)/2)*AB143+(1-EXP(-LN(2)/2))/(LN(2)/2)*V144*Y144*VLOOKUP('Données projet'!$B$9,Paramètres!$A$1:$I$89,3,0)*0.475*44/12</f>
        <v>8.5506027892750611E-16</v>
      </c>
      <c r="AC144" s="22">
        <f t="shared" si="111"/>
        <v>7.9430806845413962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1.1368683772161603E-13</v>
      </c>
      <c r="AJ144" s="13">
        <f>AI144*VLOOKUP('Données projet'!$B$10,Paramètres!$A$1:$I$89,3,0)*VLOOKUP('Données projet'!$B$10,Paramètres!$A$1:$I$89,5,0)</f>
        <v>1.1527845344971866E-13</v>
      </c>
      <c r="AK144" s="13">
        <f t="shared" si="143"/>
        <v>1.7033846239409443E-12</v>
      </c>
      <c r="AL144" s="20">
        <f t="shared" si="112"/>
        <v>3.1675048597887374E-12</v>
      </c>
      <c r="AM144" s="59">
        <f t="shared" si="113"/>
        <v>293.3333333333365</v>
      </c>
      <c r="AN144" s="59">
        <f ca="1">AVERAGE(OFFSET($AM$3,0,0,'Données projet'!$E$10+1,1))-AVERAGE(OFFSET($H$3,0,0,'Données projet'!$E$10+1,1))</f>
        <v>280.88930300426705</v>
      </c>
      <c r="AO144" s="59">
        <f t="shared" si="144"/>
        <v>166.95395852420467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1">
        <f t="shared" si="140"/>
        <v>27.939884621063818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67">
        <f t="shared" si="110"/>
        <v>523.3278790483522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143.12123169427508</v>
      </c>
      <c r="T145" s="59">
        <f t="shared" si="142"/>
        <v>351.98518810889152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5.8022640443089823</v>
      </c>
      <c r="AA145" s="21">
        <f>EXP(-LN(2)/25)*AA144+(1-EXP(-LN(2)/25))/(LN(2)/25)*Calculateur!V145*Calculateur!X145*VLOOKUP('Données projet'!$B$9,Paramètres!$A$1:$I$89,3,0)*0.475*44/12</f>
        <v>1.9693947971159993</v>
      </c>
      <c r="AB145" s="21">
        <f>EXP(-LN(2)/2)*AB144+(1-EXP(-LN(2)/2))/(LN(2)/2)*V145*Y145*VLOOKUP('Données projet'!$B$9,Paramètres!$A$1:$I$89,3,0)*0.475*44/12</f>
        <v>6.0461892155290035E-16</v>
      </c>
      <c r="AC145" s="22">
        <f t="shared" si="111"/>
        <v>7.7716588414249825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1.1368683772161603E-13</v>
      </c>
      <c r="AJ145" s="13">
        <f>AI145*VLOOKUP('Données projet'!$B$10,Paramètres!$A$1:$I$89,3,0)*VLOOKUP('Données projet'!$B$10,Paramètres!$A$1:$I$89,5,0)</f>
        <v>1.1527845344971866E-13</v>
      </c>
      <c r="AK145" s="13">
        <f t="shared" si="143"/>
        <v>1.7033846239409443E-12</v>
      </c>
      <c r="AL145" s="20">
        <f t="shared" si="112"/>
        <v>3.1675048597887374E-12</v>
      </c>
      <c r="AM145" s="59">
        <f t="shared" si="113"/>
        <v>293.3333333333365</v>
      </c>
      <c r="AN145" s="59">
        <f ca="1">AVERAGE(OFFSET($AM$3,0,0,'Données projet'!$E$10+1,1))-AVERAGE(OFFSET($H$3,0,0,'Données projet'!$E$10+1,1))</f>
        <v>280.88930300426705</v>
      </c>
      <c r="AO145" s="59">
        <f t="shared" si="144"/>
        <v>166.95395852420467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1">
        <f t="shared" si="140"/>
        <v>28.113670466115568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67">
        <f t="shared" si="110"/>
        <v>524.90754606181736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143.12123169427508</v>
      </c>
      <c r="T146" s="59">
        <f t="shared" si="142"/>
        <v>351.98518810889152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5.6884851854317002</v>
      </c>
      <c r="AA146" s="21">
        <f>EXP(-LN(2)/25)*AA145+(1-EXP(-LN(2)/25))/(LN(2)/25)*Calculateur!V146*Calculateur!X146*VLOOKUP('Données projet'!$B$9,Paramètres!$A$1:$I$89,3,0)*0.475*44/12</f>
        <v>1.9155415928228909</v>
      </c>
      <c r="AB146" s="21">
        <f>EXP(-LN(2)/2)*AB145+(1-EXP(-LN(2)/2))/(LN(2)/2)*V146*Y146*VLOOKUP('Données projet'!$B$9,Paramètres!$A$1:$I$89,3,0)*0.475*44/12</f>
        <v>4.2753013946375306E-16</v>
      </c>
      <c r="AC146" s="22">
        <f t="shared" si="111"/>
        <v>7.6040267782545907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1.1368683772161603E-13</v>
      </c>
      <c r="AJ146" s="13">
        <f>AI146*VLOOKUP('Données projet'!$B$10,Paramètres!$A$1:$I$89,3,0)*VLOOKUP('Données projet'!$B$10,Paramètres!$A$1:$I$89,5,0)</f>
        <v>1.1527845344971866E-13</v>
      </c>
      <c r="AK146" s="13">
        <f t="shared" si="143"/>
        <v>1.7033846239409443E-12</v>
      </c>
      <c r="AL146" s="20">
        <f t="shared" si="112"/>
        <v>3.1675048597887374E-12</v>
      </c>
      <c r="AM146" s="59">
        <f t="shared" si="113"/>
        <v>293.3333333333365</v>
      </c>
      <c r="AN146" s="59">
        <f ca="1">AVERAGE(OFFSET($AM$3,0,0,'Données projet'!$E$10+1,1))-AVERAGE(OFFSET($H$3,0,0,'Données projet'!$E$10+1,1))</f>
        <v>280.88930300426705</v>
      </c>
      <c r="AO146" s="59">
        <f t="shared" si="144"/>
        <v>166.95395852420467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1">
        <f t="shared" si="140"/>
        <v>28.287314908258214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67">
        <f t="shared" si="110"/>
        <v>526.48696679854902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143.12123169427508</v>
      </c>
      <c r="T147" s="59">
        <f t="shared" si="142"/>
        <v>351.98518810889152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5.5769374605787503</v>
      </c>
      <c r="AA147" s="21">
        <f>EXP(-LN(2)/25)*AA146+(1-EXP(-LN(2)/25))/(LN(2)/25)*Calculateur!V147*Calculateur!X147*VLOOKUP('Données projet'!$B$9,Paramètres!$A$1:$I$89,3,0)*0.475*44/12</f>
        <v>1.8631610072331946</v>
      </c>
      <c r="AB147" s="21">
        <f>EXP(-LN(2)/2)*AB146+(1-EXP(-LN(2)/2))/(LN(2)/2)*V147*Y147*VLOOKUP('Données projet'!$B$9,Paramètres!$A$1:$I$89,3,0)*0.475*44/12</f>
        <v>3.0230946077645017E-16</v>
      </c>
      <c r="AC147" s="22">
        <f t="shared" si="111"/>
        <v>7.4400984678119446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1.1368683772161603E-13</v>
      </c>
      <c r="AJ147" s="13">
        <f>AI147*VLOOKUP('Données projet'!$B$10,Paramètres!$A$1:$I$89,3,0)*VLOOKUP('Données projet'!$B$10,Paramètres!$A$1:$I$89,5,0)</f>
        <v>1.1527845344971866E-13</v>
      </c>
      <c r="AK147" s="13">
        <f t="shared" si="143"/>
        <v>1.7033846239409443E-12</v>
      </c>
      <c r="AL147" s="20">
        <f t="shared" si="112"/>
        <v>3.1675048597887374E-12</v>
      </c>
      <c r="AM147" s="59">
        <f t="shared" si="113"/>
        <v>293.3333333333365</v>
      </c>
      <c r="AN147" s="59">
        <f ca="1">AVERAGE(OFFSET($AM$3,0,0,'Données projet'!$E$10+1,1))-AVERAGE(OFFSET($H$3,0,0,'Données projet'!$E$10+1,1))</f>
        <v>280.88930300426705</v>
      </c>
      <c r="AO147" s="59">
        <f t="shared" si="144"/>
        <v>166.95395852420467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1">
        <f t="shared" si="140"/>
        <v>28.460819043331849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67">
        <f t="shared" si="110"/>
        <v>528.06614316713558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143.12123169427508</v>
      </c>
      <c r="T148" s="59">
        <f t="shared" si="142"/>
        <v>351.98518810889152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5.4675771185727724</v>
      </c>
      <c r="AA148" s="21">
        <f>EXP(-LN(2)/25)*AA147+(1-EXP(-LN(2)/25))/(LN(2)/25)*Calculateur!V148*Calculateur!X148*VLOOKUP('Données projet'!$B$9,Paramètres!$A$1:$I$89,3,0)*0.475*44/12</f>
        <v>1.8122127715110239</v>
      </c>
      <c r="AB148" s="21">
        <f>EXP(-LN(2)/2)*AB147+(1-EXP(-LN(2)/2))/(LN(2)/2)*V148*Y148*VLOOKUP('Données projet'!$B$9,Paramètres!$A$1:$I$89,3,0)*0.475*44/12</f>
        <v>2.1376506973187653E-16</v>
      </c>
      <c r="AC148" s="22">
        <f t="shared" si="111"/>
        <v>7.2797898900837961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1.1368683772161603E-13</v>
      </c>
      <c r="AJ148" s="13">
        <f>AI148*VLOOKUP('Données projet'!$B$10,Paramètres!$A$1:$I$89,3,0)*VLOOKUP('Données projet'!$B$10,Paramètres!$A$1:$I$89,5,0)</f>
        <v>1.1527845344971866E-13</v>
      </c>
      <c r="AK148" s="13">
        <f t="shared" si="143"/>
        <v>1.7033846239409443E-12</v>
      </c>
      <c r="AL148" s="20">
        <f t="shared" si="112"/>
        <v>3.1675048597887374E-12</v>
      </c>
      <c r="AM148" s="59">
        <f t="shared" si="113"/>
        <v>293.3333333333365</v>
      </c>
      <c r="AN148" s="59">
        <f ca="1">AVERAGE(OFFSET($AM$3,0,0,'Données projet'!$E$10+1,1))-AVERAGE(OFFSET($H$3,0,0,'Données projet'!$E$10+1,1))</f>
        <v>280.88930300426705</v>
      </c>
      <c r="AO148" s="59">
        <f t="shared" si="144"/>
        <v>166.95395852420467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1">
        <f t="shared" si="140"/>
        <v>28.634183951187829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67">
        <f t="shared" si="110"/>
        <v>529.64507704831817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143.12123169427508</v>
      </c>
      <c r="T149" s="59">
        <f t="shared" si="142"/>
        <v>351.98518810889152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5.3603612661703091</v>
      </c>
      <c r="AA149" s="21">
        <f>EXP(-LN(2)/25)*AA148+(1-EXP(-LN(2)/25))/(LN(2)/25)*Calculateur!V149*Calculateur!X149*VLOOKUP('Données projet'!$B$9,Paramètres!$A$1:$I$89,3,0)*0.475*44/12</f>
        <v>1.7626577179739271</v>
      </c>
      <c r="AB149" s="21">
        <f>EXP(-LN(2)/2)*AB148+(1-EXP(-LN(2)/2))/(LN(2)/2)*V149*Y149*VLOOKUP('Données projet'!$B$9,Paramètres!$A$1:$I$89,3,0)*0.475*44/12</f>
        <v>1.5115473038822509E-16</v>
      </c>
      <c r="AC149" s="22">
        <f t="shared" si="111"/>
        <v>7.1230189841442364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1.1368683772161603E-13</v>
      </c>
      <c r="AJ149" s="13">
        <f>AI149*VLOOKUP('Données projet'!$B$10,Paramètres!$A$1:$I$89,3,0)*VLOOKUP('Données projet'!$B$10,Paramètres!$A$1:$I$89,5,0)</f>
        <v>1.1527845344971866E-13</v>
      </c>
      <c r="AK149" s="13">
        <f t="shared" si="143"/>
        <v>1.7033846239409443E-12</v>
      </c>
      <c r="AL149" s="20">
        <f t="shared" si="112"/>
        <v>3.1675048597887374E-12</v>
      </c>
      <c r="AM149" s="59">
        <f t="shared" si="113"/>
        <v>293.3333333333365</v>
      </c>
      <c r="AN149" s="59">
        <f ca="1">AVERAGE(OFFSET($AM$3,0,0,'Données projet'!$E$10+1,1))-AVERAGE(OFFSET($H$3,0,0,'Données projet'!$E$10+1,1))</f>
        <v>280.88930300426705</v>
      </c>
      <c r="AO149" s="59">
        <f t="shared" si="144"/>
        <v>166.95395852420467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1">
        <f t="shared" si="140"/>
        <v>28.807410696029962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67">
        <f t="shared" si="110"/>
        <v>531.22377029558493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143.12123169427508</v>
      </c>
      <c r="T150" s="59">
        <f t="shared" si="142"/>
        <v>351.98518810889152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5.2552478512382459</v>
      </c>
      <c r="AA150" s="21">
        <f>EXP(-LN(2)/25)*AA149+(1-EXP(-LN(2)/25))/(LN(2)/25)*Calculateur!V150*Calculateur!X150*VLOOKUP('Données projet'!$B$9,Paramètres!$A$1:$I$89,3,0)*0.475*44/12</f>
        <v>1.7144577499817892</v>
      </c>
      <c r="AB150" s="21">
        <f>EXP(-LN(2)/2)*AB149+(1-EXP(-LN(2)/2))/(LN(2)/2)*V150*Y150*VLOOKUP('Données projet'!$B$9,Paramètres!$A$1:$I$89,3,0)*0.475*44/12</f>
        <v>1.0688253486593826E-16</v>
      </c>
      <c r="AC150" s="22">
        <f t="shared" si="111"/>
        <v>6.9697056012200349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1.1368683772161603E-13</v>
      </c>
      <c r="AJ150" s="13">
        <f>AI150*VLOOKUP('Données projet'!$B$10,Paramètres!$A$1:$I$89,3,0)*VLOOKUP('Données projet'!$B$10,Paramètres!$A$1:$I$89,5,0)</f>
        <v>1.1527845344971866E-13</v>
      </c>
      <c r="AK150" s="13">
        <f t="shared" si="143"/>
        <v>1.7033846239409443E-12</v>
      </c>
      <c r="AL150" s="20">
        <f t="shared" si="112"/>
        <v>3.1675048597887374E-12</v>
      </c>
      <c r="AM150" s="59">
        <f t="shared" si="113"/>
        <v>293.3333333333365</v>
      </c>
      <c r="AN150" s="59">
        <f ca="1">AVERAGE(OFFSET($AM$3,0,0,'Données projet'!$E$10+1,1))-AVERAGE(OFFSET($H$3,0,0,'Données projet'!$E$10+1,1))</f>
        <v>280.88930300426705</v>
      </c>
      <c r="AO150" s="59">
        <f t="shared" si="144"/>
        <v>166.95395852420467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1">
        <f t="shared" si="140"/>
        <v>28.980500326746164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67">
        <f t="shared" si="110"/>
        <v>532.80222473574895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143.12123169427508</v>
      </c>
      <c r="T151" s="59">
        <f t="shared" si="142"/>
        <v>351.98518810889152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5.1521956462601475</v>
      </c>
      <c r="AA151" s="21">
        <f>EXP(-LN(2)/25)*AA150+(1-EXP(-LN(2)/25))/(LN(2)/25)*Calculateur!V151*Calculateur!X151*VLOOKUP('Données projet'!$B$9,Paramètres!$A$1:$I$89,3,0)*0.475*44/12</f>
        <v>1.6675758126491227</v>
      </c>
      <c r="AB151" s="21">
        <f>EXP(-LN(2)/2)*AB150+(1-EXP(-LN(2)/2))/(LN(2)/2)*V151*Y151*VLOOKUP('Données projet'!$B$9,Paramètres!$A$1:$I$89,3,0)*0.475*44/12</f>
        <v>7.5577365194112544E-17</v>
      </c>
      <c r="AC151" s="22">
        <f t="shared" si="111"/>
        <v>6.8197714589092699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1.1368683772161603E-13</v>
      </c>
      <c r="AJ151" s="13">
        <f>AI151*VLOOKUP('Données projet'!$B$10,Paramètres!$A$1:$I$89,3,0)*VLOOKUP('Données projet'!$B$10,Paramètres!$A$1:$I$89,5,0)</f>
        <v>1.1527845344971866E-13</v>
      </c>
      <c r="AK151" s="13">
        <f t="shared" si="143"/>
        <v>1.7033846239409443E-12</v>
      </c>
      <c r="AL151" s="20">
        <f t="shared" si="112"/>
        <v>3.1675048597887374E-12</v>
      </c>
      <c r="AM151" s="59">
        <f t="shared" si="113"/>
        <v>293.3333333333365</v>
      </c>
      <c r="AN151" s="59">
        <f ca="1">AVERAGE(OFFSET($AM$3,0,0,'Données projet'!$E$10+1,1))-AVERAGE(OFFSET($H$3,0,0,'Données projet'!$E$10+1,1))</f>
        <v>280.88930300426705</v>
      </c>
      <c r="AO151" s="59">
        <f t="shared" si="144"/>
        <v>166.95395852420467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1">
        <f t="shared" si="140"/>
        <v>29.153453877230778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67">
        <f t="shared" si="110"/>
        <v>534.38044216950959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143.12123169427508</v>
      </c>
      <c r="T152" s="59">
        <f t="shared" si="142"/>
        <v>351.98518810889152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5.0511642321660313</v>
      </c>
      <c r="AA152" s="21">
        <f>EXP(-LN(2)/25)*AA151+(1-EXP(-LN(2)/25))/(LN(2)/25)*Calculateur!V152*Calculateur!X152*VLOOKUP('Données projet'!$B$9,Paramètres!$A$1:$I$89,3,0)*0.475*44/12</f>
        <v>1.6219758643582318</v>
      </c>
      <c r="AB152" s="21">
        <f>EXP(-LN(2)/2)*AB151+(1-EXP(-LN(2)/2))/(LN(2)/2)*V152*Y152*VLOOKUP('Données projet'!$B$9,Paramètres!$A$1:$I$89,3,0)*0.475*44/12</f>
        <v>5.3441267432969132E-17</v>
      </c>
      <c r="AC152" s="22">
        <f t="shared" si="111"/>
        <v>6.6731400965242633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1.1368683772161603E-13</v>
      </c>
      <c r="AJ152" s="13">
        <f>AI152*VLOOKUP('Données projet'!$B$10,Paramètres!$A$1:$I$89,3,0)*VLOOKUP('Données projet'!$B$10,Paramètres!$A$1:$I$89,5,0)</f>
        <v>1.1527845344971866E-13</v>
      </c>
      <c r="AK152" s="13">
        <f t="shared" si="143"/>
        <v>1.7033846239409443E-12</v>
      </c>
      <c r="AL152" s="20">
        <f t="shared" si="112"/>
        <v>3.1675048597887374E-12</v>
      </c>
      <c r="AM152" s="59">
        <f t="shared" si="113"/>
        <v>293.3333333333365</v>
      </c>
      <c r="AN152" s="59">
        <f ca="1">AVERAGE(OFFSET($AM$3,0,0,'Données projet'!$E$10+1,1))-AVERAGE(OFFSET($H$3,0,0,'Données projet'!$E$10+1,1))</f>
        <v>280.88930300426705</v>
      </c>
      <c r="AO152" s="59">
        <f t="shared" si="144"/>
        <v>166.95395852420467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1">
        <f t="shared" si="140"/>
        <v>29.326272366698181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67">
        <f t="shared" si="110"/>
        <v>535.95842437199872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143.12123169427508</v>
      </c>
      <c r="T153" s="59">
        <f t="shared" si="142"/>
        <v>351.98518810889152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4.9521139824792231</v>
      </c>
      <c r="AA153" s="21">
        <f>EXP(-LN(2)/25)*AA152+(1-EXP(-LN(2)/25))/(LN(2)/25)*Calculateur!V153*Calculateur!X153*VLOOKUP('Données projet'!$B$9,Paramètres!$A$1:$I$89,3,0)*0.475*44/12</f>
        <v>1.5776228490513524</v>
      </c>
      <c r="AB153" s="21">
        <f>EXP(-LN(2)/2)*AB152+(1-EXP(-LN(2)/2))/(LN(2)/2)*V153*Y153*VLOOKUP('Données projet'!$B$9,Paramètres!$A$1:$I$89,3,0)*0.475*44/12</f>
        <v>3.7788682597056272E-17</v>
      </c>
      <c r="AC153" s="22">
        <f t="shared" si="111"/>
        <v>6.5297368315305757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1.1368683772161603E-13</v>
      </c>
      <c r="AJ153" s="13">
        <f>AI153*VLOOKUP('Données projet'!$B$10,Paramètres!$A$1:$I$89,3,0)*VLOOKUP('Données projet'!$B$10,Paramètres!$A$1:$I$89,5,0)</f>
        <v>1.1527845344971866E-13</v>
      </c>
      <c r="AK153" s="13">
        <f t="shared" si="143"/>
        <v>1.7033846239409443E-12</v>
      </c>
      <c r="AL153" s="20">
        <f t="shared" si="112"/>
        <v>3.1675048597887374E-12</v>
      </c>
      <c r="AM153" s="59">
        <f t="shared" si="113"/>
        <v>293.3333333333365</v>
      </c>
      <c r="AN153" s="59">
        <f ca="1">AVERAGE(OFFSET($AM$3,0,0,'Données projet'!$E$10+1,1))-AVERAGE(OFFSET($H$3,0,0,'Données projet'!$E$10+1,1))</f>
        <v>280.88930300426705</v>
      </c>
      <c r="AO153" s="59">
        <f t="shared" si="144"/>
        <v>166.95395852420467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1">
        <f t="shared" si="140"/>
        <v>29.498956799987411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67">
        <f t="shared" si="110"/>
        <v>537.53617309331071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143.12123169427508</v>
      </c>
      <c r="T154" s="59">
        <f t="shared" si="142"/>
        <v>351.98518810889152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4.8550060477740864</v>
      </c>
      <c r="AA154" s="21">
        <f>EXP(-LN(2)/25)*AA153+(1-EXP(-LN(2)/25))/(LN(2)/25)*Calculateur!V154*Calculateur!X154*VLOOKUP('Données projet'!$B$9,Paramètres!$A$1:$I$89,3,0)*0.475*44/12</f>
        <v>1.5344826692804632</v>
      </c>
      <c r="AB154" s="21">
        <f>EXP(-LN(2)/2)*AB153+(1-EXP(-LN(2)/2))/(LN(2)/2)*V154*Y154*VLOOKUP('Données projet'!$B$9,Paramètres!$A$1:$I$89,3,0)*0.475*44/12</f>
        <v>2.6720633716484566E-17</v>
      </c>
      <c r="AC154" s="22">
        <f t="shared" ref="AC154:AC203" si="163">SUM(Z154:AB154)</f>
        <v>6.3894887170545491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1.1368683772161603E-13</v>
      </c>
      <c r="AJ154" s="13">
        <f>AI154*VLOOKUP('Données projet'!$B$10,Paramètres!$A$1:$I$89,3,0)*VLOOKUP('Données projet'!$B$10,Paramètres!$A$1:$I$89,5,0)</f>
        <v>1.1527845344971866E-13</v>
      </c>
      <c r="AK154" s="13">
        <f t="shared" ref="AK154:AK203" si="164">EXP(-1.0587+0.8836*LN(AJ154)+0.284)</f>
        <v>1.7033846239409443E-12</v>
      </c>
      <c r="AL154" s="20">
        <f t="shared" ref="AL154:AL203" si="165">(AJ154+AK154)*0.475*44/12</f>
        <v>3.1675048597887374E-12</v>
      </c>
      <c r="AM154" s="59">
        <f t="shared" si="113"/>
        <v>293.3333333333365</v>
      </c>
      <c r="AN154" s="59">
        <f ca="1">AVERAGE(OFFSET($AM$3,0,0,'Données projet'!$E$10+1,1))-AVERAGE(OFFSET($H$3,0,0,'Données projet'!$E$10+1,1))</f>
        <v>280.88930300426705</v>
      </c>
      <c r="AO154" s="59">
        <f t="shared" si="144"/>
        <v>166.95395852420467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1">
        <f t="shared" si="140"/>
        <v>29.671508167859105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67">
        <f t="shared" si="110"/>
        <v>539.11369005902054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143.12123169427508</v>
      </c>
      <c r="T155" s="59">
        <f t="shared" si="142"/>
        <v>351.98518810889152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4.759802340438525</v>
      </c>
      <c r="AA155" s="21">
        <f>EXP(-LN(2)/25)*AA154+(1-EXP(-LN(2)/25))/(LN(2)/25)*Calculateur!V155*Calculateur!X155*VLOOKUP('Données projet'!$B$9,Paramètres!$A$1:$I$89,3,0)*0.475*44/12</f>
        <v>1.4925221599940524</v>
      </c>
      <c r="AB155" s="21">
        <f>EXP(-LN(2)/2)*AB154+(1-EXP(-LN(2)/2))/(LN(2)/2)*V155*Y155*VLOOKUP('Données projet'!$B$9,Paramètres!$A$1:$I$89,3,0)*0.475*44/12</f>
        <v>1.8894341298528136E-17</v>
      </c>
      <c r="AC155" s="22">
        <f t="shared" si="163"/>
        <v>6.2523245004325769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1.1368683772161603E-13</v>
      </c>
      <c r="AJ155" s="13">
        <f>AI155*VLOOKUP('Données projet'!$B$10,Paramètres!$A$1:$I$89,3,0)*VLOOKUP('Données projet'!$B$10,Paramètres!$A$1:$I$89,5,0)</f>
        <v>1.1527845344971866E-13</v>
      </c>
      <c r="AK155" s="13">
        <f t="shared" si="164"/>
        <v>1.7033846239409443E-12</v>
      </c>
      <c r="AL155" s="20">
        <f t="shared" si="165"/>
        <v>3.1675048597887374E-12</v>
      </c>
      <c r="AM155" s="59">
        <f t="shared" si="113"/>
        <v>293.3333333333365</v>
      </c>
      <c r="AN155" s="59">
        <f ca="1">AVERAGE(OFFSET($AM$3,0,0,'Données projet'!$E$10+1,1))-AVERAGE(OFFSET($H$3,0,0,'Données projet'!$E$10+1,1))</f>
        <v>280.88930300426705</v>
      </c>
      <c r="AO155" s="59">
        <f t="shared" si="144"/>
        <v>166.95395852420467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1">
        <f t="shared" si="140"/>
        <v>29.843927447283722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67">
        <f t="shared" si="110"/>
        <v>540.69097697068514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143.12123169427508</v>
      </c>
      <c r="T156" s="59">
        <f t="shared" si="142"/>
        <v>351.98518810889152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4.6664655197352864</v>
      </c>
      <c r="AA156" s="21">
        <f>EXP(-LN(2)/25)*AA155+(1-EXP(-LN(2)/25))/(LN(2)/25)*Calculateur!V156*Calculateur!X156*VLOOKUP('Données projet'!$B$9,Paramètres!$A$1:$I$89,3,0)*0.475*44/12</f>
        <v>1.4517090630406857</v>
      </c>
      <c r="AB156" s="21">
        <f>EXP(-LN(2)/2)*AB155+(1-EXP(-LN(2)/2))/(LN(2)/2)*V156*Y156*VLOOKUP('Données projet'!$B$9,Paramètres!$A$1:$I$89,3,0)*0.475*44/12</f>
        <v>1.3360316858242283E-17</v>
      </c>
      <c r="AC156" s="22">
        <f t="shared" si="163"/>
        <v>6.1181745827759721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1.1368683772161603E-13</v>
      </c>
      <c r="AJ156" s="13">
        <f>AI156*VLOOKUP('Données projet'!$B$10,Paramètres!$A$1:$I$89,3,0)*VLOOKUP('Données projet'!$B$10,Paramètres!$A$1:$I$89,5,0)</f>
        <v>1.1527845344971866E-13</v>
      </c>
      <c r="AK156" s="13">
        <f t="shared" si="164"/>
        <v>1.7033846239409443E-12</v>
      </c>
      <c r="AL156" s="20">
        <f t="shared" si="165"/>
        <v>3.1675048597887374E-12</v>
      </c>
      <c r="AM156" s="59">
        <f t="shared" si="113"/>
        <v>293.3333333333365</v>
      </c>
      <c r="AN156" s="59">
        <f ca="1">AVERAGE(OFFSET($AM$3,0,0,'Données projet'!$E$10+1,1))-AVERAGE(OFFSET($H$3,0,0,'Données projet'!$E$10+1,1))</f>
        <v>280.88930300426705</v>
      </c>
      <c r="AO156" s="59">
        <f t="shared" si="144"/>
        <v>166.95395852420467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1">
        <f t="shared" si="140"/>
        <v>30.016215601722468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67">
        <f t="shared" si="110"/>
        <v>542.26803550633258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143.12123169427508</v>
      </c>
      <c r="T157" s="59">
        <f t="shared" si="142"/>
        <v>351.98518810889152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4.5749589771561991</v>
      </c>
      <c r="AA157" s="21">
        <f>EXP(-LN(2)/25)*AA156+(1-EXP(-LN(2)/25))/(LN(2)/25)*Calculateur!V157*Calculateur!X157*VLOOKUP('Données projet'!$B$9,Paramètres!$A$1:$I$89,3,0)*0.475*44/12</f>
        <v>1.4120120023697764</v>
      </c>
      <c r="AB157" s="21">
        <f>EXP(-LN(2)/2)*AB156+(1-EXP(-LN(2)/2))/(LN(2)/2)*V157*Y157*VLOOKUP('Données projet'!$B$9,Paramètres!$A$1:$I$89,3,0)*0.475*44/12</f>
        <v>9.447170649264068E-18</v>
      </c>
      <c r="AC157" s="22">
        <f t="shared" si="163"/>
        <v>5.9869709795259753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1.1368683772161603E-13</v>
      </c>
      <c r="AJ157" s="13">
        <f>AI157*VLOOKUP('Données projet'!$B$10,Paramètres!$A$1:$I$89,3,0)*VLOOKUP('Données projet'!$B$10,Paramètres!$A$1:$I$89,5,0)</f>
        <v>1.1527845344971866E-13</v>
      </c>
      <c r="AK157" s="13">
        <f t="shared" si="164"/>
        <v>1.7033846239409443E-12</v>
      </c>
      <c r="AL157" s="20">
        <f t="shared" si="165"/>
        <v>3.1675048597887374E-12</v>
      </c>
      <c r="AM157" s="59">
        <f t="shared" si="113"/>
        <v>293.3333333333365</v>
      </c>
      <c r="AN157" s="59">
        <f ca="1">AVERAGE(OFFSET($AM$3,0,0,'Données projet'!$E$10+1,1))-AVERAGE(OFFSET($H$3,0,0,'Données projet'!$E$10+1,1))</f>
        <v>280.88930300426705</v>
      </c>
      <c r="AO157" s="59">
        <f t="shared" si="144"/>
        <v>166.95395852420467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1">
        <f t="shared" si="140"/>
        <v>30.188373581400619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67">
        <f t="shared" si="110"/>
        <v>543.84486732093865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143.12123169427508</v>
      </c>
      <c r="T158" s="59">
        <f t="shared" si="142"/>
        <v>351.98518810889152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4.4852468220636084</v>
      </c>
      <c r="AA158" s="21">
        <f>EXP(-LN(2)/25)*AA157+(1-EXP(-LN(2)/25))/(LN(2)/25)*Calculateur!V158*Calculateur!X158*VLOOKUP('Données projet'!$B$9,Paramètres!$A$1:$I$89,3,0)*0.475*44/12</f>
        <v>1.373400459910491</v>
      </c>
      <c r="AB158" s="21">
        <f>EXP(-LN(2)/2)*AB157+(1-EXP(-LN(2)/2))/(LN(2)/2)*V158*Y158*VLOOKUP('Données projet'!$B$9,Paramètres!$A$1:$I$89,3,0)*0.475*44/12</f>
        <v>6.6801584291211415E-18</v>
      </c>
      <c r="AC158" s="22">
        <f t="shared" si="163"/>
        <v>5.8586472819740996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1.1368683772161603E-13</v>
      </c>
      <c r="AJ158" s="13">
        <f>AI158*VLOOKUP('Données projet'!$B$10,Paramètres!$A$1:$I$89,3,0)*VLOOKUP('Données projet'!$B$10,Paramètres!$A$1:$I$89,5,0)</f>
        <v>1.1527845344971866E-13</v>
      </c>
      <c r="AK158" s="13">
        <f t="shared" si="164"/>
        <v>1.7033846239409443E-12</v>
      </c>
      <c r="AL158" s="20">
        <f t="shared" si="165"/>
        <v>3.1675048597887374E-12</v>
      </c>
      <c r="AM158" s="59">
        <f t="shared" si="113"/>
        <v>293.3333333333365</v>
      </c>
      <c r="AN158" s="59">
        <f ca="1">AVERAGE(OFFSET($AM$3,0,0,'Données projet'!$E$10+1,1))-AVERAGE(OFFSET($H$3,0,0,'Données projet'!$E$10+1,1))</f>
        <v>280.88930300426705</v>
      </c>
      <c r="AO158" s="59">
        <f t="shared" si="144"/>
        <v>166.95395852420467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1">
        <f t="shared" si="140"/>
        <v>30.360402323573442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67">
        <f t="shared" si="110"/>
        <v>545.42147404688967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143.12123169427508</v>
      </c>
      <c r="T159" s="59">
        <f t="shared" si="142"/>
        <v>351.98518810889152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4.3972938676133717</v>
      </c>
      <c r="AA159" s="21">
        <f>EXP(-LN(2)/25)*AA158+(1-EXP(-LN(2)/25))/(LN(2)/25)*Calculateur!V159*Calculateur!X159*VLOOKUP('Données projet'!$B$9,Paramètres!$A$1:$I$89,3,0)*0.475*44/12</f>
        <v>1.3358447521102474</v>
      </c>
      <c r="AB159" s="21">
        <f>EXP(-LN(2)/2)*AB158+(1-EXP(-LN(2)/2))/(LN(2)/2)*V159*Y159*VLOOKUP('Données projet'!$B$9,Paramètres!$A$1:$I$89,3,0)*0.475*44/12</f>
        <v>4.723585324632034E-18</v>
      </c>
      <c r="AC159" s="22">
        <f t="shared" si="163"/>
        <v>5.7331386197236194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1.1368683772161603E-13</v>
      </c>
      <c r="AJ159" s="13">
        <f>AI159*VLOOKUP('Données projet'!$B$10,Paramètres!$A$1:$I$89,3,0)*VLOOKUP('Données projet'!$B$10,Paramètres!$A$1:$I$89,5,0)</f>
        <v>1.1527845344971866E-13</v>
      </c>
      <c r="AK159" s="13">
        <f t="shared" si="164"/>
        <v>1.7033846239409443E-12</v>
      </c>
      <c r="AL159" s="20">
        <f t="shared" si="165"/>
        <v>3.1675048597887374E-12</v>
      </c>
      <c r="AM159" s="59">
        <f t="shared" si="113"/>
        <v>293.3333333333365</v>
      </c>
      <c r="AN159" s="59">
        <f ca="1">AVERAGE(OFFSET($AM$3,0,0,'Données projet'!$E$10+1,1))-AVERAGE(OFFSET($H$3,0,0,'Données projet'!$E$10+1,1))</f>
        <v>280.88930300426705</v>
      </c>
      <c r="AO159" s="59">
        <f t="shared" si="144"/>
        <v>166.95395852420467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1">
        <f t="shared" si="140"/>
        <v>30.532302752785306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67">
        <f t="shared" si="110"/>
        <v>546.99785729443374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143.12123169427508</v>
      </c>
      <c r="T160" s="59">
        <f t="shared" si="142"/>
        <v>351.98518810889152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4.3110656169538988</v>
      </c>
      <c r="AA160" s="21">
        <f>EXP(-LN(2)/25)*AA159+(1-EXP(-LN(2)/25))/(LN(2)/25)*Calculateur!V160*Calculateur!X160*VLOOKUP('Données projet'!$B$9,Paramètres!$A$1:$I$89,3,0)*0.475*44/12</f>
        <v>1.2993160071147702</v>
      </c>
      <c r="AB160" s="21">
        <f>EXP(-LN(2)/2)*AB159+(1-EXP(-LN(2)/2))/(LN(2)/2)*V160*Y160*VLOOKUP('Données projet'!$B$9,Paramètres!$A$1:$I$89,3,0)*0.475*44/12</f>
        <v>3.3400792145605707E-18</v>
      </c>
      <c r="AC160" s="22">
        <f t="shared" si="163"/>
        <v>5.610381624068669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1.1368683772161603E-13</v>
      </c>
      <c r="AJ160" s="13">
        <f>AI160*VLOOKUP('Données projet'!$B$10,Paramètres!$A$1:$I$89,3,0)*VLOOKUP('Données projet'!$B$10,Paramètres!$A$1:$I$89,5,0)</f>
        <v>1.1527845344971866E-13</v>
      </c>
      <c r="AK160" s="13">
        <f t="shared" si="164"/>
        <v>1.7033846239409443E-12</v>
      </c>
      <c r="AL160" s="20">
        <f t="shared" si="165"/>
        <v>3.1675048597887374E-12</v>
      </c>
      <c r="AM160" s="59">
        <f t="shared" si="113"/>
        <v>293.3333333333365</v>
      </c>
      <c r="AN160" s="59">
        <f ca="1">AVERAGE(OFFSET($AM$3,0,0,'Données projet'!$E$10+1,1))-AVERAGE(OFFSET($H$3,0,0,'Données projet'!$E$10+1,1))</f>
        <v>280.88930300426705</v>
      </c>
      <c r="AO160" s="59">
        <f t="shared" si="144"/>
        <v>166.95395852420467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1">
        <f t="shared" si="140"/>
        <v>30.704075781121787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67">
        <f t="shared" si="110"/>
        <v>548.57401865211966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143.12123169427508</v>
      </c>
      <c r="T161" s="59">
        <f t="shared" si="142"/>
        <v>351.98518810889152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4.2265282496958188</v>
      </c>
      <c r="AA161" s="21">
        <f>EXP(-LN(2)/25)*AA160+(1-EXP(-LN(2)/25))/(LN(2)/25)*Calculateur!V161*Calculateur!X161*VLOOKUP('Données projet'!$B$9,Paramètres!$A$1:$I$89,3,0)*0.475*44/12</f>
        <v>1.2637861425721577</v>
      </c>
      <c r="AB161" s="21">
        <f>EXP(-LN(2)/2)*AB160+(1-EXP(-LN(2)/2))/(LN(2)/2)*V161*Y161*VLOOKUP('Données projet'!$B$9,Paramètres!$A$1:$I$89,3,0)*0.475*44/12</f>
        <v>2.361792662316017E-18</v>
      </c>
      <c r="AC161" s="22">
        <f t="shared" si="163"/>
        <v>5.490314392267976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1.1368683772161603E-13</v>
      </c>
      <c r="AJ161" s="13">
        <f>AI161*VLOOKUP('Données projet'!$B$10,Paramètres!$A$1:$I$89,3,0)*VLOOKUP('Données projet'!$B$10,Paramètres!$A$1:$I$89,5,0)</f>
        <v>1.1527845344971866E-13</v>
      </c>
      <c r="AK161" s="13">
        <f t="shared" si="164"/>
        <v>1.7033846239409443E-12</v>
      </c>
      <c r="AL161" s="20">
        <f t="shared" si="165"/>
        <v>3.1675048597887374E-12</v>
      </c>
      <c r="AM161" s="59">
        <f t="shared" si="113"/>
        <v>293.3333333333365</v>
      </c>
      <c r="AN161" s="59">
        <f ca="1">AVERAGE(OFFSET($AM$3,0,0,'Données projet'!$E$10+1,1))-AVERAGE(OFFSET($H$3,0,0,'Données projet'!$E$10+1,1))</f>
        <v>280.88930300426705</v>
      </c>
      <c r="AO161" s="59">
        <f t="shared" si="144"/>
        <v>166.95395852420467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1">
        <f t="shared" si="140"/>
        <v>30.875722308455476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67">
        <f t="shared" si="110"/>
        <v>550.14995968722587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143.12123169427508</v>
      </c>
      <c r="T162" s="59">
        <f t="shared" si="142"/>
        <v>351.98518810889152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4.1436486086469673</v>
      </c>
      <c r="AA162" s="21">
        <f>EXP(-LN(2)/25)*AA161+(1-EXP(-LN(2)/25))/(LN(2)/25)*Calculateur!V162*Calculateur!X162*VLOOKUP('Données projet'!$B$9,Paramètres!$A$1:$I$89,3,0)*0.475*44/12</f>
        <v>1.2292278440438973</v>
      </c>
      <c r="AB162" s="21">
        <f>EXP(-LN(2)/2)*AB161+(1-EXP(-LN(2)/2))/(LN(2)/2)*V162*Y162*VLOOKUP('Données projet'!$B$9,Paramètres!$A$1:$I$89,3,0)*0.475*44/12</f>
        <v>1.6700396072802854E-18</v>
      </c>
      <c r="AC162" s="22">
        <f t="shared" si="163"/>
        <v>5.3728764526908641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1.1368683772161603E-13</v>
      </c>
      <c r="AJ162" s="13">
        <f>AI162*VLOOKUP('Données projet'!$B$10,Paramètres!$A$1:$I$89,3,0)*VLOOKUP('Données projet'!$B$10,Paramètres!$A$1:$I$89,5,0)</f>
        <v>1.1527845344971866E-13</v>
      </c>
      <c r="AK162" s="13">
        <f t="shared" si="164"/>
        <v>1.7033846239409443E-12</v>
      </c>
      <c r="AL162" s="20">
        <f t="shared" si="165"/>
        <v>3.1675048597887374E-12</v>
      </c>
      <c r="AM162" s="59">
        <f t="shared" si="113"/>
        <v>293.3333333333365</v>
      </c>
      <c r="AN162" s="59">
        <f ca="1">AVERAGE(OFFSET($AM$3,0,0,'Données projet'!$E$10+1,1))-AVERAGE(OFFSET($H$3,0,0,'Données projet'!$E$10+1,1))</f>
        <v>280.88930300426705</v>
      </c>
      <c r="AO162" s="59">
        <f t="shared" si="144"/>
        <v>166.95395852420467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1">
        <f t="shared" si="140"/>
        <v>31.047243222685147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67">
        <f t="shared" si="110"/>
        <v>551.72568194617588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143.12123169427508</v>
      </c>
      <c r="T163" s="59">
        <f t="shared" si="142"/>
        <v>351.98518810889152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4.0623941868074942</v>
      </c>
      <c r="AA163" s="21">
        <f>EXP(-LN(2)/25)*AA162+(1-EXP(-LN(2)/25))/(LN(2)/25)*Calculateur!V163*Calculateur!X163*VLOOKUP('Données projet'!$B$9,Paramètres!$A$1:$I$89,3,0)*0.475*44/12</f>
        <v>1.195614544006234</v>
      </c>
      <c r="AB163" s="21">
        <f>EXP(-LN(2)/2)*AB162+(1-EXP(-LN(2)/2))/(LN(2)/2)*V163*Y163*VLOOKUP('Données projet'!$B$9,Paramètres!$A$1:$I$89,3,0)*0.475*44/12</f>
        <v>1.1808963311580085E-18</v>
      </c>
      <c r="AC163" s="22">
        <f t="shared" si="163"/>
        <v>5.258008730813728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1.1368683772161603E-13</v>
      </c>
      <c r="AJ163" s="13">
        <f>AI163*VLOOKUP('Données projet'!$B$10,Paramètres!$A$1:$I$89,3,0)*VLOOKUP('Données projet'!$B$10,Paramètres!$A$1:$I$89,5,0)</f>
        <v>1.1527845344971866E-13</v>
      </c>
      <c r="AK163" s="13">
        <f t="shared" si="164"/>
        <v>1.7033846239409443E-12</v>
      </c>
      <c r="AL163" s="20">
        <f t="shared" si="165"/>
        <v>3.1675048597887374E-12</v>
      </c>
      <c r="AM163" s="59">
        <f t="shared" si="113"/>
        <v>293.3333333333365</v>
      </c>
      <c r="AN163" s="59">
        <f ca="1">AVERAGE(OFFSET($AM$3,0,0,'Données projet'!$E$10+1,1))-AVERAGE(OFFSET($H$3,0,0,'Données projet'!$E$10+1,1))</f>
        <v>280.88930300426705</v>
      </c>
      <c r="AO163" s="59">
        <f t="shared" si="144"/>
        <v>166.95395852420467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1">
        <f t="shared" si="140"/>
        <v>31.218639399968879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67">
        <f t="shared" si="110"/>
        <v>553.30118695494502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143.12123169427508</v>
      </c>
      <c r="T164" s="59">
        <f t="shared" si="142"/>
        <v>351.98518810889152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3.9827331146199891</v>
      </c>
      <c r="AA164" s="21">
        <f>EXP(-LN(2)/25)*AA163+(1-EXP(-LN(2)/25))/(LN(2)/25)*Calculateur!V164*Calculateur!X164*VLOOKUP('Données projet'!$B$9,Paramètres!$A$1:$I$89,3,0)*0.475*44/12</f>
        <v>1.1629204014257473</v>
      </c>
      <c r="AB164" s="21">
        <f>EXP(-LN(2)/2)*AB163+(1-EXP(-LN(2)/2))/(LN(2)/2)*V164*Y164*VLOOKUP('Données projet'!$B$9,Paramètres!$A$1:$I$89,3,0)*0.475*44/12</f>
        <v>8.3501980364014269E-19</v>
      </c>
      <c r="AC164" s="22">
        <f t="shared" si="163"/>
        <v>5.1456535160457362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1.1368683772161603E-13</v>
      </c>
      <c r="AJ164" s="13">
        <f>AI164*VLOOKUP('Données projet'!$B$10,Paramètres!$A$1:$I$89,3,0)*VLOOKUP('Données projet'!$B$10,Paramètres!$A$1:$I$89,5,0)</f>
        <v>1.1527845344971866E-13</v>
      </c>
      <c r="AK164" s="13">
        <f t="shared" si="164"/>
        <v>1.7033846239409443E-12</v>
      </c>
      <c r="AL164" s="20">
        <f t="shared" si="165"/>
        <v>3.1675048597887374E-12</v>
      </c>
      <c r="AM164" s="59">
        <f t="shared" si="113"/>
        <v>293.3333333333365</v>
      </c>
      <c r="AN164" s="59">
        <f ca="1">AVERAGE(OFFSET($AM$3,0,0,'Données projet'!$E$10+1,1))-AVERAGE(OFFSET($H$3,0,0,'Données projet'!$E$10+1,1))</f>
        <v>280.88930300426705</v>
      </c>
      <c r="AO164" s="59">
        <f t="shared" si="144"/>
        <v>166.95395852420467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1">
        <f t="shared" si="140"/>
        <v>31.389911704951448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67">
        <f t="shared" si="110"/>
        <v>554.87647621945644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143.12123169427508</v>
      </c>
      <c r="T165" s="59">
        <f t="shared" si="142"/>
        <v>351.98518810889152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3.9046341474696247</v>
      </c>
      <c r="AA165" s="21">
        <f>EXP(-LN(2)/25)*AA164+(1-EXP(-LN(2)/25))/(LN(2)/25)*Calculateur!V165*Calculateur!X165*VLOOKUP('Données projet'!$B$9,Paramètres!$A$1:$I$89,3,0)*0.475*44/12</f>
        <v>1.1311202818934343</v>
      </c>
      <c r="AB165" s="21">
        <f>EXP(-LN(2)/2)*AB164+(1-EXP(-LN(2)/2))/(LN(2)/2)*V165*Y165*VLOOKUP('Données projet'!$B$9,Paramètres!$A$1:$I$89,3,0)*0.475*44/12</f>
        <v>5.9044816557900425E-19</v>
      </c>
      <c r="AC165" s="22">
        <f t="shared" si="163"/>
        <v>5.0357544293630587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1.1368683772161603E-13</v>
      </c>
      <c r="AJ165" s="13">
        <f>AI165*VLOOKUP('Données projet'!$B$10,Paramètres!$A$1:$I$89,3,0)*VLOOKUP('Données projet'!$B$10,Paramètres!$A$1:$I$89,5,0)</f>
        <v>1.1527845344971866E-13</v>
      </c>
      <c r="AK165" s="13">
        <f t="shared" si="164"/>
        <v>1.7033846239409443E-12</v>
      </c>
      <c r="AL165" s="20">
        <f t="shared" si="165"/>
        <v>3.1675048597887374E-12</v>
      </c>
      <c r="AM165" s="59">
        <f t="shared" si="113"/>
        <v>293.3333333333365</v>
      </c>
      <c r="AN165" s="59">
        <f ca="1">AVERAGE(OFFSET($AM$3,0,0,'Données projet'!$E$10+1,1))-AVERAGE(OFFSET($H$3,0,0,'Données projet'!$E$10+1,1))</f>
        <v>280.88930300426705</v>
      </c>
      <c r="AO165" s="59">
        <f t="shared" si="144"/>
        <v>166.95395852420467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1">
        <f t="shared" si="140"/>
        <v>31.561060990985393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67">
        <f t="shared" si="110"/>
        <v>556.45155122596543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143.12123169427508</v>
      </c>
      <c r="T166" s="59">
        <f t="shared" si="142"/>
        <v>351.98518810889152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3.8280666534294125</v>
      </c>
      <c r="AA166" s="21">
        <f>EXP(-LN(2)/25)*AA165+(1-EXP(-LN(2)/25))/(LN(2)/25)*Calculateur!V166*Calculateur!X166*VLOOKUP('Données projet'!$B$9,Paramètres!$A$1:$I$89,3,0)*0.475*44/12</f>
        <v>1.1001897383020278</v>
      </c>
      <c r="AB166" s="21">
        <f>EXP(-LN(2)/2)*AB165+(1-EXP(-LN(2)/2))/(LN(2)/2)*V166*Y166*VLOOKUP('Données projet'!$B$9,Paramètres!$A$1:$I$89,3,0)*0.475*44/12</f>
        <v>4.1750990182007134E-19</v>
      </c>
      <c r="AC166" s="22">
        <f t="shared" si="163"/>
        <v>4.9282563917314404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1.1368683772161603E-13</v>
      </c>
      <c r="AJ166" s="13">
        <f>AI166*VLOOKUP('Données projet'!$B$10,Paramètres!$A$1:$I$89,3,0)*VLOOKUP('Données projet'!$B$10,Paramètres!$A$1:$I$89,5,0)</f>
        <v>1.1527845344971866E-13</v>
      </c>
      <c r="AK166" s="13">
        <f t="shared" si="164"/>
        <v>1.7033846239409443E-12</v>
      </c>
      <c r="AL166" s="20">
        <f t="shared" si="165"/>
        <v>3.1675048597887374E-12</v>
      </c>
      <c r="AM166" s="59">
        <f t="shared" si="113"/>
        <v>293.3333333333365</v>
      </c>
      <c r="AN166" s="59">
        <f ca="1">AVERAGE(OFFSET($AM$3,0,0,'Données projet'!$E$10+1,1))-AVERAGE(OFFSET($H$3,0,0,'Données projet'!$E$10+1,1))</f>
        <v>280.88930300426705</v>
      </c>
      <c r="AO166" s="59">
        <f t="shared" si="144"/>
        <v>166.95395852420467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1">
        <f t="shared" si="140"/>
        <v>31.732088100347205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67">
        <f t="shared" si="110"/>
        <v>558.02641344143728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143.12123169427508</v>
      </c>
      <c r="T167" s="59">
        <f t="shared" si="142"/>
        <v>351.98518810889152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3.7530006012457693</v>
      </c>
      <c r="AA167" s="21">
        <f>EXP(-LN(2)/25)*AA166+(1-EXP(-LN(2)/25))/(LN(2)/25)*Calculateur!V167*Calculateur!X167*VLOOKUP('Données projet'!$B$9,Paramètres!$A$1:$I$89,3,0)*0.475*44/12</f>
        <v>1.070104992051695</v>
      </c>
      <c r="AB167" s="21">
        <f>EXP(-LN(2)/2)*AB166+(1-EXP(-LN(2)/2))/(LN(2)/2)*V167*Y167*VLOOKUP('Données projet'!$B$9,Paramètres!$A$1:$I$89,3,0)*0.475*44/12</f>
        <v>2.9522408278950212E-19</v>
      </c>
      <c r="AC167" s="22">
        <f t="shared" si="163"/>
        <v>4.8231055932974645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1.1368683772161603E-13</v>
      </c>
      <c r="AJ167" s="13">
        <f>AI167*VLOOKUP('Données projet'!$B$10,Paramètres!$A$1:$I$89,3,0)*VLOOKUP('Données projet'!$B$10,Paramètres!$A$1:$I$89,5,0)</f>
        <v>1.1527845344971866E-13</v>
      </c>
      <c r="AK167" s="13">
        <f t="shared" si="164"/>
        <v>1.7033846239409443E-12</v>
      </c>
      <c r="AL167" s="20">
        <f t="shared" si="165"/>
        <v>3.1675048597887374E-12</v>
      </c>
      <c r="AM167" s="59">
        <f t="shared" si="113"/>
        <v>293.3333333333365</v>
      </c>
      <c r="AN167" s="59">
        <f ca="1">AVERAGE(OFFSET($AM$3,0,0,'Données projet'!$E$10+1,1))-AVERAGE(OFFSET($H$3,0,0,'Données projet'!$E$10+1,1))</f>
        <v>280.88930300426705</v>
      </c>
      <c r="AO167" s="59">
        <f t="shared" si="144"/>
        <v>166.95395852420467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1">
        <f t="shared" si="140"/>
        <v>31.902993864447446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67">
        <f t="shared" si="110"/>
        <v>559.60106431391182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143.12123169427508</v>
      </c>
      <c r="T168" s="59">
        <f t="shared" si="142"/>
        <v>351.98518810889152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3.6794065485596761</v>
      </c>
      <c r="AA168" s="21">
        <f>EXP(-LN(2)/25)*AA167+(1-EXP(-LN(2)/25))/(LN(2)/25)*Calculateur!V168*Calculateur!X168*VLOOKUP('Données projet'!$B$9,Paramètres!$A$1:$I$89,3,0)*0.475*44/12</f>
        <v>1.0408429147696656</v>
      </c>
      <c r="AB168" s="21">
        <f>EXP(-LN(2)/2)*AB167+(1-EXP(-LN(2)/2))/(LN(2)/2)*V168*Y168*VLOOKUP('Données projet'!$B$9,Paramètres!$A$1:$I$89,3,0)*0.475*44/12</f>
        <v>2.0875495091003567E-19</v>
      </c>
      <c r="AC168" s="22">
        <f t="shared" si="163"/>
        <v>4.7202494633293419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1.1368683772161603E-13</v>
      </c>
      <c r="AJ168" s="13">
        <f>AI168*VLOOKUP('Données projet'!$B$10,Paramètres!$A$1:$I$89,3,0)*VLOOKUP('Données projet'!$B$10,Paramètres!$A$1:$I$89,5,0)</f>
        <v>1.1527845344971866E-13</v>
      </c>
      <c r="AK168" s="13">
        <f t="shared" si="164"/>
        <v>1.7033846239409443E-12</v>
      </c>
      <c r="AL168" s="20">
        <f t="shared" si="165"/>
        <v>3.1675048597887374E-12</v>
      </c>
      <c r="AM168" s="59">
        <f t="shared" si="113"/>
        <v>293.3333333333365</v>
      </c>
      <c r="AN168" s="59">
        <f ca="1">AVERAGE(OFFSET($AM$3,0,0,'Données projet'!$E$10+1,1))-AVERAGE(OFFSET($H$3,0,0,'Données projet'!$E$10+1,1))</f>
        <v>280.88930300426705</v>
      </c>
      <c r="AO168" s="59">
        <f t="shared" si="144"/>
        <v>166.95395852420467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1">
        <f t="shared" si="140"/>
        <v>32.073779104036042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67">
        <f t="shared" si="110"/>
        <v>561.17550527286198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143.12123169427508</v>
      </c>
      <c r="T169" s="59">
        <f t="shared" si="142"/>
        <v>351.98518810889152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3.6072556303588175</v>
      </c>
      <c r="AA169" s="21">
        <f>EXP(-LN(2)/25)*AA168+(1-EXP(-LN(2)/25))/(LN(2)/25)*Calculateur!V169*Calculateur!X169*VLOOKUP('Données projet'!$B$9,Paramètres!$A$1:$I$89,3,0)*0.475*44/12</f>
        <v>1.0123810105297391</v>
      </c>
      <c r="AB169" s="21">
        <f>EXP(-LN(2)/2)*AB168+(1-EXP(-LN(2)/2))/(LN(2)/2)*V169*Y169*VLOOKUP('Données projet'!$B$9,Paramètres!$A$1:$I$89,3,0)*0.475*44/12</f>
        <v>1.4761204139475106E-19</v>
      </c>
      <c r="AC169" s="22">
        <f t="shared" si="163"/>
        <v>4.6196366408885563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1.1368683772161603E-13</v>
      </c>
      <c r="AJ169" s="13">
        <f>AI169*VLOOKUP('Données projet'!$B$10,Paramètres!$A$1:$I$89,3,0)*VLOOKUP('Données projet'!$B$10,Paramètres!$A$1:$I$89,5,0)</f>
        <v>1.1527845344971866E-13</v>
      </c>
      <c r="AK169" s="13">
        <f t="shared" si="164"/>
        <v>1.7033846239409443E-12</v>
      </c>
      <c r="AL169" s="20">
        <f t="shared" si="165"/>
        <v>3.1675048597887374E-12</v>
      </c>
      <c r="AM169" s="59">
        <f t="shared" si="113"/>
        <v>293.3333333333365</v>
      </c>
      <c r="AN169" s="59">
        <f ca="1">AVERAGE(OFFSET($AM$3,0,0,'Données projet'!$E$10+1,1))-AVERAGE(OFFSET($H$3,0,0,'Données projet'!$E$10+1,1))</f>
        <v>280.88930300426705</v>
      </c>
      <c r="AO169" s="59">
        <f t="shared" si="144"/>
        <v>166.95395852420467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1">
        <f t="shared" si="140"/>
        <v>32.244444629402366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67">
        <f t="shared" si="110"/>
        <v>562.74973772954172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143.12123169427508</v>
      </c>
      <c r="T170" s="59">
        <f t="shared" si="142"/>
        <v>351.98518810889152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3.5365195476561628</v>
      </c>
      <c r="AA170" s="21">
        <f>EXP(-LN(2)/25)*AA169+(1-EXP(-LN(2)/25))/(LN(2)/25)*Calculateur!V170*Calculateur!X170*VLOOKUP('Données projet'!$B$9,Paramètres!$A$1:$I$89,3,0)*0.475*44/12</f>
        <v>0.98469739855799987</v>
      </c>
      <c r="AB170" s="21">
        <f>EXP(-LN(2)/2)*AB169+(1-EXP(-LN(2)/2))/(LN(2)/2)*V170*Y170*VLOOKUP('Données projet'!$B$9,Paramètres!$A$1:$I$89,3,0)*0.475*44/12</f>
        <v>1.0437747545501784E-19</v>
      </c>
      <c r="AC170" s="22">
        <f t="shared" si="163"/>
        <v>4.5212169462141629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1.1368683772161603E-13</v>
      </c>
      <c r="AJ170" s="13">
        <f>AI170*VLOOKUP('Données projet'!$B$10,Paramètres!$A$1:$I$89,3,0)*VLOOKUP('Données projet'!$B$10,Paramètres!$A$1:$I$89,5,0)</f>
        <v>1.1527845344971866E-13</v>
      </c>
      <c r="AK170" s="13">
        <f t="shared" si="164"/>
        <v>1.7033846239409443E-12</v>
      </c>
      <c r="AL170" s="20">
        <f t="shared" si="165"/>
        <v>3.1675048597887374E-12</v>
      </c>
      <c r="AM170" s="59">
        <f t="shared" si="113"/>
        <v>293.3333333333365</v>
      </c>
      <c r="AN170" s="59">
        <f ca="1">AVERAGE(OFFSET($AM$3,0,0,'Données projet'!$E$10+1,1))-AVERAGE(OFFSET($H$3,0,0,'Données projet'!$E$10+1,1))</f>
        <v>280.88930300426705</v>
      </c>
      <c r="AO170" s="59">
        <f t="shared" si="144"/>
        <v>166.95395852420467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1">
        <f t="shared" si="140"/>
        <v>32.41499124057033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67">
        <f t="shared" si="110"/>
        <v>564.32376307732591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143.12123169427508</v>
      </c>
      <c r="T171" s="59">
        <f t="shared" si="142"/>
        <v>351.98518810889152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3.467170556390557</v>
      </c>
      <c r="AA171" s="21">
        <f>EXP(-LN(2)/25)*AA170+(1-EXP(-LN(2)/25))/(LN(2)/25)*Calculateur!V171*Calculateur!X171*VLOOKUP('Données projet'!$B$9,Paramètres!$A$1:$I$89,3,0)*0.475*44/12</f>
        <v>0.95777079641144569</v>
      </c>
      <c r="AB171" s="21">
        <f>EXP(-LN(2)/2)*AB170+(1-EXP(-LN(2)/2))/(LN(2)/2)*V171*Y171*VLOOKUP('Données projet'!$B$9,Paramètres!$A$1:$I$89,3,0)*0.475*44/12</f>
        <v>7.3806020697375531E-20</v>
      </c>
      <c r="AC171" s="22">
        <f t="shared" si="163"/>
        <v>4.4249413528020032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1.1368683772161603E-13</v>
      </c>
      <c r="AJ171" s="13">
        <f>AI171*VLOOKUP('Données projet'!$B$10,Paramètres!$A$1:$I$89,3,0)*VLOOKUP('Données projet'!$B$10,Paramètres!$A$1:$I$89,5,0)</f>
        <v>1.1527845344971866E-13</v>
      </c>
      <c r="AK171" s="13">
        <f t="shared" si="164"/>
        <v>1.7033846239409443E-12</v>
      </c>
      <c r="AL171" s="20">
        <f t="shared" si="165"/>
        <v>3.1675048597887374E-12</v>
      </c>
      <c r="AM171" s="59">
        <f t="shared" si="113"/>
        <v>293.3333333333365</v>
      </c>
      <c r="AN171" s="59">
        <f ca="1">AVERAGE(OFFSET($AM$3,0,0,'Données projet'!$E$10+1,1))-AVERAGE(OFFSET($H$3,0,0,'Données projet'!$E$10+1,1))</f>
        <v>280.88930300426705</v>
      </c>
      <c r="AO171" s="59">
        <f t="shared" si="144"/>
        <v>166.95395852420467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1">
        <f t="shared" si="140"/>
        <v>32.585419727488741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67">
        <f t="shared" si="110"/>
        <v>565.89758269204208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143.12123169427508</v>
      </c>
      <c r="T172" s="59">
        <f t="shared" si="142"/>
        <v>351.98518810889152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3.3991814565449618</v>
      </c>
      <c r="AA172" s="21">
        <f>EXP(-LN(2)/25)*AA171+(1-EXP(-LN(2)/25))/(LN(2)/25)*Calculateur!V172*Calculateur!X172*VLOOKUP('Données projet'!$B$9,Paramètres!$A$1:$I$89,3,0)*0.475*44/12</f>
        <v>0.9315805036165975</v>
      </c>
      <c r="AB172" s="21">
        <f>EXP(-LN(2)/2)*AB171+(1-EXP(-LN(2)/2))/(LN(2)/2)*V172*Y172*VLOOKUP('Données projet'!$B$9,Paramètres!$A$1:$I$89,3,0)*0.475*44/12</f>
        <v>5.2188737727508918E-20</v>
      </c>
      <c r="AC172" s="22">
        <f t="shared" si="163"/>
        <v>4.330761960161559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1.1368683772161603E-13</v>
      </c>
      <c r="AJ172" s="13">
        <f>AI172*VLOOKUP('Données projet'!$B$10,Paramètres!$A$1:$I$89,3,0)*VLOOKUP('Données projet'!$B$10,Paramètres!$A$1:$I$89,5,0)</f>
        <v>1.1527845344971866E-13</v>
      </c>
      <c r="AK172" s="13">
        <f t="shared" si="164"/>
        <v>1.7033846239409443E-12</v>
      </c>
      <c r="AL172" s="20">
        <f t="shared" si="165"/>
        <v>3.1675048597887374E-12</v>
      </c>
      <c r="AM172" s="59">
        <f t="shared" si="113"/>
        <v>293.3333333333365</v>
      </c>
      <c r="AN172" s="59">
        <f ca="1">AVERAGE(OFFSET($AM$3,0,0,'Données projet'!$E$10+1,1))-AVERAGE(OFFSET($H$3,0,0,'Données projet'!$E$10+1,1))</f>
        <v>280.88930300426705</v>
      </c>
      <c r="AO172" s="59">
        <f t="shared" si="144"/>
        <v>166.95395852420467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1">
        <f t="shared" si="140"/>
        <v>32.755730870217128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67">
        <f t="shared" si="110"/>
        <v>567.4711979322941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143.12123169427508</v>
      </c>
      <c r="T173" s="59">
        <f t="shared" si="142"/>
        <v>351.98518810889152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3.3325255814780825</v>
      </c>
      <c r="AA173" s="21">
        <f>EXP(-LN(2)/25)*AA172+(1-EXP(-LN(2)/25))/(LN(2)/25)*Calculateur!V173*Calculateur!X173*VLOOKUP('Données projet'!$B$9,Paramètres!$A$1:$I$89,3,0)*0.475*44/12</f>
        <v>0.90610638575551217</v>
      </c>
      <c r="AB173" s="21">
        <f>EXP(-LN(2)/2)*AB172+(1-EXP(-LN(2)/2))/(LN(2)/2)*V173*Y173*VLOOKUP('Données projet'!$B$9,Paramètres!$A$1:$I$89,3,0)*0.475*44/12</f>
        <v>3.6903010348687766E-20</v>
      </c>
      <c r="AC173" s="22">
        <f t="shared" si="163"/>
        <v>4.2386319672335944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1.1368683772161603E-13</v>
      </c>
      <c r="AJ173" s="13">
        <f>AI173*VLOOKUP('Données projet'!$B$10,Paramètres!$A$1:$I$89,3,0)*VLOOKUP('Données projet'!$B$10,Paramètres!$A$1:$I$89,5,0)</f>
        <v>1.1527845344971866E-13</v>
      </c>
      <c r="AK173" s="13">
        <f t="shared" si="164"/>
        <v>1.7033846239409443E-12</v>
      </c>
      <c r="AL173" s="20">
        <f t="shared" si="165"/>
        <v>3.1675048597887374E-12</v>
      </c>
      <c r="AM173" s="59">
        <f t="shared" si="113"/>
        <v>293.3333333333365</v>
      </c>
      <c r="AN173" s="59">
        <f ca="1">AVERAGE(OFFSET($AM$3,0,0,'Données projet'!$E$10+1,1))-AVERAGE(OFFSET($H$3,0,0,'Données projet'!$E$10+1,1))</f>
        <v>280.88930300426705</v>
      </c>
      <c r="AO173" s="59">
        <f t="shared" si="144"/>
        <v>166.95395852420467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1">
        <f t="shared" si="140"/>
        <v>32.925925439106763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67">
        <f t="shared" si="110"/>
        <v>569.04461013977686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143.12123169427508</v>
      </c>
      <c r="T174" s="59">
        <f t="shared" si="142"/>
        <v>351.98518810889152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3.2671767874651954</v>
      </c>
      <c r="AA174" s="21">
        <f>EXP(-LN(2)/25)*AA173+(1-EXP(-LN(2)/25))/(LN(2)/25)*Calculateur!V174*Calculateur!X174*VLOOKUP('Données projet'!$B$9,Paramètres!$A$1:$I$89,3,0)*0.475*44/12</f>
        <v>0.88132885898696378</v>
      </c>
      <c r="AB174" s="21">
        <f>EXP(-LN(2)/2)*AB173+(1-EXP(-LN(2)/2))/(LN(2)/2)*V174*Y174*VLOOKUP('Données projet'!$B$9,Paramètres!$A$1:$I$89,3,0)*0.475*44/12</f>
        <v>2.6094368863754459E-20</v>
      </c>
      <c r="AC174" s="22">
        <f t="shared" si="163"/>
        <v>4.1485056464521595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1.1368683772161603E-13</v>
      </c>
      <c r="AJ174" s="13">
        <f>AI174*VLOOKUP('Données projet'!$B$10,Paramètres!$A$1:$I$89,3,0)*VLOOKUP('Données projet'!$B$10,Paramètres!$A$1:$I$89,5,0)</f>
        <v>1.1527845344971866E-13</v>
      </c>
      <c r="AK174" s="13">
        <f t="shared" si="164"/>
        <v>1.7033846239409443E-12</v>
      </c>
      <c r="AL174" s="20">
        <f t="shared" si="165"/>
        <v>3.1675048597887374E-12</v>
      </c>
      <c r="AM174" s="59">
        <f t="shared" si="113"/>
        <v>293.3333333333365</v>
      </c>
      <c r="AN174" s="59">
        <f ca="1">AVERAGE(OFFSET($AM$3,0,0,'Données projet'!$E$10+1,1))-AVERAGE(OFFSET($H$3,0,0,'Données projet'!$E$10+1,1))</f>
        <v>280.88930300426705</v>
      </c>
      <c r="AO174" s="59">
        <f t="shared" si="144"/>
        <v>166.95395852420467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1">
        <f t="shared" si="140"/>
        <v>33.096004194977731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67">
        <f t="shared" si="110"/>
        <v>570.61782063958549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143.12123169427508</v>
      </c>
      <c r="T175" s="59">
        <f t="shared" si="142"/>
        <v>351.98518810889152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3.2031094434440726</v>
      </c>
      <c r="AA175" s="21">
        <f>EXP(-LN(2)/25)*AA174+(1-EXP(-LN(2)/25))/(LN(2)/25)*Calculateur!V175*Calculateur!X175*VLOOKUP('Données projet'!$B$9,Paramètres!$A$1:$I$89,3,0)*0.475*44/12</f>
        <v>0.85722887499089484</v>
      </c>
      <c r="AB175" s="21">
        <f>EXP(-LN(2)/2)*AB174+(1-EXP(-LN(2)/2))/(LN(2)/2)*V175*Y175*VLOOKUP('Données projet'!$B$9,Paramètres!$A$1:$I$89,3,0)*0.475*44/12</f>
        <v>1.8451505174343883E-20</v>
      </c>
      <c r="AC175" s="22">
        <f t="shared" si="163"/>
        <v>4.0603383184349671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1.1368683772161603E-13</v>
      </c>
      <c r="AJ175" s="13">
        <f>AI175*VLOOKUP('Données projet'!$B$10,Paramètres!$A$1:$I$89,3,0)*VLOOKUP('Données projet'!$B$10,Paramètres!$A$1:$I$89,5,0)</f>
        <v>1.1527845344971866E-13</v>
      </c>
      <c r="AK175" s="13">
        <f t="shared" si="164"/>
        <v>1.7033846239409443E-12</v>
      </c>
      <c r="AL175" s="20">
        <f t="shared" si="165"/>
        <v>3.1675048597887374E-12</v>
      </c>
      <c r="AM175" s="59">
        <f t="shared" si="113"/>
        <v>293.3333333333365</v>
      </c>
      <c r="AN175" s="59">
        <f ca="1">AVERAGE(OFFSET($AM$3,0,0,'Données projet'!$E$10+1,1))-AVERAGE(OFFSET($H$3,0,0,'Données projet'!$E$10+1,1))</f>
        <v>280.88930300426705</v>
      </c>
      <c r="AO175" s="59">
        <f t="shared" si="144"/>
        <v>166.95395852420467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1">
        <f t="shared" si="140"/>
        <v>33.265967889291609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67">
        <f t="shared" si="110"/>
        <v>572.19083074051537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143.12123169427508</v>
      </c>
      <c r="T176" s="59">
        <f t="shared" si="142"/>
        <v>351.98518810889152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3.1402984209619826</v>
      </c>
      <c r="AA176" s="21">
        <f>EXP(-LN(2)/25)*AA175+(1-EXP(-LN(2)/25))/(LN(2)/25)*Calculateur!V176*Calculateur!X176*VLOOKUP('Données projet'!$B$9,Paramètres!$A$1:$I$89,3,0)*0.475*44/12</f>
        <v>0.83378790632456146</v>
      </c>
      <c r="AB176" s="21">
        <f>EXP(-LN(2)/2)*AB175+(1-EXP(-LN(2)/2))/(LN(2)/2)*V176*Y176*VLOOKUP('Données projet'!$B$9,Paramètres!$A$1:$I$89,3,0)*0.475*44/12</f>
        <v>1.3047184431877229E-20</v>
      </c>
      <c r="AC176" s="22">
        <f t="shared" si="163"/>
        <v>3.9740863272865443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1.1368683772161603E-13</v>
      </c>
      <c r="AJ176" s="13">
        <f>AI176*VLOOKUP('Données projet'!$B$10,Paramètres!$A$1:$I$89,3,0)*VLOOKUP('Données projet'!$B$10,Paramètres!$A$1:$I$89,5,0)</f>
        <v>1.1527845344971866E-13</v>
      </c>
      <c r="AK176" s="13">
        <f t="shared" si="164"/>
        <v>1.7033846239409443E-12</v>
      </c>
      <c r="AL176" s="20">
        <f t="shared" si="165"/>
        <v>3.1675048597887374E-12</v>
      </c>
      <c r="AM176" s="59">
        <f t="shared" si="113"/>
        <v>293.3333333333365</v>
      </c>
      <c r="AN176" s="59">
        <f ca="1">AVERAGE(OFFSET($AM$3,0,0,'Données projet'!$E$10+1,1))-AVERAGE(OFFSET($H$3,0,0,'Données projet'!$E$10+1,1))</f>
        <v>280.88930300426705</v>
      </c>
      <c r="AO176" s="59">
        <f t="shared" si="144"/>
        <v>166.95395852420467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1">
        <f t="shared" si="140"/>
        <v>33.435817264319738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67">
        <f t="shared" si="110"/>
        <v>573.76364173535603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143.12123169427508</v>
      </c>
      <c r="T177" s="59">
        <f t="shared" si="142"/>
        <v>351.98518810889152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3.0787190843198258</v>
      </c>
      <c r="AA177" s="21">
        <f>EXP(-LN(2)/25)*AA176+(1-EXP(-LN(2)/25))/(LN(2)/25)*Calculateur!V177*Calculateur!X177*VLOOKUP('Données projet'!$B$9,Paramètres!$A$1:$I$89,3,0)*0.475*44/12</f>
        <v>0.81098793217911602</v>
      </c>
      <c r="AB177" s="21">
        <f>EXP(-LN(2)/2)*AB176+(1-EXP(-LN(2)/2))/(LN(2)/2)*V177*Y177*VLOOKUP('Données projet'!$B$9,Paramètres!$A$1:$I$89,3,0)*0.475*44/12</f>
        <v>9.2257525871719414E-21</v>
      </c>
      <c r="AC177" s="22">
        <f t="shared" si="163"/>
        <v>3.8897070164989418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1.1368683772161603E-13</v>
      </c>
      <c r="AJ177" s="13">
        <f>AI177*VLOOKUP('Données projet'!$B$10,Paramètres!$A$1:$I$89,3,0)*VLOOKUP('Données projet'!$B$10,Paramètres!$A$1:$I$89,5,0)</f>
        <v>1.1527845344971866E-13</v>
      </c>
      <c r="AK177" s="13">
        <f t="shared" si="164"/>
        <v>1.7033846239409443E-12</v>
      </c>
      <c r="AL177" s="20">
        <f t="shared" si="165"/>
        <v>3.1675048597887374E-12</v>
      </c>
      <c r="AM177" s="59">
        <f t="shared" si="113"/>
        <v>293.3333333333365</v>
      </c>
      <c r="AN177" s="59">
        <f ca="1">AVERAGE(OFFSET($AM$3,0,0,'Données projet'!$E$10+1,1))-AVERAGE(OFFSET($H$3,0,0,'Données projet'!$E$10+1,1))</f>
        <v>280.88930300426705</v>
      </c>
      <c r="AO177" s="59">
        <f t="shared" si="144"/>
        <v>166.95395852420467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1">
        <f t="shared" si="140"/>
        <v>33.605553053307958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67">
        <f t="shared" si="110"/>
        <v>575.3362549011772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143.12123169427508</v>
      </c>
      <c r="T178" s="59">
        <f t="shared" si="142"/>
        <v>351.98518810889152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3.0183472809095346</v>
      </c>
      <c r="AA178" s="21">
        <f>EXP(-LN(2)/25)*AA177+(1-EXP(-LN(2)/25))/(LN(2)/25)*Calculateur!V178*Calculateur!X178*VLOOKUP('Données projet'!$B$9,Paramètres!$A$1:$I$89,3,0)*0.475*44/12</f>
        <v>0.78881142452567632</v>
      </c>
      <c r="AB178" s="21">
        <f>EXP(-LN(2)/2)*AB177+(1-EXP(-LN(2)/2))/(LN(2)/2)*V178*Y178*VLOOKUP('Données projet'!$B$9,Paramètres!$A$1:$I$89,3,0)*0.475*44/12</f>
        <v>6.5235922159386147E-21</v>
      </c>
      <c r="AC178" s="22">
        <f t="shared" si="163"/>
        <v>3.807158705435211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1.1368683772161603E-13</v>
      </c>
      <c r="AJ178" s="13">
        <f>AI178*VLOOKUP('Données projet'!$B$10,Paramètres!$A$1:$I$89,3,0)*VLOOKUP('Données projet'!$B$10,Paramètres!$A$1:$I$89,5,0)</f>
        <v>1.1527845344971866E-13</v>
      </c>
      <c r="AK178" s="13">
        <f t="shared" si="164"/>
        <v>1.7033846239409443E-12</v>
      </c>
      <c r="AL178" s="20">
        <f t="shared" si="165"/>
        <v>3.1675048597887374E-12</v>
      </c>
      <c r="AM178" s="59">
        <f t="shared" si="113"/>
        <v>293.3333333333365</v>
      </c>
      <c r="AN178" s="59">
        <f ca="1">AVERAGE(OFFSET($AM$3,0,0,'Données projet'!$E$10+1,1))-AVERAGE(OFFSET($H$3,0,0,'Données projet'!$E$10+1,1))</f>
        <v>280.88930300426705</v>
      </c>
      <c r="AO178" s="59">
        <f t="shared" si="144"/>
        <v>166.95395852420467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1">
        <f t="shared" si="140"/>
        <v>33.7751759806373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67">
        <f t="shared" si="110"/>
        <v>576.90867149960923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143.12123169427508</v>
      </c>
      <c r="T179" s="59">
        <f t="shared" si="142"/>
        <v>351.98518810889152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2.9591593317409552</v>
      </c>
      <c r="AA179" s="21">
        <f>EXP(-LN(2)/25)*AA178+(1-EXP(-LN(2)/25))/(LN(2)/25)*Calculateur!V179*Calculateur!X179*VLOOKUP('Données projet'!$B$9,Paramètres!$A$1:$I$89,3,0)*0.475*44/12</f>
        <v>0.7672413346402317</v>
      </c>
      <c r="AB179" s="21">
        <f>EXP(-LN(2)/2)*AB178+(1-EXP(-LN(2)/2))/(LN(2)/2)*V179*Y179*VLOOKUP('Données projet'!$B$9,Paramètres!$A$1:$I$89,3,0)*0.475*44/12</f>
        <v>4.6128762935859707E-21</v>
      </c>
      <c r="AC179" s="22">
        <f t="shared" si="163"/>
        <v>3.7264006663811871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1.1368683772161603E-13</v>
      </c>
      <c r="AJ179" s="13">
        <f>AI179*VLOOKUP('Données projet'!$B$10,Paramètres!$A$1:$I$89,3,0)*VLOOKUP('Données projet'!$B$10,Paramètres!$A$1:$I$89,5,0)</f>
        <v>1.1527845344971866E-13</v>
      </c>
      <c r="AK179" s="13">
        <f t="shared" si="164"/>
        <v>1.7033846239409443E-12</v>
      </c>
      <c r="AL179" s="20">
        <f t="shared" si="165"/>
        <v>3.1675048597887374E-12</v>
      </c>
      <c r="AM179" s="59">
        <f t="shared" si="113"/>
        <v>293.3333333333365</v>
      </c>
      <c r="AN179" s="59">
        <f ca="1">AVERAGE(OFFSET($AM$3,0,0,'Données projet'!$E$10+1,1))-AVERAGE(OFFSET($H$3,0,0,'Données projet'!$E$10+1,1))</f>
        <v>280.88930300426705</v>
      </c>
      <c r="AO179" s="59">
        <f t="shared" si="144"/>
        <v>166.95395852420467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1">
        <f t="shared" si="140"/>
        <v>33.944686761980805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67">
        <f t="shared" si="110"/>
        <v>578.48089277711574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143.12123169427508</v>
      </c>
      <c r="T180" s="59">
        <f t="shared" si="142"/>
        <v>351.98518810889152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2.9011320221544876</v>
      </c>
      <c r="AA180" s="21">
        <f>EXP(-LN(2)/25)*AA179+(1-EXP(-LN(2)/25))/(LN(2)/25)*Calculateur!V180*Calculateur!X180*VLOOKUP('Données projet'!$B$9,Paramètres!$A$1:$I$89,3,0)*0.475*44/12</f>
        <v>0.74626107999702629</v>
      </c>
      <c r="AB180" s="21">
        <f>EXP(-LN(2)/2)*AB179+(1-EXP(-LN(2)/2))/(LN(2)/2)*V180*Y180*VLOOKUP('Données projet'!$B$9,Paramètres!$A$1:$I$89,3,0)*0.475*44/12</f>
        <v>3.2617961079693074E-21</v>
      </c>
      <c r="AC180" s="22">
        <f t="shared" si="163"/>
        <v>3.647393102151514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1.1368683772161603E-13</v>
      </c>
      <c r="AJ180" s="13">
        <f>AI180*VLOOKUP('Données projet'!$B$10,Paramètres!$A$1:$I$89,3,0)*VLOOKUP('Données projet'!$B$10,Paramètres!$A$1:$I$89,5,0)</f>
        <v>1.1527845344971866E-13</v>
      </c>
      <c r="AK180" s="13">
        <f t="shared" si="164"/>
        <v>1.7033846239409443E-12</v>
      </c>
      <c r="AL180" s="20">
        <f t="shared" si="165"/>
        <v>3.1675048597887374E-12</v>
      </c>
      <c r="AM180" s="59">
        <f t="shared" si="113"/>
        <v>293.3333333333365</v>
      </c>
      <c r="AN180" s="59">
        <f ca="1">AVERAGE(OFFSET($AM$3,0,0,'Données projet'!$E$10+1,1))-AVERAGE(OFFSET($H$3,0,0,'Données projet'!$E$10+1,1))</f>
        <v>280.88930300426705</v>
      </c>
      <c r="AO180" s="59">
        <f t="shared" si="144"/>
        <v>166.95395852420467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1">
        <f t="shared" si="140"/>
        <v>34.114086104456895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67">
        <f t="shared" si="110"/>
        <v>580.05291996526171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143.12123169427508</v>
      </c>
      <c r="T181" s="59">
        <f t="shared" si="142"/>
        <v>351.98518810889152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2.8442425927158466</v>
      </c>
      <c r="AA181" s="21">
        <f>EXP(-LN(2)/25)*AA180+(1-EXP(-LN(2)/25))/(LN(2)/25)*Calculateur!V181*Calculateur!X181*VLOOKUP('Données projet'!$B$9,Paramètres!$A$1:$I$89,3,0)*0.475*44/12</f>
        <v>0.72585453152034296</v>
      </c>
      <c r="AB181" s="21">
        <f>EXP(-LN(2)/2)*AB180+(1-EXP(-LN(2)/2))/(LN(2)/2)*V181*Y181*VLOOKUP('Données projet'!$B$9,Paramètres!$A$1:$I$89,3,0)*0.475*44/12</f>
        <v>2.3064381467929853E-21</v>
      </c>
      <c r="AC181" s="22">
        <f t="shared" si="163"/>
        <v>3.5700971242361894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1.1368683772161603E-13</v>
      </c>
      <c r="AJ181" s="13">
        <f>AI181*VLOOKUP('Données projet'!$B$10,Paramètres!$A$1:$I$89,3,0)*VLOOKUP('Données projet'!$B$10,Paramètres!$A$1:$I$89,5,0)</f>
        <v>1.1527845344971866E-13</v>
      </c>
      <c r="AK181" s="13">
        <f t="shared" si="164"/>
        <v>1.7033846239409443E-12</v>
      </c>
      <c r="AL181" s="20">
        <f t="shared" si="165"/>
        <v>3.1675048597887374E-12</v>
      </c>
      <c r="AM181" s="59">
        <f t="shared" si="113"/>
        <v>293.3333333333365</v>
      </c>
      <c r="AN181" s="59">
        <f ca="1">AVERAGE(OFFSET($AM$3,0,0,'Données projet'!$E$10+1,1))-AVERAGE(OFFSET($H$3,0,0,'Données projet'!$E$10+1,1))</f>
        <v>280.88930300426705</v>
      </c>
      <c r="AO181" s="59">
        <f t="shared" si="144"/>
        <v>166.95395852420467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1">
        <f t="shared" si="140"/>
        <v>34.283374706778957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67">
        <f t="shared" si="110"/>
        <v>581.62475428097252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143.12123169427508</v>
      </c>
      <c r="T182" s="59">
        <f t="shared" si="142"/>
        <v>351.98518810889152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2.7884687302893716</v>
      </c>
      <c r="AA182" s="21">
        <f>EXP(-LN(2)/25)*AA181+(1-EXP(-LN(2)/25))/(LN(2)/25)*Calculateur!V182*Calculateur!X182*VLOOKUP('Données projet'!$B$9,Paramètres!$A$1:$I$89,3,0)*0.475*44/12</f>
        <v>0.70600600118488832</v>
      </c>
      <c r="AB182" s="21">
        <f>EXP(-LN(2)/2)*AB181+(1-EXP(-LN(2)/2))/(LN(2)/2)*V182*Y182*VLOOKUP('Données projet'!$B$9,Paramètres!$A$1:$I$89,3,0)*0.475*44/12</f>
        <v>1.6308980539846537E-21</v>
      </c>
      <c r="AC182" s="22">
        <f t="shared" si="163"/>
        <v>3.4944747314742601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1.1368683772161603E-13</v>
      </c>
      <c r="AJ182" s="13">
        <f>AI182*VLOOKUP('Données projet'!$B$10,Paramètres!$A$1:$I$89,3,0)*VLOOKUP('Données projet'!$B$10,Paramètres!$A$1:$I$89,5,0)</f>
        <v>1.1527845344971866E-13</v>
      </c>
      <c r="AK182" s="13">
        <f t="shared" si="164"/>
        <v>1.7033846239409443E-12</v>
      </c>
      <c r="AL182" s="20">
        <f t="shared" si="165"/>
        <v>3.1675048597887374E-12</v>
      </c>
      <c r="AM182" s="59">
        <f t="shared" si="113"/>
        <v>293.3333333333365</v>
      </c>
      <c r="AN182" s="59">
        <f ca="1">AVERAGE(OFFSET($AM$3,0,0,'Données projet'!$E$10+1,1))-AVERAGE(OFFSET($H$3,0,0,'Données projet'!$E$10+1,1))</f>
        <v>280.88930300426705</v>
      </c>
      <c r="AO182" s="59">
        <f t="shared" si="144"/>
        <v>166.95395852420467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1">
        <f t="shared" si="140"/>
        <v>34.452553259401881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67">
        <f t="shared" si="110"/>
        <v>583.19639692679084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143.12123169427508</v>
      </c>
      <c r="T183" s="59">
        <f t="shared" si="142"/>
        <v>351.98518810889152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2.7337885592863826</v>
      </c>
      <c r="AA183" s="21">
        <f>EXP(-LN(2)/25)*AA182+(1-EXP(-LN(2)/25))/(LN(2)/25)*Calculateur!V183*Calculateur!X183*VLOOKUP('Données projet'!$B$9,Paramètres!$A$1:$I$89,3,0)*0.475*44/12</f>
        <v>0.6867002299552456</v>
      </c>
      <c r="AB183" s="21">
        <f>EXP(-LN(2)/2)*AB182+(1-EXP(-LN(2)/2))/(LN(2)/2)*V183*Y183*VLOOKUP('Données projet'!$B$9,Paramètres!$A$1:$I$89,3,0)*0.475*44/12</f>
        <v>1.1532190733964927E-21</v>
      </c>
      <c r="AC183" s="22">
        <f t="shared" si="163"/>
        <v>3.4204887892416282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1.1368683772161603E-13</v>
      </c>
      <c r="AJ183" s="13">
        <f>AI183*VLOOKUP('Données projet'!$B$10,Paramètres!$A$1:$I$89,3,0)*VLOOKUP('Données projet'!$B$10,Paramètres!$A$1:$I$89,5,0)</f>
        <v>1.1527845344971866E-13</v>
      </c>
      <c r="AK183" s="13">
        <f t="shared" si="164"/>
        <v>1.7033846239409443E-12</v>
      </c>
      <c r="AL183" s="20">
        <f t="shared" si="165"/>
        <v>3.1675048597887374E-12</v>
      </c>
      <c r="AM183" s="59">
        <f t="shared" si="113"/>
        <v>293.3333333333365</v>
      </c>
      <c r="AN183" s="59">
        <f ca="1">AVERAGE(OFFSET($AM$3,0,0,'Données projet'!$E$10+1,1))-AVERAGE(OFFSET($H$3,0,0,'Données projet'!$E$10+1,1))</f>
        <v>280.88930300426705</v>
      </c>
      <c r="AO183" s="59">
        <f t="shared" si="144"/>
        <v>166.95395852420467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1">
        <f t="shared" si="140"/>
        <v>34.621622444664645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67">
        <f t="shared" si="110"/>
        <v>584.76784909112348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143.12123169427508</v>
      </c>
      <c r="T184" s="59">
        <f t="shared" si="142"/>
        <v>351.98518810889152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2.680180633085151</v>
      </c>
      <c r="AA184" s="21">
        <f>EXP(-LN(2)/25)*AA183+(1-EXP(-LN(2)/25))/(LN(2)/25)*Calculateur!V184*Calculateur!X184*VLOOKUP('Données projet'!$B$9,Paramètres!$A$1:$I$89,3,0)*0.475*44/12</f>
        <v>0.66792237605512383</v>
      </c>
      <c r="AB184" s="21">
        <f>EXP(-LN(2)/2)*AB183+(1-EXP(-LN(2)/2))/(LN(2)/2)*V184*Y184*VLOOKUP('Données projet'!$B$9,Paramètres!$A$1:$I$89,3,0)*0.475*44/12</f>
        <v>8.1544902699232684E-22</v>
      </c>
      <c r="AC184" s="22">
        <f t="shared" si="163"/>
        <v>3.3481030091402748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1.1368683772161603E-13</v>
      </c>
      <c r="AJ184" s="13">
        <f>AI184*VLOOKUP('Données projet'!$B$10,Paramètres!$A$1:$I$89,3,0)*VLOOKUP('Données projet'!$B$10,Paramètres!$A$1:$I$89,5,0)</f>
        <v>1.1527845344971866E-13</v>
      </c>
      <c r="AK184" s="13">
        <f t="shared" si="164"/>
        <v>1.7033846239409443E-12</v>
      </c>
      <c r="AL184" s="20">
        <f t="shared" si="165"/>
        <v>3.1675048597887374E-12</v>
      </c>
      <c r="AM184" s="59">
        <f t="shared" si="113"/>
        <v>293.3333333333365</v>
      </c>
      <c r="AN184" s="59">
        <f ca="1">AVERAGE(OFFSET($AM$3,0,0,'Données projet'!$E$10+1,1))-AVERAGE(OFFSET($H$3,0,0,'Données projet'!$E$10+1,1))</f>
        <v>280.88930300426705</v>
      </c>
      <c r="AO184" s="59">
        <f t="shared" si="144"/>
        <v>166.95395852420467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1">
        <f t="shared" si="140"/>
        <v>34.790582936930399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67">
        <f t="shared" si="110"/>
        <v>586.33911194848645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143.12123169427508</v>
      </c>
      <c r="T185" s="59">
        <f t="shared" si="142"/>
        <v>351.98518810889152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2.6276239256191194</v>
      </c>
      <c r="AA185" s="21">
        <f>EXP(-LN(2)/25)*AA184+(1-EXP(-LN(2)/25))/(LN(2)/25)*Calculateur!V185*Calculateur!X185*VLOOKUP('Données projet'!$B$9,Paramètres!$A$1:$I$89,3,0)*0.475*44/12</f>
        <v>0.64965800355738523</v>
      </c>
      <c r="AB185" s="21">
        <f>EXP(-LN(2)/2)*AB184+(1-EXP(-LN(2)/2))/(LN(2)/2)*V185*Y185*VLOOKUP('Données projet'!$B$9,Paramètres!$A$1:$I$89,3,0)*0.475*44/12</f>
        <v>5.7660953669824634E-22</v>
      </c>
      <c r="AC185" s="22">
        <f t="shared" si="163"/>
        <v>3.2772819291765045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1.1368683772161603E-13</v>
      </c>
      <c r="AJ185" s="13">
        <f>AI185*VLOOKUP('Données projet'!$B$10,Paramètres!$A$1:$I$89,3,0)*VLOOKUP('Données projet'!$B$10,Paramètres!$A$1:$I$89,5,0)</f>
        <v>1.1527845344971866E-13</v>
      </c>
      <c r="AK185" s="13">
        <f t="shared" si="164"/>
        <v>1.7033846239409443E-12</v>
      </c>
      <c r="AL185" s="20">
        <f t="shared" si="165"/>
        <v>3.1675048597887374E-12</v>
      </c>
      <c r="AM185" s="59">
        <f t="shared" si="113"/>
        <v>293.3333333333365</v>
      </c>
      <c r="AN185" s="59">
        <f ca="1">AVERAGE(OFFSET($AM$3,0,0,'Données projet'!$E$10+1,1))-AVERAGE(OFFSET($H$3,0,0,'Données projet'!$E$10+1,1))</f>
        <v>280.88930300426705</v>
      </c>
      <c r="AO185" s="59">
        <f t="shared" si="144"/>
        <v>166.95395852420467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1">
        <f t="shared" si="140"/>
        <v>34.959435402722669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67">
        <f t="shared" si="110"/>
        <v>587.91018665974138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143.12123169427508</v>
      </c>
      <c r="T186" s="59">
        <f t="shared" si="142"/>
        <v>351.98518810889152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2.5760978231300702</v>
      </c>
      <c r="AA186" s="21">
        <f>EXP(-LN(2)/25)*AA185+(1-EXP(-LN(2)/25))/(LN(2)/25)*Calculateur!V186*Calculateur!X186*VLOOKUP('Données projet'!$B$9,Paramètres!$A$1:$I$89,3,0)*0.475*44/12</f>
        <v>0.63189307128607897</v>
      </c>
      <c r="AB186" s="21">
        <f>EXP(-LN(2)/2)*AB185+(1-EXP(-LN(2)/2))/(LN(2)/2)*V186*Y186*VLOOKUP('Données projet'!$B$9,Paramètres!$A$1:$I$89,3,0)*0.475*44/12</f>
        <v>4.0772451349616342E-22</v>
      </c>
      <c r="AC186" s="22">
        <f t="shared" si="163"/>
        <v>3.2079908944161493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1.1368683772161603E-13</v>
      </c>
      <c r="AJ186" s="13">
        <f>AI186*VLOOKUP('Données projet'!$B$10,Paramètres!$A$1:$I$89,3,0)*VLOOKUP('Données projet'!$B$10,Paramètres!$A$1:$I$89,5,0)</f>
        <v>1.1527845344971866E-13</v>
      </c>
      <c r="AK186" s="13">
        <f t="shared" si="164"/>
        <v>1.7033846239409443E-12</v>
      </c>
      <c r="AL186" s="20">
        <f t="shared" si="165"/>
        <v>3.1675048597887374E-12</v>
      </c>
      <c r="AM186" s="59">
        <f t="shared" si="113"/>
        <v>293.3333333333365</v>
      </c>
      <c r="AN186" s="59">
        <f ca="1">AVERAGE(OFFSET($AM$3,0,0,'Données projet'!$E$10+1,1))-AVERAGE(OFFSET($H$3,0,0,'Données projet'!$E$10+1,1))</f>
        <v>280.88930300426705</v>
      </c>
      <c r="AO186" s="59">
        <f t="shared" si="144"/>
        <v>166.95395852420467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1">
        <f t="shared" si="140"/>
        <v>35.12818050085901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67">
        <f t="shared" si="110"/>
        <v>589.48107437232875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143.12123169427508</v>
      </c>
      <c r="T187" s="59">
        <f t="shared" si="142"/>
        <v>351.98518810889152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2.5255821160830121</v>
      </c>
      <c r="AA187" s="21">
        <f>EXP(-LN(2)/25)*AA186+(1-EXP(-LN(2)/25))/(LN(2)/25)*Calculateur!V187*Calculateur!X187*VLOOKUP('Données projet'!$B$9,Paramètres!$A$1:$I$89,3,0)*0.475*44/12</f>
        <v>0.61461392202194876</v>
      </c>
      <c r="AB187" s="21">
        <f>EXP(-LN(2)/2)*AB186+(1-EXP(-LN(2)/2))/(LN(2)/2)*V187*Y187*VLOOKUP('Données projet'!$B$9,Paramètres!$A$1:$I$89,3,0)*0.475*44/12</f>
        <v>2.8830476834912317E-22</v>
      </c>
      <c r="AC187" s="22">
        <f t="shared" si="163"/>
        <v>3.140196038104961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1.1368683772161603E-13</v>
      </c>
      <c r="AJ187" s="13">
        <f>AI187*VLOOKUP('Données projet'!$B$10,Paramètres!$A$1:$I$89,3,0)*VLOOKUP('Données projet'!$B$10,Paramètres!$A$1:$I$89,5,0)</f>
        <v>1.1527845344971866E-13</v>
      </c>
      <c r="AK187" s="13">
        <f t="shared" si="164"/>
        <v>1.7033846239409443E-12</v>
      </c>
      <c r="AL187" s="20">
        <f t="shared" si="165"/>
        <v>3.1675048597887374E-12</v>
      </c>
      <c r="AM187" s="59">
        <f t="shared" si="113"/>
        <v>293.3333333333365</v>
      </c>
      <c r="AN187" s="59">
        <f ca="1">AVERAGE(OFFSET($AM$3,0,0,'Données projet'!$E$10+1,1))-AVERAGE(OFFSET($H$3,0,0,'Données projet'!$E$10+1,1))</f>
        <v>280.88930300426705</v>
      </c>
      <c r="AO187" s="59">
        <f t="shared" si="144"/>
        <v>166.95395852420467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1">
        <f t="shared" si="140"/>
        <v>35.296818882581405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67">
        <f t="shared" si="110"/>
        <v>591.0517762204953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143.12123169427508</v>
      </c>
      <c r="T188" s="59">
        <f t="shared" si="142"/>
        <v>351.98518810889152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2.476056991239608</v>
      </c>
      <c r="AA188" s="21">
        <f>EXP(-LN(2)/25)*AA187+(1-EXP(-LN(2)/25))/(LN(2)/25)*Calculateur!V188*Calculateur!X188*VLOOKUP('Données projet'!$B$9,Paramètres!$A$1:$I$89,3,0)*0.475*44/12</f>
        <v>0.59780727200311712</v>
      </c>
      <c r="AB188" s="21">
        <f>EXP(-LN(2)/2)*AB187+(1-EXP(-LN(2)/2))/(LN(2)/2)*V188*Y188*VLOOKUP('Données projet'!$B$9,Paramètres!$A$1:$I$89,3,0)*0.475*44/12</f>
        <v>2.0386225674808171E-22</v>
      </c>
      <c r="AC188" s="22">
        <f t="shared" si="163"/>
        <v>3.0738642632427249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1.1368683772161603E-13</v>
      </c>
      <c r="AJ188" s="13">
        <f>AI188*VLOOKUP('Données projet'!$B$10,Paramètres!$A$1:$I$89,3,0)*VLOOKUP('Données projet'!$B$10,Paramètres!$A$1:$I$89,5,0)</f>
        <v>1.1527845344971866E-13</v>
      </c>
      <c r="AK188" s="13">
        <f t="shared" si="164"/>
        <v>1.7033846239409443E-12</v>
      </c>
      <c r="AL188" s="20">
        <f t="shared" si="165"/>
        <v>3.1675048597887374E-12</v>
      </c>
      <c r="AM188" s="59">
        <f t="shared" si="113"/>
        <v>293.3333333333365</v>
      </c>
      <c r="AN188" s="59">
        <f ca="1">AVERAGE(OFFSET($AM$3,0,0,'Données projet'!$E$10+1,1))-AVERAGE(OFFSET($H$3,0,0,'Données projet'!$E$10+1,1))</f>
        <v>280.88930300426705</v>
      </c>
      <c r="AO188" s="59">
        <f t="shared" si="144"/>
        <v>166.95395852420467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1">
        <f t="shared" si="140"/>
        <v>35.465351191683915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67">
        <f t="shared" si="110"/>
        <v>592.62229332551556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143.12123169427508</v>
      </c>
      <c r="T189" s="59">
        <f t="shared" si="142"/>
        <v>351.98518810889152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2.4275030238870396</v>
      </c>
      <c r="AA189" s="21">
        <f>EXP(-LN(2)/25)*AA188+(1-EXP(-LN(2)/25))/(LN(2)/25)*Calculateur!V189*Calculateur!X189*VLOOKUP('Données projet'!$B$9,Paramètres!$A$1:$I$89,3,0)*0.475*44/12</f>
        <v>0.58146020071287374</v>
      </c>
      <c r="AB189" s="21">
        <f>EXP(-LN(2)/2)*AB188+(1-EXP(-LN(2)/2))/(LN(2)/2)*V189*Y189*VLOOKUP('Données projet'!$B$9,Paramètres!$A$1:$I$89,3,0)*0.475*44/12</f>
        <v>1.4415238417456158E-22</v>
      </c>
      <c r="AC189" s="22">
        <f t="shared" si="163"/>
        <v>3.0089632245999134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1.1368683772161603E-13</v>
      </c>
      <c r="AJ189" s="13">
        <f>AI189*VLOOKUP('Données projet'!$B$10,Paramètres!$A$1:$I$89,3,0)*VLOOKUP('Données projet'!$B$10,Paramètres!$A$1:$I$89,5,0)</f>
        <v>1.1527845344971866E-13</v>
      </c>
      <c r="AK189" s="13">
        <f t="shared" si="164"/>
        <v>1.7033846239409443E-12</v>
      </c>
      <c r="AL189" s="20">
        <f t="shared" si="165"/>
        <v>3.1675048597887374E-12</v>
      </c>
      <c r="AM189" s="59">
        <f t="shared" si="113"/>
        <v>293.3333333333365</v>
      </c>
      <c r="AN189" s="59">
        <f ca="1">AVERAGE(OFFSET($AM$3,0,0,'Données projet'!$E$10+1,1))-AVERAGE(OFFSET($H$3,0,0,'Données projet'!$E$10+1,1))</f>
        <v>280.88930300426705</v>
      </c>
      <c r="AO189" s="59">
        <f t="shared" si="144"/>
        <v>166.95395852420467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1">
        <f t="shared" si="140"/>
        <v>35.633778064637305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67">
        <f t="shared" si="110"/>
        <v>594.1926267959094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143.12123169427508</v>
      </c>
      <c r="T190" s="59">
        <f t="shared" si="142"/>
        <v>351.98518810889152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2.3799011702192594</v>
      </c>
      <c r="AA190" s="21">
        <f>EXP(-LN(2)/25)*AA189+(1-EXP(-LN(2)/25))/(LN(2)/25)*Calculateur!V190*Calculateur!X190*VLOOKUP('Données projet'!$B$9,Paramètres!$A$1:$I$89,3,0)*0.475*44/12</f>
        <v>0.56556014094671725</v>
      </c>
      <c r="AB190" s="21">
        <f>EXP(-LN(2)/2)*AB189+(1-EXP(-LN(2)/2))/(LN(2)/2)*V190*Y190*VLOOKUP('Données projet'!$B$9,Paramètres!$A$1:$I$89,3,0)*0.475*44/12</f>
        <v>1.0193112837404086E-22</v>
      </c>
      <c r="AC190" s="22">
        <f t="shared" si="163"/>
        <v>2.9454613111659764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1.1368683772161603E-13</v>
      </c>
      <c r="AJ190" s="13">
        <f>AI190*VLOOKUP('Données projet'!$B$10,Paramètres!$A$1:$I$89,3,0)*VLOOKUP('Données projet'!$B$10,Paramètres!$A$1:$I$89,5,0)</f>
        <v>1.1527845344971866E-13</v>
      </c>
      <c r="AK190" s="13">
        <f t="shared" si="164"/>
        <v>1.7033846239409443E-12</v>
      </c>
      <c r="AL190" s="20">
        <f t="shared" si="165"/>
        <v>3.1675048597887374E-12</v>
      </c>
      <c r="AM190" s="59">
        <f t="shared" si="113"/>
        <v>293.3333333333365</v>
      </c>
      <c r="AN190" s="59">
        <f ca="1">AVERAGE(OFFSET($AM$3,0,0,'Données projet'!$E$10+1,1))-AVERAGE(OFFSET($H$3,0,0,'Données projet'!$E$10+1,1))</f>
        <v>280.88930300426705</v>
      </c>
      <c r="AO190" s="59">
        <f t="shared" si="144"/>
        <v>166.95395852420467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1">
        <f t="shared" si="140"/>
        <v>35.802100130711267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67">
        <f t="shared" si="110"/>
        <v>595.76277772765491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143.12123169427508</v>
      </c>
      <c r="T191" s="59">
        <f t="shared" si="142"/>
        <v>351.98518810889152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2.3332327598676401</v>
      </c>
      <c r="AA191" s="21">
        <f>EXP(-LN(2)/25)*AA190+(1-EXP(-LN(2)/25))/(LN(2)/25)*Calculateur!V191*Calculateur!X191*VLOOKUP('Données projet'!$B$9,Paramètres!$A$1:$I$89,3,0)*0.475*44/12</f>
        <v>0.55009486915101402</v>
      </c>
      <c r="AB191" s="21">
        <f>EXP(-LN(2)/2)*AB190+(1-EXP(-LN(2)/2))/(LN(2)/2)*V191*Y191*VLOOKUP('Données projet'!$B$9,Paramètres!$A$1:$I$89,3,0)*0.475*44/12</f>
        <v>7.2076192087280792E-23</v>
      </c>
      <c r="AC191" s="22">
        <f t="shared" si="163"/>
        <v>2.883327629018654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1.1368683772161603E-13</v>
      </c>
      <c r="AJ191" s="13">
        <f>AI191*VLOOKUP('Données projet'!$B$10,Paramètres!$A$1:$I$89,3,0)*VLOOKUP('Données projet'!$B$10,Paramètres!$A$1:$I$89,5,0)</f>
        <v>1.1527845344971866E-13</v>
      </c>
      <c r="AK191" s="13">
        <f t="shared" si="164"/>
        <v>1.7033846239409443E-12</v>
      </c>
      <c r="AL191" s="20">
        <f t="shared" si="165"/>
        <v>3.1675048597887374E-12</v>
      </c>
      <c r="AM191" s="59">
        <f t="shared" si="113"/>
        <v>293.3333333333365</v>
      </c>
      <c r="AN191" s="59">
        <f ca="1">AVERAGE(OFFSET($AM$3,0,0,'Données projet'!$E$10+1,1))-AVERAGE(OFFSET($H$3,0,0,'Données projet'!$E$10+1,1))</f>
        <v>280.88930300426705</v>
      </c>
      <c r="AO191" s="59">
        <f t="shared" si="144"/>
        <v>166.95395852420467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1">
        <f t="shared" si="140"/>
        <v>35.970318012093358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67">
        <f t="shared" si="110"/>
        <v>597.33274720439533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143.12123169427508</v>
      </c>
      <c r="T192" s="59">
        <f t="shared" si="142"/>
        <v>351.98518810889152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2.2874794885780965</v>
      </c>
      <c r="AA192" s="21">
        <f>EXP(-LN(2)/25)*AA191+(1-EXP(-LN(2)/25))/(LN(2)/25)*Calculateur!V192*Calculateur!X192*VLOOKUP('Données projet'!$B$9,Paramètres!$A$1:$I$89,3,0)*0.475*44/12</f>
        <v>0.53505249602584759</v>
      </c>
      <c r="AB192" s="21">
        <f>EXP(-LN(2)/2)*AB191+(1-EXP(-LN(2)/2))/(LN(2)/2)*V192*Y192*VLOOKUP('Données projet'!$B$9,Paramètres!$A$1:$I$89,3,0)*0.475*44/12</f>
        <v>5.0965564187020428E-23</v>
      </c>
      <c r="AC192" s="22">
        <f t="shared" si="163"/>
        <v>2.8225319846039438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1.1368683772161603E-13</v>
      </c>
      <c r="AJ192" s="13">
        <f>AI192*VLOOKUP('Données projet'!$B$10,Paramètres!$A$1:$I$89,3,0)*VLOOKUP('Données projet'!$B$10,Paramètres!$A$1:$I$89,5,0)</f>
        <v>1.1527845344971866E-13</v>
      </c>
      <c r="AK192" s="13">
        <f t="shared" si="164"/>
        <v>1.7033846239409443E-12</v>
      </c>
      <c r="AL192" s="20">
        <f t="shared" si="165"/>
        <v>3.1675048597887374E-12</v>
      </c>
      <c r="AM192" s="59">
        <f t="shared" si="113"/>
        <v>293.3333333333365</v>
      </c>
      <c r="AN192" s="59">
        <f ca="1">AVERAGE(OFFSET($AM$3,0,0,'Données projet'!$E$10+1,1))-AVERAGE(OFFSET($H$3,0,0,'Données projet'!$E$10+1,1))</f>
        <v>280.88930300426705</v>
      </c>
      <c r="AO192" s="59">
        <f t="shared" si="144"/>
        <v>166.95395852420467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1">
        <f t="shared" si="140"/>
        <v>36.138432324006331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67">
        <f t="shared" si="110"/>
        <v>598.90253629764379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143.12123169427508</v>
      </c>
      <c r="T193" s="59">
        <f t="shared" si="142"/>
        <v>351.98518810889152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2.2426234110318011</v>
      </c>
      <c r="AA193" s="21">
        <f>EXP(-LN(2)/25)*AA192+(1-EXP(-LN(2)/25))/(LN(2)/25)*Calculateur!V193*Calculateur!X193*VLOOKUP('Données projet'!$B$9,Paramètres!$A$1:$I$89,3,0)*0.475*44/12</f>
        <v>0.52042145738483292</v>
      </c>
      <c r="AB193" s="21">
        <f>EXP(-LN(2)/2)*AB192+(1-EXP(-LN(2)/2))/(LN(2)/2)*V193*Y193*VLOOKUP('Données projet'!$B$9,Paramètres!$A$1:$I$89,3,0)*0.475*44/12</f>
        <v>3.6038096043640396E-23</v>
      </c>
      <c r="AC193" s="22">
        <f t="shared" si="163"/>
        <v>2.763044868416634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1.1368683772161603E-13</v>
      </c>
      <c r="AJ193" s="13">
        <f>AI193*VLOOKUP('Données projet'!$B$10,Paramètres!$A$1:$I$89,3,0)*VLOOKUP('Données projet'!$B$10,Paramètres!$A$1:$I$89,5,0)</f>
        <v>1.1527845344971866E-13</v>
      </c>
      <c r="AK193" s="13">
        <f t="shared" si="164"/>
        <v>1.7033846239409443E-12</v>
      </c>
      <c r="AL193" s="20">
        <f t="shared" si="165"/>
        <v>3.1675048597887374E-12</v>
      </c>
      <c r="AM193" s="59">
        <f t="shared" si="113"/>
        <v>293.3333333333365</v>
      </c>
      <c r="AN193" s="59">
        <f ca="1">AVERAGE(OFFSET($AM$3,0,0,'Données projet'!$E$10+1,1))-AVERAGE(OFFSET($H$3,0,0,'Données projet'!$E$10+1,1))</f>
        <v>280.88930300426705</v>
      </c>
      <c r="AO193" s="59">
        <f t="shared" si="144"/>
        <v>166.95395852420467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1">
        <f t="shared" si="140"/>
        <v>36.306443674821708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67">
        <f t="shared" si="110"/>
        <v>600.4721460669806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143.12123169427508</v>
      </c>
      <c r="T194" s="59">
        <f t="shared" si="142"/>
        <v>351.98518810889152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2.1986469338066827</v>
      </c>
      <c r="AA194" s="21">
        <f>EXP(-LN(2)/25)*AA193+(1-EXP(-LN(2)/25))/(LN(2)/25)*Calculateur!V194*Calculateur!X194*VLOOKUP('Données projet'!$B$9,Paramètres!$A$1:$I$89,3,0)*0.475*44/12</f>
        <v>0.50619050526486964</v>
      </c>
      <c r="AB194" s="21">
        <f>EXP(-LN(2)/2)*AB193+(1-EXP(-LN(2)/2))/(LN(2)/2)*V194*Y194*VLOOKUP('Données projet'!$B$9,Paramètres!$A$1:$I$89,3,0)*0.475*44/12</f>
        <v>2.5482782093510214E-23</v>
      </c>
      <c r="AC194" s="22">
        <f t="shared" si="163"/>
        <v>2.7048374390715524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1.1368683772161603E-13</v>
      </c>
      <c r="AJ194" s="13">
        <f>AI194*VLOOKUP('Données projet'!$B$10,Paramètres!$A$1:$I$89,3,0)*VLOOKUP('Données projet'!$B$10,Paramètres!$A$1:$I$89,5,0)</f>
        <v>1.1527845344971866E-13</v>
      </c>
      <c r="AK194" s="13">
        <f t="shared" si="164"/>
        <v>1.7033846239409443E-12</v>
      </c>
      <c r="AL194" s="20">
        <f t="shared" si="165"/>
        <v>3.1675048597887374E-12</v>
      </c>
      <c r="AM194" s="59">
        <f t="shared" si="113"/>
        <v>293.3333333333365</v>
      </c>
      <c r="AN194" s="59">
        <f ca="1">AVERAGE(OFFSET($AM$3,0,0,'Données projet'!$E$10+1,1))-AVERAGE(OFFSET($H$3,0,0,'Données projet'!$E$10+1,1))</f>
        <v>280.88930300426705</v>
      </c>
      <c r="AO194" s="59">
        <f t="shared" si="144"/>
        <v>166.95395852420467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1">
        <f t="shared" si="140"/>
        <v>36.474352666172038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67">
        <f t="shared" si="110"/>
        <v>602.04157756024915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143.12123169427508</v>
      </c>
      <c r="T195" s="59">
        <f t="shared" si="142"/>
        <v>351.98518810889152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2.1555328084769463</v>
      </c>
      <c r="AA195" s="21">
        <f>EXP(-LN(2)/25)*AA194+(1-EXP(-LN(2)/25))/(LN(2)/25)*Calculateur!V195*Calculateur!X195*VLOOKUP('Données projet'!$B$9,Paramètres!$A$1:$I$89,3,0)*0.475*44/12</f>
        <v>0.49234869927900005</v>
      </c>
      <c r="AB195" s="21">
        <f>EXP(-LN(2)/2)*AB194+(1-EXP(-LN(2)/2))/(LN(2)/2)*V195*Y195*VLOOKUP('Données projet'!$B$9,Paramètres!$A$1:$I$89,3,0)*0.475*44/12</f>
        <v>1.8019048021820198E-23</v>
      </c>
      <c r="AC195" s="22">
        <f t="shared" si="163"/>
        <v>2.6478815077559466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1.1368683772161603E-13</v>
      </c>
      <c r="AJ195" s="13">
        <f>AI195*VLOOKUP('Données projet'!$B$10,Paramètres!$A$1:$I$89,3,0)*VLOOKUP('Données projet'!$B$10,Paramètres!$A$1:$I$89,5,0)</f>
        <v>1.1527845344971866E-13</v>
      </c>
      <c r="AK195" s="13">
        <f t="shared" si="164"/>
        <v>1.7033846239409443E-12</v>
      </c>
      <c r="AL195" s="20">
        <f t="shared" si="165"/>
        <v>3.1675048597887374E-12</v>
      </c>
      <c r="AM195" s="59">
        <f t="shared" si="113"/>
        <v>293.3333333333365</v>
      </c>
      <c r="AN195" s="59">
        <f ca="1">AVERAGE(OFFSET($AM$3,0,0,'Données projet'!$E$10+1,1))-AVERAGE(OFFSET($H$3,0,0,'Données projet'!$E$10+1,1))</f>
        <v>280.88930300426705</v>
      </c>
      <c r="AO195" s="59">
        <f t="shared" si="144"/>
        <v>166.95395852420467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1">
        <f t="shared" si="140"/>
        <v>36.642159893059954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67">
        <f t="shared" ref="H196:H203" si="192">(B196+E196+F196)*44/12+(C196+D196)*0.475*44/12</f>
        <v>603.61083181374556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143.12123169427508</v>
      </c>
      <c r="T196" s="59">
        <f t="shared" si="142"/>
        <v>351.98518810889152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2.1132641248479063</v>
      </c>
      <c r="AA196" s="21">
        <f>EXP(-LN(2)/25)*AA195+(1-EXP(-LN(2)/25))/(LN(2)/25)*Calculateur!V196*Calculateur!X196*VLOOKUP('Données projet'!$B$9,Paramètres!$A$1:$I$89,3,0)*0.475*44/12</f>
        <v>0.47888539820572296</v>
      </c>
      <c r="AB196" s="21">
        <f>EXP(-LN(2)/2)*AB195+(1-EXP(-LN(2)/2))/(LN(2)/2)*V196*Y196*VLOOKUP('Données projet'!$B$9,Paramètres!$A$1:$I$89,3,0)*0.475*44/12</f>
        <v>1.2741391046755107E-23</v>
      </c>
      <c r="AC196" s="22">
        <f t="shared" si="163"/>
        <v>2.5921495230536293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1.1368683772161603E-13</v>
      </c>
      <c r="AJ196" s="13">
        <f>AI196*VLOOKUP('Données projet'!$B$10,Paramètres!$A$1:$I$89,3,0)*VLOOKUP('Données projet'!$B$10,Paramètres!$A$1:$I$89,5,0)</f>
        <v>1.1527845344971866E-13</v>
      </c>
      <c r="AK196" s="13">
        <f t="shared" si="164"/>
        <v>1.7033846239409443E-12</v>
      </c>
      <c r="AL196" s="20">
        <f t="shared" si="165"/>
        <v>3.1675048597887374E-12</v>
      </c>
      <c r="AM196" s="59">
        <f t="shared" ref="AM196:AM203" si="193">AL196+(AD196+AE196)*44/12</f>
        <v>293.3333333333365</v>
      </c>
      <c r="AN196" s="59">
        <f ca="1">AVERAGE(OFFSET($AM$3,0,0,'Données projet'!$E$10+1,1))-AVERAGE(OFFSET($H$3,0,0,'Données projet'!$E$10+1,1))</f>
        <v>280.88930300426705</v>
      </c>
      <c r="AO196" s="59">
        <f t="shared" si="144"/>
        <v>166.95395852420467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1">
        <f t="shared" ref="D197:D203" si="202">IFERROR(EXP(-1.0587+0.8836*LN(C197)+0.284),0)</f>
        <v>36.80986594396532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67">
        <f t="shared" si="192"/>
        <v>605.17990985240579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143.12123169427508</v>
      </c>
      <c r="T197" s="59">
        <f t="shared" ref="T197:T203" si="204">$T$3</f>
        <v>351.98518810889152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2.0718243043234805</v>
      </c>
      <c r="AA197" s="21">
        <f>EXP(-LN(2)/25)*AA196+(1-EXP(-LN(2)/25))/(LN(2)/25)*Calculateur!V197*Calculateur!X197*VLOOKUP('Données projet'!$B$9,Paramètres!$A$1:$I$89,3,0)*0.475*44/12</f>
        <v>0.46579025180829886</v>
      </c>
      <c r="AB197" s="21">
        <f>EXP(-LN(2)/2)*AB196+(1-EXP(-LN(2)/2))/(LN(2)/2)*V197*Y197*VLOOKUP('Données projet'!$B$9,Paramètres!$A$1:$I$89,3,0)*0.475*44/12</f>
        <v>9.009524010910099E-24</v>
      </c>
      <c r="AC197" s="22">
        <f t="shared" si="163"/>
        <v>2.5376145561317793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1.1368683772161603E-13</v>
      </c>
      <c r="AJ197" s="13">
        <f>AI197*VLOOKUP('Données projet'!$B$10,Paramètres!$A$1:$I$89,3,0)*VLOOKUP('Données projet'!$B$10,Paramètres!$A$1:$I$89,5,0)</f>
        <v>1.1527845344971866E-13</v>
      </c>
      <c r="AK197" s="13">
        <f t="shared" si="164"/>
        <v>1.7033846239409443E-12</v>
      </c>
      <c r="AL197" s="20">
        <f t="shared" si="165"/>
        <v>3.1675048597887374E-12</v>
      </c>
      <c r="AM197" s="59">
        <f t="shared" si="193"/>
        <v>293.3333333333365</v>
      </c>
      <c r="AN197" s="59">
        <f ca="1">AVERAGE(OFFSET($AM$3,0,0,'Données projet'!$E$10+1,1))-AVERAGE(OFFSET($H$3,0,0,'Données projet'!$E$10+1,1))</f>
        <v>280.88930300426705</v>
      </c>
      <c r="AO197" s="59">
        <f t="shared" ref="AO197:AO203" si="205">$AO$3</f>
        <v>166.95395852420467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1">
        <f t="shared" si="202"/>
        <v>36.977471400949966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67">
        <f t="shared" si="192"/>
        <v>606.7488126899874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143.12123169427508</v>
      </c>
      <c r="T198" s="59">
        <f t="shared" si="204"/>
        <v>351.98518810889152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2.031197093403744</v>
      </c>
      <c r="AA198" s="21">
        <f>EXP(-LN(2)/25)*AA197+(1-EXP(-LN(2)/25))/(LN(2)/25)*Calculateur!V198*Calculateur!X198*VLOOKUP('Données projet'!$B$9,Paramètres!$A$1:$I$89,3,0)*0.475*44/12</f>
        <v>0.45305319287775614</v>
      </c>
      <c r="AB198" s="21">
        <f>EXP(-LN(2)/2)*AB197+(1-EXP(-LN(2)/2))/(LN(2)/2)*V198*Y198*VLOOKUP('Données projet'!$B$9,Paramètres!$A$1:$I$89,3,0)*0.475*44/12</f>
        <v>6.3706955233775535E-24</v>
      </c>
      <c r="AC198" s="22">
        <f t="shared" si="163"/>
        <v>2.4842502862815001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1.1368683772161603E-13</v>
      </c>
      <c r="AJ198" s="13">
        <f>AI198*VLOOKUP('Données projet'!$B$10,Paramètres!$A$1:$I$89,3,0)*VLOOKUP('Données projet'!$B$10,Paramètres!$A$1:$I$89,5,0)</f>
        <v>1.1527845344971866E-13</v>
      </c>
      <c r="AK198" s="13">
        <f t="shared" si="164"/>
        <v>1.7033846239409443E-12</v>
      </c>
      <c r="AL198" s="20">
        <f t="shared" si="165"/>
        <v>3.1675048597887374E-12</v>
      </c>
      <c r="AM198" s="59">
        <f t="shared" si="193"/>
        <v>293.3333333333365</v>
      </c>
      <c r="AN198" s="59">
        <f ca="1">AVERAGE(OFFSET($AM$3,0,0,'Données projet'!$E$10+1,1))-AVERAGE(OFFSET($H$3,0,0,'Données projet'!$E$10+1,1))</f>
        <v>280.88930300426705</v>
      </c>
      <c r="AO198" s="59">
        <f t="shared" si="205"/>
        <v>166.95395852420467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1">
        <f t="shared" si="202"/>
        <v>37.144976839760147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67">
        <f t="shared" si="192"/>
        <v>608.31754132924857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143.12123169427508</v>
      </c>
      <c r="T199" s="59">
        <f t="shared" si="204"/>
        <v>351.98518810889152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1.9913665573099915</v>
      </c>
      <c r="AA199" s="21">
        <f>EXP(-LN(2)/25)*AA198+(1-EXP(-LN(2)/25))/(LN(2)/25)*Calculateur!V199*Calculateur!X199*VLOOKUP('Données projet'!$B$9,Paramètres!$A$1:$I$89,3,0)*0.475*44/12</f>
        <v>0.44066442949348195</v>
      </c>
      <c r="AB199" s="21">
        <f>EXP(-LN(2)/2)*AB198+(1-EXP(-LN(2)/2))/(LN(2)/2)*V199*Y199*VLOOKUP('Données projet'!$B$9,Paramètres!$A$1:$I$89,3,0)*0.475*44/12</f>
        <v>4.5047620054550495E-24</v>
      </c>
      <c r="AC199" s="22">
        <f t="shared" si="163"/>
        <v>2.4320309868034733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1.1368683772161603E-13</v>
      </c>
      <c r="AJ199" s="13">
        <f>AI199*VLOOKUP('Données projet'!$B$10,Paramètres!$A$1:$I$89,3,0)*VLOOKUP('Données projet'!$B$10,Paramètres!$A$1:$I$89,5,0)</f>
        <v>1.1527845344971866E-13</v>
      </c>
      <c r="AK199" s="13">
        <f t="shared" si="164"/>
        <v>1.7033846239409443E-12</v>
      </c>
      <c r="AL199" s="20">
        <f t="shared" si="165"/>
        <v>3.1675048597887374E-12</v>
      </c>
      <c r="AM199" s="59">
        <f t="shared" si="193"/>
        <v>293.3333333333365</v>
      </c>
      <c r="AN199" s="59">
        <f ca="1">AVERAGE(OFFSET($AM$3,0,0,'Données projet'!$E$10+1,1))-AVERAGE(OFFSET($H$3,0,0,'Données projet'!$E$10+1,1))</f>
        <v>280.88930300426705</v>
      </c>
      <c r="AO199" s="59">
        <f t="shared" si="205"/>
        <v>166.95395852420467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1">
        <f t="shared" si="202"/>
        <v>37.312382829927017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67">
        <f t="shared" si="192"/>
        <v>609.88609676212241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143.12123169427508</v>
      </c>
      <c r="T200" s="59">
        <f t="shared" si="204"/>
        <v>351.98518810889152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1.9523170737348094</v>
      </c>
      <c r="AA200" s="21">
        <f>EXP(-LN(2)/25)*AA199+(1-EXP(-LN(2)/25))/(LN(2)/25)*Calculateur!V200*Calculateur!X200*VLOOKUP('Données projet'!$B$9,Paramètres!$A$1:$I$89,3,0)*0.475*44/12</f>
        <v>0.42861443749544748</v>
      </c>
      <c r="AB200" s="21">
        <f>EXP(-LN(2)/2)*AB199+(1-EXP(-LN(2)/2))/(LN(2)/2)*V200*Y200*VLOOKUP('Données projet'!$B$9,Paramètres!$A$1:$I$89,3,0)*0.475*44/12</f>
        <v>3.1853477616887767E-24</v>
      </c>
      <c r="AC200" s="22">
        <f t="shared" si="163"/>
        <v>2.3809315112302567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1.1368683772161603E-13</v>
      </c>
      <c r="AJ200" s="13">
        <f>AI200*VLOOKUP('Données projet'!$B$10,Paramètres!$A$1:$I$89,3,0)*VLOOKUP('Données projet'!$B$10,Paramètres!$A$1:$I$89,5,0)</f>
        <v>1.1527845344971866E-13</v>
      </c>
      <c r="AK200" s="13">
        <f t="shared" si="164"/>
        <v>1.7033846239409443E-12</v>
      </c>
      <c r="AL200" s="20">
        <f t="shared" si="165"/>
        <v>3.1675048597887374E-12</v>
      </c>
      <c r="AM200" s="59">
        <f t="shared" si="193"/>
        <v>293.3333333333365</v>
      </c>
      <c r="AN200" s="59">
        <f ca="1">AVERAGE(OFFSET($AM$3,0,0,'Données projet'!$E$10+1,1))-AVERAGE(OFFSET($H$3,0,0,'Données projet'!$E$10+1,1))</f>
        <v>280.88930300426705</v>
      </c>
      <c r="AO200" s="59">
        <f t="shared" si="205"/>
        <v>166.95395852420467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1">
        <f t="shared" si="202"/>
        <v>37.479689934865021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67">
        <f t="shared" si="192"/>
        <v>611.45447996988946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143.12123169427508</v>
      </c>
      <c r="T201" s="59">
        <f t="shared" si="204"/>
        <v>351.98518810889152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1.9140333267147034</v>
      </c>
      <c r="AA201" s="21">
        <f>EXP(-LN(2)/25)*AA200+(1-EXP(-LN(2)/25))/(LN(2)/25)*Calculateur!V201*Calculateur!X201*VLOOKUP('Données projet'!$B$9,Paramètres!$A$1:$I$89,3,0)*0.475*44/12</f>
        <v>0.41689395316228078</v>
      </c>
      <c r="AB201" s="21">
        <f>EXP(-LN(2)/2)*AB200+(1-EXP(-LN(2)/2))/(LN(2)/2)*V201*Y201*VLOOKUP('Données projet'!$B$9,Paramètres!$A$1:$I$89,3,0)*0.475*44/12</f>
        <v>2.2523810027275247E-24</v>
      </c>
      <c r="AC201" s="22">
        <f t="shared" si="163"/>
        <v>2.3309272798769842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1.1368683772161603E-13</v>
      </c>
      <c r="AJ201" s="13">
        <f>AI201*VLOOKUP('Données projet'!$B$10,Paramètres!$A$1:$I$89,3,0)*VLOOKUP('Données projet'!$B$10,Paramètres!$A$1:$I$89,5,0)</f>
        <v>1.1527845344971866E-13</v>
      </c>
      <c r="AK201" s="13">
        <f t="shared" si="164"/>
        <v>1.7033846239409443E-12</v>
      </c>
      <c r="AL201" s="20">
        <f t="shared" si="165"/>
        <v>3.1675048597887374E-12</v>
      </c>
      <c r="AM201" s="59">
        <f t="shared" si="193"/>
        <v>293.3333333333365</v>
      </c>
      <c r="AN201" s="59">
        <f ca="1">AVERAGE(OFFSET($AM$3,0,0,'Données projet'!$E$10+1,1))-AVERAGE(OFFSET($H$3,0,0,'Données projet'!$E$10+1,1))</f>
        <v>280.88930300426705</v>
      </c>
      <c r="AO201" s="59">
        <f t="shared" si="205"/>
        <v>166.95395852420467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1">
        <f t="shared" si="202"/>
        <v>37.646898711967857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67">
        <f t="shared" si="192"/>
        <v>613.0226919233437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143.12123169427508</v>
      </c>
      <c r="T202" s="59">
        <f t="shared" si="204"/>
        <v>351.98518810889152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1.8765003006228818</v>
      </c>
      <c r="AA202" s="21">
        <f>EXP(-LN(2)/25)*AA201+(1-EXP(-LN(2)/25))/(LN(2)/25)*Calculateur!V202*Calculateur!X202*VLOOKUP('Données projet'!$B$9,Paramètres!$A$1:$I$89,3,0)*0.475*44/12</f>
        <v>0.40549396608955807</v>
      </c>
      <c r="AB202" s="21">
        <f>EXP(-LN(2)/2)*AB201+(1-EXP(-LN(2)/2))/(LN(2)/2)*V202*Y202*VLOOKUP('Données projet'!$B$9,Paramètres!$A$1:$I$89,3,0)*0.475*44/12</f>
        <v>1.5926738808443884E-24</v>
      </c>
      <c r="AC202" s="22">
        <f t="shared" si="163"/>
        <v>2.2819942667124398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1.1368683772161603E-13</v>
      </c>
      <c r="AJ202" s="13">
        <f>AI202*VLOOKUP('Données projet'!$B$10,Paramètres!$A$1:$I$89,3,0)*VLOOKUP('Données projet'!$B$10,Paramètres!$A$1:$I$89,5,0)</f>
        <v>1.1527845344971866E-13</v>
      </c>
      <c r="AK202" s="13">
        <f t="shared" si="164"/>
        <v>1.7033846239409443E-12</v>
      </c>
      <c r="AL202" s="20">
        <f t="shared" si="165"/>
        <v>3.1675048597887374E-12</v>
      </c>
      <c r="AM202" s="59">
        <f t="shared" si="193"/>
        <v>293.3333333333365</v>
      </c>
      <c r="AN202" s="59">
        <f ca="1">AVERAGE(OFFSET($AM$3,0,0,'Données projet'!$E$10+1,1))-AVERAGE(OFFSET($H$3,0,0,'Données projet'!$E$10+1,1))</f>
        <v>280.88930300426705</v>
      </c>
      <c r="AO202" s="59">
        <f t="shared" si="205"/>
        <v>166.95395852420467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1">
        <f t="shared" si="202"/>
        <v>37.81400971270299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67">
        <f t="shared" si="192"/>
        <v>614.59073358295734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143.12123169427508</v>
      </c>
      <c r="T203" s="59">
        <f t="shared" si="204"/>
        <v>351.98518810889152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1.8397032742798354</v>
      </c>
      <c r="AA203" s="21">
        <f>EXP(-LN(2)/25)*AA202+(1-EXP(-LN(2)/25))/(LN(2)/25)*Calculateur!V203*Calculateur!X203*VLOOKUP('Données projet'!$B$9,Paramètres!$A$1:$I$89,3,0)*0.475*44/12</f>
        <v>0.39440571226283822</v>
      </c>
      <c r="AB203" s="21">
        <f>EXP(-LN(2)/2)*AB202+(1-EXP(-LN(2)/2))/(LN(2)/2)*V203*Y203*VLOOKUP('Données projet'!$B$9,Paramètres!$A$1:$I$89,3,0)*0.475*44/12</f>
        <v>1.1261905013637624E-24</v>
      </c>
      <c r="AC203" s="22">
        <f t="shared" si="163"/>
        <v>2.2341089865426738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1.1368683772161603E-13</v>
      </c>
      <c r="AJ203" s="13">
        <f>AI203*VLOOKUP('Données projet'!$B$10,Paramètres!$A$1:$I$89,3,0)*VLOOKUP('Données projet'!$B$10,Paramètres!$A$1:$I$89,5,0)</f>
        <v>1.1527845344971866E-13</v>
      </c>
      <c r="AK203" s="13">
        <f t="shared" si="164"/>
        <v>1.7033846239409443E-12</v>
      </c>
      <c r="AL203" s="20">
        <f t="shared" si="165"/>
        <v>3.1675048597887374E-12</v>
      </c>
      <c r="AM203" s="59">
        <f t="shared" si="193"/>
        <v>293.3333333333365</v>
      </c>
      <c r="AN203" s="59">
        <f ca="1">AVERAGE(OFFSET($AM$3,0,0,'Données projet'!$E$10+1,1))-AVERAGE(OFFSET($H$3,0,0,'Données projet'!$E$10+1,1))</f>
        <v>280.88930300426705</v>
      </c>
      <c r="AO203" s="59">
        <f t="shared" si="205"/>
        <v>166.95395852420467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1.4749438547769935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1.1852335095914694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P20" sqref="P20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11.0627</v>
      </c>
      <c r="C6" s="147">
        <f ca="1">IF(OR('Données projet'!B9="",'Données projet'!C9="",'Données projet'!C9=0%),0,Calculateur!S3)</f>
        <v>143.12123169427508</v>
      </c>
      <c r="D6" s="147">
        <f>IF(OR('Données projet'!B9="",'Données projet'!C9="",'Données projet'!C9=0%),0,Calculateur!T3)</f>
        <v>351.98518810889152</v>
      </c>
      <c r="E6" s="147">
        <f ca="1">MIN(C6,D6)</f>
        <v>143.12123169427508</v>
      </c>
      <c r="F6" s="147">
        <f ca="1">E6*B6</f>
        <v>1583.3072498642568</v>
      </c>
      <c r="G6" s="147">
        <f ca="1">F6*(100%-'Données projet'!$C$24)*(100%-'Données projet'!$C$25)*(100%-'Données projet'!$C$26)*(100%-'Données projet'!$C$27)</f>
        <v>1282.4788723900481</v>
      </c>
      <c r="H6" s="148">
        <f>IF(OR('Données projet'!B9="",'Données projet'!C9="",'Données projet'!C9=0%),0,AVERAGE(Calculateur!$AC$3:$AC$33)*B6)</f>
        <v>166.3064315361423</v>
      </c>
      <c r="I6" s="149">
        <f>H6*(100%-'Données projet'!$C$24)*(100%-'Données projet'!$C$25)*(100%-'Données projet'!$C$26)*(100%-'Données projet'!$C$27)</f>
        <v>134.70820954427529</v>
      </c>
      <c r="J6" s="150">
        <f>IF(OR('Données projet'!B9="",'Données projet'!C9="",'Données projet'!C9=0%),0,SUM(Calculateur!$V$3:$V$33)*VLOOKUP('Données projet'!$B$9,Paramètres!$A$1:$I$89,9,0)*B6)</f>
        <v>2884.9309059999996</v>
      </c>
      <c r="K6" s="151">
        <f>J6*(100%-'Données projet'!$C$24)*(100%-'Données projet'!$C$25)*(100%-'Données projet'!$C$26)*(100%-'Données projet'!$C$27)</f>
        <v>2336.7940338599997</v>
      </c>
      <c r="L6" s="152">
        <f ca="1">G6+I6+K6</f>
        <v>3753.9811157943232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pubescent</v>
      </c>
      <c r="B7" s="154">
        <f>'Données projet'!D10</f>
        <v>1.3673</v>
      </c>
      <c r="C7" s="147">
        <f ca="1">IF(OR('Données projet'!B10="",'Données projet'!C10="",'Données projet'!C10=0%),0,Calculateur!AN3)</f>
        <v>280.88930300426705</v>
      </c>
      <c r="D7" s="147">
        <f>IF(OR('Données projet'!B10="",'Données projet'!C10="",'Données projet'!C10=0%),0,Calculateur!AO3)</f>
        <v>166.95395852420467</v>
      </c>
      <c r="E7" s="147">
        <f t="shared" ref="E7:E15" ca="1" si="0">MIN(C7,D7)</f>
        <v>166.95395852420467</v>
      </c>
      <c r="F7" s="147">
        <f t="shared" ref="F7:F15" ca="1" si="1">E7*B7</f>
        <v>228.27614749014504</v>
      </c>
      <c r="G7" s="147">
        <f ca="1">F7*(100%-'Données projet'!$C$24)*(100%-'Données projet'!$C$25)*(100%-'Données projet'!$C$26)*(100%-'Données projet'!$C$27)</f>
        <v>184.9036794670175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9.9129249999999995</v>
      </c>
      <c r="K7" s="151">
        <f>J7*(100%-'Données projet'!$C$24)*(100%-'Données projet'!$C$25)*(100%-'Données projet'!$C$26)*(100%-'Données projet'!$C$27)</f>
        <v>8.02946925</v>
      </c>
      <c r="L7" s="152">
        <f t="shared" ref="L7:L15" ca="1" si="2">G7+I7+K7</f>
        <v>192.9331487170175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1811.5833973544018</v>
      </c>
      <c r="G16" s="166">
        <f t="shared" ca="1" si="3"/>
        <v>1467.3825518570657</v>
      </c>
      <c r="H16" s="167">
        <f t="shared" si="3"/>
        <v>166.3064315361423</v>
      </c>
      <c r="I16" s="167">
        <f t="shared" si="3"/>
        <v>134.70820954427529</v>
      </c>
      <c r="J16" s="168">
        <f t="shared" si="3"/>
        <v>2894.8438309999997</v>
      </c>
      <c r="K16" s="168">
        <f t="shared" si="3"/>
        <v>2344.8235031099998</v>
      </c>
      <c r="L16" s="169">
        <f t="shared" ca="1" si="3"/>
        <v>3946.9142645113407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9" zoomScale="90" zoomScaleNormal="90" workbookViewId="0">
      <selection activeCell="F26" sqref="F2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717.61874558308273</v>
      </c>
      <c r="U10" s="178">
        <f>'Données projet'!D9</f>
        <v>11.0627</v>
      </c>
      <c r="V10" s="177">
        <f>U10*T10</f>
        <v>7938.8008967619689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-11068.877773503133</v>
      </c>
      <c r="U11" s="178">
        <f>'Données projet'!D10</f>
        <v>1.3673</v>
      </c>
      <c r="V11" s="177">
        <f t="shared" ref="V11" si="0">U11*T11</f>
        <v>-15134.476579710832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3011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35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>
        <f>16%*E17+800</f>
        <v>1281.76</v>
      </c>
      <c r="F18" s="230"/>
      <c r="G18" s="289"/>
      <c r="J18" s="202"/>
      <c r="K18" s="208"/>
      <c r="L18" s="259" t="s">
        <v>255</v>
      </c>
      <c r="M18" s="261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525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>
        <v>400</v>
      </c>
      <c r="F20" s="230"/>
      <c r="G20" s="289"/>
      <c r="H20" s="190">
        <v>0</v>
      </c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34</v>
      </c>
      <c r="C23" s="193">
        <v>15</v>
      </c>
      <c r="D23" s="182">
        <f>B23*C23</f>
        <v>510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-7195.6756829488631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17</v>
      </c>
      <c r="B24" s="181">
        <f>'Données projet'!D37</f>
        <v>43</v>
      </c>
      <c r="C24" s="193">
        <v>20</v>
      </c>
      <c r="D24" s="182">
        <f t="shared" ref="D24:D42" si="2">B24*C24</f>
        <v>860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1398.1709239632844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22</v>
      </c>
      <c r="B25" s="181">
        <f>'Données projet'!D38</f>
        <v>56</v>
      </c>
      <c r="C25" s="193">
        <v>30</v>
      </c>
      <c r="D25" s="182">
        <f t="shared" si="2"/>
        <v>1680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-8593.8466069121478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309</v>
      </c>
      <c r="C26" s="193">
        <v>48</v>
      </c>
      <c r="D26" s="182">
        <f t="shared" si="2"/>
        <v>14832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f>5450+2484</f>
        <v>7934</v>
      </c>
      <c r="F48" s="231" t="s">
        <v>324</v>
      </c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>
        <f>16%*E48+800</f>
        <v>2069.44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>
        <v>800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>
        <v>500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>
        <v>500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>
        <v>500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25</v>
      </c>
      <c r="B54" s="181">
        <f>'Données projet'!D62</f>
        <v>8</v>
      </c>
      <c r="C54" s="191">
        <v>5</v>
      </c>
      <c r="D54" s="179">
        <f>B54*C54</f>
        <v>40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30</v>
      </c>
      <c r="B55" s="181">
        <f>'Données projet'!D63</f>
        <v>21</v>
      </c>
      <c r="C55" s="191">
        <v>10</v>
      </c>
      <c r="D55" s="179">
        <f t="shared" ref="D55:D73" si="4">B55*C55</f>
        <v>210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35</v>
      </c>
      <c r="B56" s="181">
        <f>'Données projet'!D64</f>
        <v>21</v>
      </c>
      <c r="C56" s="191">
        <v>15</v>
      </c>
      <c r="D56" s="179">
        <f t="shared" si="4"/>
        <v>315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40</v>
      </c>
      <c r="B57" s="181">
        <f>'Données projet'!D65</f>
        <v>21</v>
      </c>
      <c r="C57" s="191">
        <v>25</v>
      </c>
      <c r="D57" s="179">
        <f t="shared" si="4"/>
        <v>525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45</v>
      </c>
      <c r="B58" s="181">
        <f>'Données projet'!D66</f>
        <v>21</v>
      </c>
      <c r="C58" s="191">
        <v>25</v>
      </c>
      <c r="D58" s="179">
        <f t="shared" si="4"/>
        <v>525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50</v>
      </c>
      <c r="B59" s="181">
        <f>'Données projet'!D67</f>
        <v>21</v>
      </c>
      <c r="C59" s="191">
        <v>25</v>
      </c>
      <c r="D59" s="179">
        <f t="shared" si="4"/>
        <v>525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55</v>
      </c>
      <c r="B60" s="181">
        <f>'Données projet'!D68</f>
        <v>21</v>
      </c>
      <c r="C60" s="191">
        <v>25</v>
      </c>
      <c r="D60" s="179">
        <f t="shared" si="4"/>
        <v>525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60</v>
      </c>
      <c r="B61" s="181">
        <f>'Données projet'!D69</f>
        <v>21</v>
      </c>
      <c r="C61" s="191">
        <v>35</v>
      </c>
      <c r="D61" s="179">
        <f t="shared" si="4"/>
        <v>735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65</v>
      </c>
      <c r="B62" s="181">
        <f>'Données projet'!D70</f>
        <v>21</v>
      </c>
      <c r="C62" s="191">
        <v>35</v>
      </c>
      <c r="D62" s="179">
        <f t="shared" si="4"/>
        <v>735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70</v>
      </c>
      <c r="B63" s="181">
        <f>'Données projet'!D71</f>
        <v>21</v>
      </c>
      <c r="C63" s="191">
        <v>35</v>
      </c>
      <c r="D63" s="179">
        <f t="shared" si="4"/>
        <v>735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75</v>
      </c>
      <c r="B64" s="181">
        <f>'Données projet'!D72</f>
        <v>21</v>
      </c>
      <c r="C64" s="191">
        <v>35</v>
      </c>
      <c r="D64" s="179">
        <f t="shared" si="4"/>
        <v>735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str">
        <f>IF(O63+1&lt;=MIN('Données projet'!$E$9:$E$18),O63+1,"STOP")</f>
        <v>STOP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80</v>
      </c>
      <c r="B65" s="181">
        <f>'Données projet'!D73</f>
        <v>21</v>
      </c>
      <c r="C65" s="191">
        <v>40</v>
      </c>
      <c r="D65" s="179">
        <f t="shared" si="4"/>
        <v>840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85</v>
      </c>
      <c r="B66" s="181">
        <f>'Données projet'!D74</f>
        <v>21</v>
      </c>
      <c r="C66" s="191">
        <v>50</v>
      </c>
      <c r="D66" s="179">
        <f t="shared" si="4"/>
        <v>1050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90</v>
      </c>
      <c r="B67" s="181">
        <f>'Données projet'!D75</f>
        <v>21</v>
      </c>
      <c r="C67" s="191">
        <v>60</v>
      </c>
      <c r="D67" s="179">
        <f t="shared" si="4"/>
        <v>1260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95</v>
      </c>
      <c r="B68" s="181">
        <f>'Données projet'!D76</f>
        <v>21</v>
      </c>
      <c r="C68" s="191">
        <v>70</v>
      </c>
      <c r="D68" s="179">
        <f t="shared" si="4"/>
        <v>1470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100</v>
      </c>
      <c r="B69" s="181">
        <f>'Données projet'!D77</f>
        <v>21</v>
      </c>
      <c r="C69" s="191">
        <v>80</v>
      </c>
      <c r="D69" s="179">
        <f t="shared" si="4"/>
        <v>1680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105</v>
      </c>
      <c r="B70" s="181">
        <f>'Données projet'!D78</f>
        <v>20</v>
      </c>
      <c r="C70" s="191">
        <v>90</v>
      </c>
      <c r="D70" s="179">
        <f t="shared" si="4"/>
        <v>1800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110</v>
      </c>
      <c r="B71" s="181">
        <f>'Données projet'!D79</f>
        <v>19</v>
      </c>
      <c r="C71" s="191">
        <v>90</v>
      </c>
      <c r="D71" s="179">
        <f t="shared" si="4"/>
        <v>1710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115</v>
      </c>
      <c r="B72" s="181">
        <f>'Données projet'!D80</f>
        <v>18</v>
      </c>
      <c r="C72" s="191">
        <v>100</v>
      </c>
      <c r="D72" s="179">
        <f t="shared" si="4"/>
        <v>1800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120</v>
      </c>
      <c r="B73" s="181">
        <f>'Données projet'!D81</f>
        <v>285</v>
      </c>
      <c r="C73" s="191">
        <v>120</v>
      </c>
      <c r="D73" s="179">
        <f t="shared" si="4"/>
        <v>34200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7" ma:contentTypeDescription="Crée un document." ma:contentTypeScope="" ma:versionID="b5c4d3deab9d36c8e6d7f656bb802b19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7da63a66e2a081d22bf452fd0c492793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A178D6-0972-4BF1-86F7-949F847553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E71AF3-A58F-426E-94A7-FE995CBC500B}">
  <ds:schemaRefs>
    <ds:schemaRef ds:uri="http://schemas.microsoft.com/office/2006/documentManagement/types"/>
    <ds:schemaRef ds:uri="8c1d9445-5ca3-48db-a349-49511c70e687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openxmlformats.org/package/2006/metadata/core-properties"/>
    <ds:schemaRef ds:uri="1cca48d1-260d-4848-9875-be9a6e46318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AFCBE6C-0940-455B-A341-CC0937D0F5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2023-08-31T14:55:16Z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0x010100D7B4EDD96029174C893F76668C19DF97</vt:lpwstr>
  </property>
</Properties>
</file>