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srineAhmedTounsi\Downloads\"/>
    </mc:Choice>
  </mc:AlternateContent>
  <xr:revisionPtr revIDLastSave="0" documentId="13_ncr:1_{18673D67-84D4-4293-9ABB-47F21CF04BD3}" xr6:coauthVersionLast="47" xr6:coauthVersionMax="47" xr10:uidLastSave="{00000000-0000-0000-0000-000000000000}"/>
  <bookViews>
    <workbookView minimized="1" xWindow="2240" yWindow="2240" windowWidth="14400" windowHeight="817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EB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HG33" i="2"/>
  <c r="EA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CM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G60" i="2"/>
  <c r="EW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C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EW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HI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G130" i="2"/>
  <c r="FS130" i="2"/>
  <c r="HI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EC140" i="2"/>
  <c r="FR140" i="2"/>
  <c r="FS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H150" i="2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DI154" i="2"/>
  <c r="EW155" i="2"/>
  <c r="ED154" i="2"/>
  <c r="AC154" i="2"/>
  <c r="EA155" i="2"/>
  <c r="EX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AB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A157" i="2"/>
  <c r="EC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C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ED159" i="2"/>
  <c r="EC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B161" i="2"/>
  <c r="EX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C162" i="2"/>
  <c r="DI161" i="2"/>
  <c r="EB162" i="2"/>
  <c r="HH162" i="2"/>
  <c r="EW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DI163" i="2"/>
  <c r="DH164" i="2"/>
  <c r="EA164" i="2"/>
  <c r="EX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A167" i="2"/>
  <c r="DG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EW168" i="2"/>
  <c r="EB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B175" i="2"/>
  <c r="EW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B178" i="2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V179" i="2"/>
  <c r="EA179" i="2"/>
  <c r="HI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Y179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Y182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B185" i="2"/>
  <c r="EA185" i="2"/>
  <c r="EV185" i="2"/>
  <c r="HI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ED185" i="2"/>
  <c r="EA186" i="2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D189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B192" i="2"/>
  <c r="EC192" i="2"/>
  <c r="EV192" i="2"/>
  <c r="EW192" i="2"/>
  <c r="HG192" i="2"/>
  <c r="EA192" i="2"/>
  <c r="HI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EY192" i="2"/>
  <c r="ED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A194" i="2"/>
  <c r="EB194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DH195" i="2"/>
  <c r="EY194" i="2"/>
  <c r="EX195" i="2"/>
  <c r="HI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W197" i="2"/>
  <c r="EC197" i="2"/>
  <c r="AA197" i="2"/>
  <c r="HG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A201" i="2"/>
  <c r="EB201" i="2"/>
  <c r="HH201" i="2"/>
  <c r="FS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06" i="2" a="1"/>
  <c r="EI106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152" i="2" a="1"/>
  <c r="DN152" i="2" s="1"/>
  <c r="DN184" i="2" a="1"/>
  <c r="DN184" i="2" s="1"/>
  <c r="DN25" i="2" a="1"/>
  <c r="DN25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66" i="2" a="1"/>
  <c r="DN66" i="2" s="1"/>
  <c r="DN192" i="2" a="1"/>
  <c r="DN192" i="2" s="1"/>
  <c r="DN150" i="2" a="1"/>
  <c r="DN150" i="2" s="1"/>
  <c r="EI195" i="2" a="1"/>
  <c r="EI195" i="2" s="1"/>
  <c r="DN103" i="2" a="1"/>
  <c r="DN103" i="2" s="1"/>
  <c r="DN114" i="2" a="1"/>
  <c r="DN114" i="2" s="1"/>
  <c r="AH166" i="2" a="1"/>
  <c r="AH166" i="2" s="1"/>
  <c r="AH199" i="2" a="1"/>
  <c r="AH199" i="2" s="1"/>
  <c r="CS161" i="2" a="1"/>
  <c r="CS161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85" i="2" a="1"/>
  <c r="BC185" i="2" s="1"/>
  <c r="BC7" i="2" a="1"/>
  <c r="BC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7" i="2" a="1"/>
  <c r="DN167" i="2" s="1"/>
  <c r="DN31" i="2" a="1"/>
  <c r="DN31" i="2" s="1"/>
  <c r="DN110" i="2" a="1"/>
  <c r="DN11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132" i="2" a="1"/>
  <c r="DN132" i="2" s="1"/>
  <c r="DN45" i="2" a="1"/>
  <c r="DN45" i="2" s="1"/>
  <c r="BX107" i="2" a="1"/>
  <c r="BX107" i="2" s="1"/>
  <c r="FD82" i="2" a="1"/>
  <c r="FD82" i="2" s="1"/>
  <c r="HJ202" i="2"/>
  <c r="EY202" i="2"/>
  <c r="AX200" i="2"/>
  <c r="DN187" i="2" l="1" a="1"/>
  <c r="DN187" i="2" s="1"/>
  <c r="DN70" i="2" a="1"/>
  <c r="DN70" i="2" s="1"/>
  <c r="DN168" i="2" a="1"/>
  <c r="DN168" i="2" s="1"/>
  <c r="DN123" i="2" a="1"/>
  <c r="DN123" i="2" s="1"/>
  <c r="DN50" i="2" a="1"/>
  <c r="DN50" i="2" s="1"/>
  <c r="DN55" i="2" a="1"/>
  <c r="DN55" i="2" s="1"/>
  <c r="DN113" i="2" a="1"/>
  <c r="DN113" i="2" s="1"/>
  <c r="DN30" i="2" a="1"/>
  <c r="DN30" i="2" s="1"/>
  <c r="DN16" i="2" a="1"/>
  <c r="DN16" i="2" s="1"/>
  <c r="DN188" i="2" a="1"/>
  <c r="DN188" i="2" s="1"/>
  <c r="DN29" i="2" a="1"/>
  <c r="DN29" i="2" s="1"/>
  <c r="CS24" i="2" a="1"/>
  <c r="CS24" i="2" s="1"/>
  <c r="CS38" i="2" a="1"/>
  <c r="CS38" i="2" s="1"/>
  <c r="BC18" i="2" a="1"/>
  <c r="BC18" i="2" s="1"/>
  <c r="BC38" i="2" a="1"/>
  <c r="BC38" i="2" s="1"/>
  <c r="BC83" i="2" a="1"/>
  <c r="BC83" i="2" s="1"/>
  <c r="BC58" i="2" a="1"/>
  <c r="BC58" i="2" s="1"/>
  <c r="BC151" i="2" a="1"/>
  <c r="BC151" i="2" s="1"/>
  <c r="AH151" i="2" a="1"/>
  <c r="AH151" i="2" s="1"/>
  <c r="EI162" i="2" a="1"/>
  <c r="EI162" i="2" s="1"/>
  <c r="EI165" i="2" a="1"/>
  <c r="EI165" i="2" s="1"/>
  <c r="EI150" i="2" a="1"/>
  <c r="EI150" i="2" s="1"/>
  <c r="EI29" i="2" a="1"/>
  <c r="EI29" i="2" s="1"/>
  <c r="EI153" i="2" a="1"/>
  <c r="EI153" i="2" s="1"/>
  <c r="CS77" i="2" a="1"/>
  <c r="CS77" i="2" s="1"/>
  <c r="CS114" i="2" a="1"/>
  <c r="CS114" i="2" s="1"/>
  <c r="CS120" i="2" a="1"/>
  <c r="CS120" i="2" s="1"/>
  <c r="CS72" i="2" a="1"/>
  <c r="CS72" i="2" s="1"/>
  <c r="CS137" i="2" a="1"/>
  <c r="CS137" i="2" s="1"/>
  <c r="CS129" i="2" a="1"/>
  <c r="CS129" i="2" s="1"/>
  <c r="CS56" i="2" a="1"/>
  <c r="CS56" i="2" s="1"/>
  <c r="CS52" i="2" a="1"/>
  <c r="CS52" i="2" s="1"/>
  <c r="CS134" i="2" a="1"/>
  <c r="CS134" i="2" s="1"/>
  <c r="CS185" i="2" a="1"/>
  <c r="CS185" i="2" s="1"/>
  <c r="CS116" i="2" a="1"/>
  <c r="CS116" i="2" s="1"/>
  <c r="CS66" i="2" a="1"/>
  <c r="CS66" i="2" s="1"/>
  <c r="BC34" i="2" a="1"/>
  <c r="BC34" i="2" s="1"/>
  <c r="BC84" i="2" a="1"/>
  <c r="BC84" i="2" s="1"/>
  <c r="BC32" i="2" a="1"/>
  <c r="BC32" i="2" s="1"/>
  <c r="BC117" i="2" a="1"/>
  <c r="BC117" i="2" s="1"/>
  <c r="BC143" i="2" a="1"/>
  <c r="BC143" i="2" s="1"/>
  <c r="BC31" i="2" a="1"/>
  <c r="BC31" i="2" s="1"/>
  <c r="BC164" i="2" a="1"/>
  <c r="BC164" i="2" s="1"/>
  <c r="BC181" i="2" a="1"/>
  <c r="BC181" i="2" s="1"/>
  <c r="AH163" i="2" a="1"/>
  <c r="AH163" i="2" s="1"/>
  <c r="AH62" i="2" a="1"/>
  <c r="AH62" i="2" s="1"/>
  <c r="AH92" i="2" a="1"/>
  <c r="AH92" i="2" s="1"/>
  <c r="AH19" i="2" a="1"/>
  <c r="AH19" i="2" s="1"/>
  <c r="AH90" i="2" a="1"/>
  <c r="AH90" i="2" s="1"/>
  <c r="BP203" i="2"/>
  <c r="HH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CN203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CD135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D166" i="2" l="1"/>
  <c r="CD112" i="2"/>
  <c r="CD53" i="2"/>
  <c r="CD17" i="2"/>
  <c r="CD98" i="2"/>
  <c r="CD49" i="2"/>
  <c r="CD56" i="2"/>
  <c r="CD78" i="2"/>
  <c r="CD120" i="2"/>
  <c r="CD144" i="2"/>
  <c r="CD137" i="2"/>
  <c r="CD41" i="2"/>
  <c r="CD94" i="2"/>
  <c r="CD61" i="2"/>
  <c r="CD66" i="2"/>
  <c r="CD172" i="2"/>
  <c r="CD196" i="2"/>
  <c r="CD31" i="2"/>
  <c r="CD51" i="2"/>
  <c r="CD195" i="2"/>
  <c r="CD123" i="2"/>
  <c r="CD44" i="2"/>
  <c r="CD54" i="2"/>
  <c r="CD24" i="2"/>
  <c r="CD129" i="2"/>
  <c r="CD138" i="2"/>
  <c r="CD107" i="2"/>
  <c r="CD67" i="2"/>
  <c r="CD197" i="2"/>
  <c r="CD45" i="2"/>
  <c r="CD203" i="2"/>
  <c r="CD97" i="2"/>
  <c r="CD131" i="2"/>
  <c r="CD150" i="2"/>
  <c r="CD124" i="2"/>
  <c r="CD69" i="2"/>
  <c r="CD181" i="2"/>
  <c r="CD16" i="2"/>
  <c r="CD34" i="2"/>
  <c r="CD52" i="2"/>
  <c r="CD70" i="2"/>
  <c r="CD48" i="2"/>
  <c r="CD82" i="2"/>
  <c r="CD23" i="2"/>
  <c r="CD74" i="2"/>
  <c r="CD101" i="2"/>
  <c r="CD193" i="2"/>
  <c r="CD165" i="2"/>
  <c r="CD62" i="2"/>
  <c r="CD155" i="2"/>
  <c r="CD169" i="2"/>
  <c r="CD55" i="2"/>
  <c r="CD91" i="2"/>
  <c r="CD147" i="2"/>
  <c r="CD180" i="2"/>
  <c r="CD89" i="2"/>
  <c r="CD173" i="2"/>
  <c r="CD95" i="2"/>
  <c r="CD145" i="2"/>
  <c r="CD68" i="2"/>
  <c r="CD64" i="2"/>
  <c r="CD108" i="2"/>
  <c r="CD26" i="2"/>
  <c r="CD163" i="2"/>
  <c r="CD182" i="2"/>
  <c r="CD146" i="2"/>
  <c r="CD168" i="2"/>
  <c r="CD132" i="2"/>
  <c r="CD21" i="2"/>
  <c r="CD93" i="2"/>
  <c r="CD76" i="2"/>
  <c r="CD47" i="2"/>
  <c r="CD90" i="2"/>
  <c r="CD113" i="2"/>
  <c r="CD161" i="2"/>
  <c r="CD40" i="2"/>
  <c r="CD73" i="2"/>
  <c r="CD142" i="2"/>
  <c r="CD127" i="2"/>
  <c r="CD175" i="2"/>
  <c r="CD174" i="2"/>
  <c r="CD25" i="2"/>
  <c r="CD199" i="2"/>
  <c r="CD190" i="2"/>
  <c r="CD63" i="2"/>
  <c r="CD134" i="2"/>
  <c r="CD36" i="2"/>
  <c r="CD27" i="2"/>
  <c r="CD170" i="2"/>
  <c r="CD126" i="2"/>
  <c r="CD10" i="2"/>
  <c r="CD178" i="2"/>
  <c r="CD179" i="2"/>
  <c r="CD192" i="2"/>
  <c r="CD148" i="2"/>
  <c r="CD79" i="2"/>
  <c r="CD128" i="2"/>
  <c r="CD84" i="2"/>
  <c r="CD77" i="2"/>
  <c r="CD114" i="2"/>
  <c r="CD177" i="2"/>
  <c r="CD201" i="2"/>
  <c r="CD149" i="2"/>
  <c r="CD164" i="2"/>
  <c r="CD118" i="2"/>
  <c r="CD198" i="2"/>
  <c r="CD187" i="2"/>
  <c r="CD11" i="2"/>
  <c r="CD15" i="2"/>
  <c r="CD139" i="2"/>
  <c r="CD43" i="2"/>
  <c r="CD167" i="2"/>
  <c r="CD71" i="2"/>
  <c r="CD143" i="2"/>
  <c r="CD191" i="2"/>
  <c r="CD122" i="2"/>
  <c r="CD57" i="2"/>
  <c r="CD189" i="2"/>
  <c r="CD5" i="2"/>
  <c r="CD81" i="2"/>
  <c r="CD115" i="2"/>
  <c r="CD117" i="2"/>
  <c r="CD30" i="2"/>
  <c r="CD85" i="2"/>
  <c r="CD130" i="2"/>
  <c r="CD185" i="2"/>
  <c r="CD22" i="2"/>
  <c r="CD13" i="2"/>
  <c r="CD200" i="2"/>
  <c r="CD65" i="2"/>
  <c r="CD119" i="2"/>
  <c r="CD59" i="2"/>
  <c r="CD121" i="2"/>
  <c r="CD156" i="2"/>
  <c r="CD6" i="2"/>
  <c r="CD9" i="2"/>
  <c r="CD42" i="2"/>
  <c r="CD8" i="2"/>
  <c r="CD86" i="2"/>
  <c r="CD99" i="2"/>
  <c r="CD3" i="2"/>
  <c r="C9" i="4" s="1"/>
  <c r="E9" i="4" s="1"/>
  <c r="F9" i="4" s="1"/>
  <c r="G9" i="4" s="1"/>
  <c r="L9" i="4" s="1"/>
  <c r="CD7" i="2"/>
  <c r="CD50" i="2"/>
  <c r="CD171" i="2"/>
  <c r="CD194" i="2"/>
  <c r="CD4" i="2"/>
  <c r="CD87" i="2"/>
  <c r="CD104" i="2"/>
  <c r="CD125" i="2"/>
  <c r="CD109" i="2"/>
  <c r="CD140" i="2"/>
  <c r="CD103" i="2"/>
  <c r="CD96" i="2"/>
  <c r="CD186" i="2"/>
  <c r="CD19" i="2"/>
  <c r="CD14" i="2"/>
  <c r="CD100" i="2"/>
  <c r="CD39" i="2"/>
  <c r="CD162" i="2"/>
  <c r="CD160" i="2"/>
  <c r="CD105" i="2"/>
  <c r="CD28" i="2"/>
  <c r="CD32" i="2"/>
  <c r="CD141" i="2"/>
  <c r="CD92" i="2"/>
  <c r="CD102" i="2"/>
  <c r="CD75" i="2"/>
  <c r="CD35" i="2"/>
  <c r="CD152" i="2"/>
  <c r="CD88" i="2"/>
  <c r="CD38" i="2"/>
  <c r="CD153" i="2"/>
  <c r="CD202" i="2"/>
  <c r="CD72" i="2"/>
  <c r="CD176" i="2"/>
  <c r="CD110" i="2"/>
  <c r="CD151" i="2"/>
  <c r="CD157" i="2"/>
  <c r="CD58" i="2"/>
  <c r="CD188" i="2"/>
  <c r="CD18" i="2"/>
  <c r="CD154" i="2"/>
  <c r="CD116" i="2"/>
  <c r="CD33" i="2"/>
  <c r="CD111" i="2"/>
  <c r="CD12" i="2"/>
  <c r="CD83" i="2"/>
  <c r="CD37" i="2"/>
  <c r="CD184" i="2"/>
  <c r="CD159" i="2"/>
  <c r="CD158" i="2"/>
  <c r="CD133" i="2"/>
  <c r="CD80" i="2"/>
  <c r="CD20" i="2"/>
  <c r="CD60" i="2"/>
  <c r="CD106" i="2"/>
  <c r="CD29" i="2"/>
  <c r="CD183" i="2"/>
  <c r="CD136" i="2"/>
  <c r="CD46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EO82" i="2" l="1"/>
  <c r="EO35" i="2"/>
  <c r="EO5" i="2"/>
  <c r="EO108" i="2"/>
  <c r="EO187" i="2"/>
  <c r="EO100" i="2"/>
  <c r="EO197" i="2"/>
  <c r="EO7" i="2"/>
  <c r="EO126" i="2"/>
  <c r="EO142" i="2"/>
  <c r="EO176" i="2"/>
  <c r="EO31" i="2"/>
  <c r="EO143" i="2"/>
  <c r="EO121" i="2"/>
  <c r="EO141" i="2"/>
  <c r="EO88" i="2"/>
  <c r="EO83" i="2"/>
  <c r="EO46" i="2"/>
  <c r="EO201" i="2"/>
  <c r="EO144" i="2"/>
  <c r="EO171" i="2"/>
  <c r="EO56" i="2"/>
  <c r="EO12" i="2"/>
  <c r="EO203" i="2"/>
  <c r="EO78" i="2"/>
  <c r="EO137" i="2"/>
  <c r="EO160" i="2"/>
  <c r="EO127" i="2"/>
  <c r="EO135" i="2"/>
  <c r="EO179" i="2"/>
  <c r="EO159" i="2"/>
  <c r="EO114" i="2"/>
  <c r="EO196" i="2"/>
  <c r="EO27" i="2"/>
  <c r="EO48" i="2"/>
  <c r="EO37" i="2"/>
  <c r="EO133" i="2"/>
  <c r="EO69" i="2"/>
  <c r="EO11" i="2"/>
  <c r="EO122" i="2"/>
  <c r="EO16" i="2"/>
  <c r="EO182" i="2"/>
  <c r="EO115" i="2"/>
  <c r="EO84" i="2"/>
  <c r="EO153" i="2"/>
  <c r="EO120" i="2"/>
  <c r="EO131" i="2"/>
  <c r="EO28" i="2"/>
  <c r="EO118" i="2"/>
  <c r="EO49" i="2"/>
  <c r="EO42" i="2"/>
  <c r="EO161" i="2"/>
  <c r="EO87" i="2"/>
  <c r="EO199" i="2"/>
  <c r="EO181" i="2"/>
  <c r="EO59" i="2"/>
  <c r="EO75" i="2"/>
  <c r="EO21" i="2"/>
  <c r="EO10" i="2"/>
  <c r="EO168" i="2"/>
  <c r="EO67" i="2"/>
  <c r="EO195" i="2"/>
  <c r="EO53" i="2"/>
  <c r="EO110" i="2"/>
  <c r="EO103" i="2"/>
  <c r="EO172" i="2"/>
  <c r="EO62" i="2"/>
  <c r="EO76" i="2"/>
  <c r="EO19" i="2"/>
  <c r="EO45" i="2"/>
  <c r="EO99" i="2"/>
  <c r="EO80" i="2"/>
  <c r="EO22" i="2"/>
  <c r="EO24" i="2"/>
  <c r="EO36" i="2"/>
  <c r="EO147" i="2"/>
  <c r="EO152" i="2"/>
  <c r="EO146" i="2"/>
  <c r="EO191" i="2"/>
  <c r="EO117" i="2"/>
  <c r="EO101" i="2"/>
  <c r="EO85" i="2"/>
  <c r="EO106" i="2"/>
  <c r="EO74" i="2"/>
  <c r="EO130" i="2"/>
  <c r="EO156" i="2"/>
  <c r="EO198" i="2"/>
  <c r="EO81" i="2"/>
  <c r="EO157" i="2"/>
  <c r="EO112" i="2"/>
  <c r="EO150" i="2"/>
  <c r="EO57" i="2"/>
  <c r="EO164" i="2"/>
  <c r="EO94" i="2"/>
  <c r="EO123" i="2"/>
  <c r="EO52" i="2"/>
  <c r="EO72" i="2"/>
  <c r="EO104" i="2"/>
  <c r="EO17" i="2"/>
  <c r="EO60" i="2"/>
  <c r="EO34" i="2"/>
  <c r="EO64" i="2"/>
  <c r="EO63" i="2"/>
  <c r="EO134" i="2"/>
  <c r="EO71" i="2"/>
  <c r="EO111" i="2"/>
  <c r="EO92" i="2"/>
  <c r="EO44" i="2"/>
  <c r="EO124" i="2"/>
  <c r="EO200" i="2"/>
  <c r="EO29" i="2"/>
  <c r="EO148" i="2"/>
  <c r="EO202" i="2"/>
  <c r="EO163" i="2"/>
  <c r="EO125" i="2"/>
  <c r="EO154" i="2"/>
  <c r="EO166" i="2"/>
  <c r="EO47" i="2"/>
  <c r="EO170" i="2"/>
  <c r="EO97" i="2"/>
  <c r="EO91" i="2"/>
  <c r="EO105" i="2"/>
  <c r="EO39" i="2"/>
  <c r="EO185" i="2"/>
  <c r="EO14" i="2"/>
  <c r="EO73" i="2"/>
  <c r="EO66" i="2"/>
  <c r="EO158" i="2"/>
  <c r="EO51" i="2"/>
  <c r="EO18" i="2"/>
  <c r="EO178" i="2"/>
  <c r="EO8" i="2"/>
  <c r="EO177" i="2"/>
  <c r="EO95" i="2"/>
  <c r="EO180" i="2"/>
  <c r="EO15" i="2"/>
  <c r="EO184" i="2"/>
  <c r="EO6" i="2"/>
  <c r="EO189" i="2"/>
  <c r="EO186" i="2"/>
  <c r="EO128" i="2"/>
  <c r="EO113" i="2"/>
  <c r="EO116" i="2"/>
  <c r="EO90" i="2"/>
  <c r="EO30" i="2"/>
  <c r="EO162" i="2"/>
  <c r="EO70" i="2"/>
  <c r="EO50" i="2"/>
  <c r="EO23" i="2"/>
  <c r="EO102" i="2"/>
  <c r="EO140" i="2"/>
  <c r="EO167" i="2"/>
  <c r="EO174" i="2"/>
  <c r="EO107" i="2"/>
  <c r="EO25" i="2"/>
  <c r="EO190" i="2"/>
  <c r="EO155" i="2"/>
  <c r="EO38" i="2"/>
  <c r="EO79" i="2"/>
  <c r="EO109" i="2"/>
  <c r="EO26" i="2"/>
  <c r="EO41" i="2"/>
  <c r="EO43" i="2"/>
  <c r="EO173" i="2"/>
  <c r="EO55" i="2"/>
  <c r="EO93" i="2"/>
  <c r="EO139" i="2"/>
  <c r="EO58" i="2"/>
  <c r="EO96" i="2"/>
  <c r="EO3" i="2"/>
  <c r="C12" i="4" s="1"/>
  <c r="E12" i="4" s="1"/>
  <c r="F12" i="4" s="1"/>
  <c r="G12" i="4" s="1"/>
  <c r="L12" i="4" s="1"/>
  <c r="EO175" i="2"/>
  <c r="EO54" i="2"/>
  <c r="EO32" i="2"/>
  <c r="EO89" i="2"/>
  <c r="EO20" i="2"/>
  <c r="EO183" i="2"/>
  <c r="EO169" i="2"/>
  <c r="EO151" i="2"/>
  <c r="EO9" i="2"/>
  <c r="EO193" i="2"/>
  <c r="EO65" i="2"/>
  <c r="EO13" i="2"/>
  <c r="EO194" i="2"/>
  <c r="EO165" i="2"/>
  <c r="EO33" i="2"/>
  <c r="EO149" i="2"/>
  <c r="EO129" i="2"/>
  <c r="EO132" i="2"/>
  <c r="EO192" i="2"/>
  <c r="EO98" i="2"/>
  <c r="EO136" i="2"/>
  <c r="EO68" i="2"/>
  <c r="EO145" i="2"/>
  <c r="EO40" i="2"/>
  <c r="EO4" i="2"/>
  <c r="EO77" i="2"/>
  <c r="EO188" i="2"/>
  <c r="EO61" i="2"/>
  <c r="EO86" i="2"/>
  <c r="EO138" i="2"/>
  <c r="EO119" i="2"/>
  <c r="DT159" i="2"/>
  <c r="DT118" i="2"/>
  <c r="DT186" i="2"/>
  <c r="DT101" i="2"/>
  <c r="DT89" i="2"/>
  <c r="DT184" i="2"/>
  <c r="DT154" i="2"/>
  <c r="DT99" i="2"/>
  <c r="DT197" i="2"/>
  <c r="DT190" i="2"/>
  <c r="DT66" i="2"/>
  <c r="DT127" i="2"/>
  <c r="DT102" i="2"/>
  <c r="DT165" i="2"/>
  <c r="DT40" i="2"/>
  <c r="DT94" i="2"/>
  <c r="DT103" i="2"/>
  <c r="DT172" i="2"/>
  <c r="DT52" i="2"/>
  <c r="DT108" i="2"/>
  <c r="DT110" i="2"/>
  <c r="DT53" i="2"/>
  <c r="DT112" i="2"/>
  <c r="DT123" i="2"/>
  <c r="DT20" i="2"/>
  <c r="DT162" i="2"/>
  <c r="DT151" i="2"/>
  <c r="DT13" i="2"/>
  <c r="DT21" i="2"/>
  <c r="DT28" i="2"/>
  <c r="DT48" i="2"/>
  <c r="DT41" i="2"/>
  <c r="DT12" i="2"/>
  <c r="DT142" i="2"/>
  <c r="DT16" i="2"/>
  <c r="DT117" i="2"/>
  <c r="DT133" i="2"/>
  <c r="DT188" i="2"/>
  <c r="DT19" i="2"/>
  <c r="DT5" i="2"/>
  <c r="DT105" i="2"/>
  <c r="DT100" i="2"/>
  <c r="DT43" i="2"/>
  <c r="DT84" i="2"/>
  <c r="DT120" i="2"/>
  <c r="DT122" i="2"/>
  <c r="DT107" i="2"/>
  <c r="DT4" i="2"/>
  <c r="DT111" i="2"/>
  <c r="DT49" i="2"/>
  <c r="DT9" i="2"/>
  <c r="DT158" i="2"/>
  <c r="DT140" i="2"/>
  <c r="DT11" i="2"/>
  <c r="DT91" i="2"/>
  <c r="DT55" i="2"/>
  <c r="DT148" i="2"/>
  <c r="DT198" i="2"/>
  <c r="DT76" i="2"/>
  <c r="DT98" i="2"/>
  <c r="DT80" i="2"/>
  <c r="DT30" i="2"/>
  <c r="DT10" i="2"/>
  <c r="DT85" i="2"/>
  <c r="DT60" i="2"/>
  <c r="DT81" i="2"/>
  <c r="DT134" i="2"/>
  <c r="DT125" i="2"/>
  <c r="DT56" i="2"/>
  <c r="DT155" i="2"/>
  <c r="DT97" i="2"/>
  <c r="DT106" i="2"/>
  <c r="DT180" i="2"/>
  <c r="DT23" i="2"/>
  <c r="DT82" i="2"/>
  <c r="DT181" i="2"/>
  <c r="DT132" i="2"/>
  <c r="DT187" i="2"/>
  <c r="DT65" i="2"/>
  <c r="DT64" i="2"/>
  <c r="DT171" i="2"/>
  <c r="DT72" i="2"/>
  <c r="DT167" i="2"/>
  <c r="DT131" i="2"/>
  <c r="DT138" i="2"/>
  <c r="DT166" i="2"/>
  <c r="DT178" i="2"/>
  <c r="DT124" i="2"/>
  <c r="DT50" i="2"/>
  <c r="DT45" i="2"/>
  <c r="DT176" i="2"/>
  <c r="DT24" i="2"/>
  <c r="DT169" i="2"/>
  <c r="DT135" i="2"/>
  <c r="DT57" i="2"/>
  <c r="DT152" i="2"/>
  <c r="DT104" i="2"/>
  <c r="DT129" i="2"/>
  <c r="DT39" i="2"/>
  <c r="DT88" i="2"/>
  <c r="DT196" i="2"/>
  <c r="DT62" i="2"/>
  <c r="DT15" i="2"/>
  <c r="DT54" i="2"/>
  <c r="DT191" i="2"/>
  <c r="DT36" i="2"/>
  <c r="DT87" i="2"/>
  <c r="DT141" i="2"/>
  <c r="DT25" i="2"/>
  <c r="DT68" i="2"/>
  <c r="DT34" i="2"/>
  <c r="DT168" i="2"/>
  <c r="DT115" i="2"/>
  <c r="DT67" i="2"/>
  <c r="DT22" i="2"/>
  <c r="DT144" i="2"/>
  <c r="DT179" i="2"/>
  <c r="DT92" i="2"/>
  <c r="DT119" i="2"/>
  <c r="DT175" i="2"/>
  <c r="DT194" i="2"/>
  <c r="DT182" i="2"/>
  <c r="DT18" i="2"/>
  <c r="DT3" i="2"/>
  <c r="C11" i="4" s="1"/>
  <c r="E11" i="4" s="1"/>
  <c r="F11" i="4" s="1"/>
  <c r="G11" i="4" s="1"/>
  <c r="L11" i="4" s="1"/>
  <c r="DT164" i="2"/>
  <c r="DT161" i="2"/>
  <c r="DT7" i="2"/>
  <c r="DT69" i="2"/>
  <c r="DT32" i="2"/>
  <c r="DT139" i="2"/>
  <c r="DT27" i="2"/>
  <c r="DT90" i="2"/>
  <c r="DT156" i="2"/>
  <c r="DT177" i="2"/>
  <c r="DT200" i="2"/>
  <c r="DT42" i="2"/>
  <c r="DT44" i="2"/>
  <c r="DT183" i="2"/>
  <c r="DT33" i="2"/>
  <c r="DT128" i="2"/>
  <c r="DT93" i="2"/>
  <c r="DT157" i="2"/>
  <c r="DT199" i="2"/>
  <c r="DT189" i="2"/>
  <c r="DT109" i="2"/>
  <c r="DT202" i="2"/>
  <c r="DT59" i="2"/>
  <c r="DT26" i="2"/>
  <c r="DT195" i="2"/>
  <c r="DT185" i="2"/>
  <c r="DT114" i="2"/>
  <c r="DT61" i="2"/>
  <c r="DT6" i="2"/>
  <c r="DT46" i="2"/>
  <c r="DT47" i="2"/>
  <c r="DT17" i="2"/>
  <c r="DT136" i="2"/>
  <c r="DT192" i="2"/>
  <c r="DT31" i="2"/>
  <c r="DT51" i="2"/>
  <c r="DT121" i="2"/>
  <c r="DT137" i="2"/>
  <c r="DT149" i="2"/>
  <c r="DT77" i="2"/>
  <c r="DT78" i="2"/>
  <c r="DT174" i="2"/>
  <c r="DT83" i="2"/>
  <c r="DT126" i="2"/>
  <c r="DT145" i="2"/>
  <c r="DT147" i="2"/>
  <c r="DT96" i="2"/>
  <c r="DT71" i="2"/>
  <c r="DT14" i="2"/>
  <c r="DT193" i="2"/>
  <c r="DT79" i="2"/>
  <c r="DT63" i="2"/>
  <c r="DT113" i="2"/>
  <c r="DT160" i="2"/>
  <c r="DT86" i="2"/>
  <c r="DT37" i="2"/>
  <c r="DT130" i="2"/>
  <c r="DT70" i="2"/>
  <c r="DT38" i="2"/>
  <c r="DT150" i="2"/>
  <c r="DT163" i="2"/>
  <c r="DT75" i="2"/>
  <c r="DT8" i="2"/>
  <c r="DT201" i="2"/>
  <c r="DT35" i="2"/>
  <c r="DT29" i="2"/>
  <c r="DT170" i="2"/>
  <c r="DT143" i="2"/>
  <c r="DT173" i="2"/>
  <c r="DT58" i="2"/>
  <c r="DT116" i="2"/>
  <c r="DT95" i="2"/>
  <c r="DT74" i="2"/>
  <c r="DT73" i="2"/>
  <c r="DT203" i="2"/>
  <c r="DT146" i="2"/>
  <c r="DT153" i="2"/>
  <c r="CY24" i="2"/>
  <c r="CY183" i="2"/>
  <c r="CY83" i="2"/>
  <c r="CY162" i="2"/>
  <c r="CY33" i="2"/>
  <c r="CY55" i="2"/>
  <c r="CY90" i="2"/>
  <c r="CY59" i="2"/>
  <c r="CY94" i="2"/>
  <c r="CY13" i="2"/>
  <c r="CY47" i="2"/>
  <c r="CY71" i="2"/>
  <c r="CY23" i="2"/>
  <c r="CY186" i="2"/>
  <c r="CY134" i="2"/>
  <c r="CY48" i="2"/>
  <c r="CY51" i="2"/>
  <c r="CY146" i="2"/>
  <c r="CY92" i="2"/>
  <c r="CY45" i="2"/>
  <c r="CY42" i="2"/>
  <c r="CY151" i="2"/>
  <c r="CY80" i="2"/>
  <c r="CY107" i="2"/>
  <c r="CY4" i="2"/>
  <c r="CY52" i="2"/>
  <c r="CY58" i="2"/>
  <c r="CY6" i="2"/>
  <c r="CY91" i="2"/>
  <c r="CY84" i="2"/>
  <c r="CY188" i="2"/>
  <c r="CY89" i="2"/>
  <c r="CY67" i="2"/>
  <c r="CY153" i="2"/>
  <c r="CY54" i="2"/>
  <c r="CY78" i="2"/>
  <c r="CY50" i="2"/>
  <c r="CY185" i="2"/>
  <c r="CY68" i="2"/>
  <c r="CY37" i="2"/>
  <c r="CY121" i="2"/>
  <c r="CY143" i="2"/>
  <c r="CY194" i="2"/>
  <c r="CY57" i="2"/>
  <c r="CY46" i="2"/>
  <c r="CY53" i="2"/>
  <c r="CY27" i="2"/>
  <c r="CY115" i="2"/>
  <c r="CY168" i="2"/>
  <c r="CY176" i="2"/>
  <c r="CY200" i="2"/>
  <c r="CY62" i="2"/>
  <c r="CY75" i="2"/>
  <c r="CY132" i="2"/>
  <c r="CY99" i="2"/>
  <c r="CY22" i="2"/>
  <c r="CY127" i="2"/>
  <c r="CY49" i="2"/>
  <c r="CY11" i="2"/>
  <c r="CY167" i="2"/>
  <c r="CY174" i="2"/>
  <c r="CY60" i="2"/>
  <c r="CY88" i="2"/>
  <c r="CY175" i="2"/>
  <c r="CY102" i="2"/>
  <c r="CY117" i="2"/>
  <c r="CY192" i="2"/>
  <c r="CY197" i="2"/>
  <c r="CY198" i="2"/>
  <c r="CY26" i="2"/>
  <c r="CY73" i="2"/>
  <c r="CY19" i="2"/>
  <c r="CY104" i="2"/>
  <c r="CY165" i="2"/>
  <c r="CY172" i="2"/>
  <c r="CY111" i="2"/>
  <c r="CY154" i="2"/>
  <c r="CY124" i="2"/>
  <c r="CY157" i="2"/>
  <c r="CY178" i="2"/>
  <c r="CY137" i="2"/>
  <c r="CY193" i="2"/>
  <c r="CY131" i="2"/>
  <c r="CY130" i="2"/>
  <c r="CY20" i="2"/>
  <c r="CY15" i="2"/>
  <c r="CY113" i="2"/>
  <c r="CY145" i="2"/>
  <c r="CY63" i="2"/>
  <c r="CY12" i="2"/>
  <c r="CY129" i="2"/>
  <c r="CY138" i="2"/>
  <c r="CY38" i="2"/>
  <c r="CY10" i="2"/>
  <c r="CY156" i="2"/>
  <c r="CY108" i="2"/>
  <c r="CY182" i="2"/>
  <c r="CY147" i="2"/>
  <c r="CY85" i="2"/>
  <c r="CY56" i="2"/>
  <c r="CY179" i="2"/>
  <c r="CY64" i="2"/>
  <c r="CY98" i="2"/>
  <c r="CY70" i="2"/>
  <c r="CY135" i="2"/>
  <c r="CY77" i="2"/>
  <c r="CY139" i="2"/>
  <c r="CY41" i="2"/>
  <c r="CY35" i="2"/>
  <c r="CY9" i="2"/>
  <c r="CY160" i="2"/>
  <c r="CY14" i="2"/>
  <c r="CY32" i="2"/>
  <c r="CY66" i="2"/>
  <c r="CY140" i="2"/>
  <c r="CY74" i="2"/>
  <c r="CY34" i="2"/>
  <c r="CY202" i="2"/>
  <c r="CY190" i="2"/>
  <c r="CY136" i="2"/>
  <c r="CY171" i="2"/>
  <c r="CY106" i="2"/>
  <c r="CY203" i="2"/>
  <c r="CY93" i="2"/>
  <c r="CY82" i="2"/>
  <c r="CY149" i="2"/>
  <c r="CY43" i="2"/>
  <c r="CY201" i="2"/>
  <c r="CY122" i="2"/>
  <c r="CY86" i="2"/>
  <c r="CY133" i="2"/>
  <c r="CY169" i="2"/>
  <c r="CY7" i="2"/>
  <c r="CY199" i="2"/>
  <c r="CY177" i="2"/>
  <c r="CY25" i="2"/>
  <c r="CY36" i="2"/>
  <c r="CY150" i="2"/>
  <c r="CY30" i="2"/>
  <c r="CY155" i="2"/>
  <c r="CY97" i="2"/>
  <c r="CY69" i="2"/>
  <c r="CY29" i="2"/>
  <c r="CY128" i="2"/>
  <c r="CY126" i="2"/>
  <c r="CY95" i="2"/>
  <c r="CY125" i="2"/>
  <c r="CY123" i="2"/>
  <c r="CY163" i="2"/>
  <c r="CY158" i="2"/>
  <c r="CY191" i="2"/>
  <c r="CY114" i="2"/>
  <c r="CY141" i="2"/>
  <c r="CY96" i="2"/>
  <c r="CY159" i="2"/>
  <c r="CY5" i="2"/>
  <c r="CY18" i="2"/>
  <c r="CY76" i="2"/>
  <c r="CY28" i="2"/>
  <c r="CY196" i="2"/>
  <c r="CY164" i="2"/>
  <c r="CY40" i="2"/>
  <c r="CY144" i="2"/>
  <c r="CY184" i="2"/>
  <c r="CY100" i="2"/>
  <c r="CY31" i="2"/>
  <c r="CY161" i="2"/>
  <c r="CY120" i="2"/>
  <c r="CY87" i="2"/>
  <c r="CY105" i="2"/>
  <c r="CY17" i="2"/>
  <c r="CY39" i="2"/>
  <c r="CY116" i="2"/>
  <c r="CY61" i="2"/>
  <c r="CY118" i="2"/>
  <c r="CY109" i="2"/>
  <c r="CY81" i="2"/>
  <c r="CY148" i="2"/>
  <c r="CY187" i="2"/>
  <c r="CY166" i="2"/>
  <c r="CY119" i="2"/>
  <c r="CY103" i="2"/>
  <c r="CY189" i="2"/>
  <c r="CY112" i="2"/>
  <c r="CY101" i="2"/>
  <c r="CY180" i="2"/>
  <c r="CY21" i="2"/>
  <c r="CY170" i="2"/>
  <c r="CY152" i="2"/>
  <c r="CY44" i="2"/>
  <c r="CY79" i="2"/>
  <c r="CY72" i="2"/>
  <c r="CY195" i="2"/>
  <c r="CY3" i="2"/>
  <c r="C10" i="4" s="1"/>
  <c r="E10" i="4" s="1"/>
  <c r="F10" i="4" s="1"/>
  <c r="G10" i="4" s="1"/>
  <c r="L10" i="4" s="1"/>
  <c r="CY16" i="2"/>
  <c r="CY8" i="2"/>
  <c r="CY142" i="2"/>
  <c r="CY181" i="2"/>
  <c r="CY65" i="2"/>
  <c r="CY110" i="2"/>
  <c r="CY173" i="2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53" i="2" l="1"/>
  <c r="BI60" i="2"/>
  <c r="BI133" i="2"/>
  <c r="BI104" i="2"/>
  <c r="BI10" i="2"/>
  <c r="BI192" i="2"/>
  <c r="BI9" i="2"/>
  <c r="BI196" i="2"/>
  <c r="BI32" i="2"/>
  <c r="BI131" i="2"/>
  <c r="BI149" i="2"/>
  <c r="BI162" i="2"/>
  <c r="BI96" i="2"/>
  <c r="BI73" i="2"/>
  <c r="BI173" i="2"/>
  <c r="BI191" i="2"/>
  <c r="BI99" i="2"/>
  <c r="BI169" i="2"/>
  <c r="BI14" i="2"/>
  <c r="BI141" i="2"/>
  <c r="BI202" i="2"/>
  <c r="BI135" i="2"/>
  <c r="BI4" i="2"/>
  <c r="BI90" i="2"/>
  <c r="BI122" i="2"/>
  <c r="BI16" i="2"/>
  <c r="BI27" i="2"/>
  <c r="BI71" i="2"/>
  <c r="BI114" i="2"/>
  <c r="BI140" i="2"/>
  <c r="BI66" i="2"/>
  <c r="BI134" i="2"/>
  <c r="BI45" i="2"/>
  <c r="BI136" i="2"/>
  <c r="BI138" i="2"/>
  <c r="BI62" i="2"/>
  <c r="BI143" i="2"/>
  <c r="BI183" i="2"/>
  <c r="BI181" i="2"/>
  <c r="BI165" i="2"/>
  <c r="BI125" i="2"/>
  <c r="BI7" i="2"/>
  <c r="BI185" i="2"/>
  <c r="BI77" i="2"/>
  <c r="BI184" i="2"/>
  <c r="BI100" i="2"/>
  <c r="BI108" i="2"/>
  <c r="BI148" i="2"/>
  <c r="BI170" i="2"/>
  <c r="BI94" i="2"/>
  <c r="BI67" i="2"/>
  <c r="BI47" i="2"/>
  <c r="BI37" i="2"/>
  <c r="BI18" i="2"/>
  <c r="BI21" i="2"/>
  <c r="BI88" i="2"/>
  <c r="BI119" i="2"/>
  <c r="BI86" i="2"/>
  <c r="BI43" i="2"/>
  <c r="BI68" i="2"/>
  <c r="BI186" i="2"/>
  <c r="BI28" i="2"/>
  <c r="BI72" i="2"/>
  <c r="BI188" i="2"/>
  <c r="BI127" i="2"/>
  <c r="BI91" i="2"/>
  <c r="BI193" i="2"/>
  <c r="BI64" i="2"/>
  <c r="BI83" i="2"/>
  <c r="BI124" i="2"/>
  <c r="BI48" i="2"/>
  <c r="BI190" i="2"/>
  <c r="BI160" i="2"/>
  <c r="BI198" i="2"/>
  <c r="BI19" i="2"/>
  <c r="BI35" i="2"/>
  <c r="BI24" i="2"/>
  <c r="BI176" i="2"/>
  <c r="BI139" i="2"/>
  <c r="BI44" i="2"/>
  <c r="BI76" i="2"/>
  <c r="BI95" i="2"/>
  <c r="BI129" i="2"/>
  <c r="BI93" i="2"/>
  <c r="BI112" i="2"/>
  <c r="BI103" i="2"/>
  <c r="BI145" i="2"/>
  <c r="BI150" i="2"/>
  <c r="BI65" i="2"/>
  <c r="BI36" i="2"/>
  <c r="BI132" i="2"/>
  <c r="BI174" i="2"/>
  <c r="BI152" i="2"/>
  <c r="BI118" i="2"/>
  <c r="BI151" i="2"/>
  <c r="BI61" i="2"/>
  <c r="BI167" i="2"/>
  <c r="BI63" i="2"/>
  <c r="BI142" i="2"/>
  <c r="BI25" i="2"/>
  <c r="BI130" i="2"/>
  <c r="BI31" i="2"/>
  <c r="BI82" i="2"/>
  <c r="BI180" i="2"/>
  <c r="BI12" i="2"/>
  <c r="BI85" i="2"/>
  <c r="BI179" i="2"/>
  <c r="BI146" i="2"/>
  <c r="BI157" i="2"/>
  <c r="BI49" i="2"/>
  <c r="BI20" i="2"/>
  <c r="BI200" i="2"/>
  <c r="BI74" i="2"/>
  <c r="BI55" i="2"/>
  <c r="BI29" i="2"/>
  <c r="BI57" i="2"/>
  <c r="BI168" i="2"/>
  <c r="BF134" i="2"/>
  <c r="BG134" i="2" s="1"/>
  <c r="BH134" i="2" s="1"/>
  <c r="BI75" i="2" s="1"/>
  <c r="BE135" i="2"/>
  <c r="BS133" i="2"/>
  <c r="BI5" i="2" l="1"/>
  <c r="BI111" i="2"/>
  <c r="BI58" i="2"/>
  <c r="BI115" i="2"/>
  <c r="BI51" i="2"/>
  <c r="BI153" i="2"/>
  <c r="BI38" i="2"/>
  <c r="BI79" i="2"/>
  <c r="BI137" i="2"/>
  <c r="BI120" i="2"/>
  <c r="BI116" i="2"/>
  <c r="BI80" i="2"/>
  <c r="BI98" i="2"/>
  <c r="BI164" i="2"/>
  <c r="BI46" i="2"/>
  <c r="BI147" i="2"/>
  <c r="BI42" i="2"/>
  <c r="BI39" i="2"/>
  <c r="BI110" i="2"/>
  <c r="BI13" i="2"/>
  <c r="BI113" i="2"/>
  <c r="BI109" i="2"/>
  <c r="BI81" i="2"/>
  <c r="BI17" i="2"/>
  <c r="BI84" i="2"/>
  <c r="BI41" i="2"/>
  <c r="BI187" i="2"/>
  <c r="BI171" i="2"/>
  <c r="BI97" i="2"/>
  <c r="BI172" i="2"/>
  <c r="BI117" i="2"/>
  <c r="BI158" i="2"/>
  <c r="BI87" i="2"/>
  <c r="BI101" i="2"/>
  <c r="BI69" i="2"/>
  <c r="BI92" i="2"/>
  <c r="BI11" i="2"/>
  <c r="BI40" i="2"/>
  <c r="BI201" i="2"/>
  <c r="BI166" i="2"/>
  <c r="BI78" i="2"/>
  <c r="BI199" i="2"/>
  <c r="BI59" i="2"/>
  <c r="BI102" i="2"/>
  <c r="BI156" i="2"/>
  <c r="BI107" i="2"/>
  <c r="BI194" i="2"/>
  <c r="BI121" i="2"/>
  <c r="BI33" i="2"/>
  <c r="BI89" i="2"/>
  <c r="BI126" i="2"/>
  <c r="BI15" i="2"/>
  <c r="BI52" i="2"/>
  <c r="BI154" i="2"/>
  <c r="BI23" i="2"/>
  <c r="BI50" i="2"/>
  <c r="BI106" i="2"/>
  <c r="BI3" i="2"/>
  <c r="C8" i="4" s="1"/>
  <c r="E8" i="4" s="1"/>
  <c r="F8" i="4" s="1"/>
  <c r="G8" i="4" s="1"/>
  <c r="L8" i="4" s="1"/>
  <c r="BI159" i="2"/>
  <c r="BI203" i="2"/>
  <c r="BI178" i="2"/>
  <c r="BI105" i="2"/>
  <c r="BI56" i="2"/>
  <c r="BI26" i="2"/>
  <c r="BI6" i="2"/>
  <c r="BI182" i="2"/>
  <c r="BI161" i="2"/>
  <c r="BI189" i="2"/>
  <c r="BI128" i="2"/>
  <c r="BI155" i="2"/>
  <c r="BI8" i="2"/>
  <c r="BI70" i="2"/>
  <c r="BI163" i="2"/>
  <c r="BI54" i="2"/>
  <c r="BI34" i="2"/>
  <c r="BI30" i="2"/>
  <c r="BI123" i="2"/>
  <c r="BI195" i="2"/>
  <c r="BI22" i="2"/>
  <c r="BI177" i="2"/>
  <c r="BI175" i="2"/>
  <c r="BI197" i="2"/>
  <c r="BI144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<sst xmlns="http://schemas.openxmlformats.org/spreadsheetml/2006/main" count="1182" uniqueCount="325">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</sst>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mbria"/>
      <family val="1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21" borderId="54" xfId="0" applyFont="1" applyFill="1" applyBorder="1" applyAlignment="1" applyProtection="1">
      <alignment horizontal="center" vertical="center"/>
      <protection locked="0"/>
    </xf>
    <xf numFmtId="9" fontId="32" fillId="21" borderId="54" xfId="0" applyNumberFormat="1" applyFont="1" applyFill="1" applyBorder="1" applyAlignment="1" applyProtection="1">
      <alignment horizontal="center" vertical="center"/>
      <protection locked="0"/>
    </xf>
    <xf numFmtId="10" fontId="32" fillId="21" borderId="54" xfId="0" applyNumberFormat="1" applyFont="1" applyFill="1" applyBorder="1" applyAlignment="1" applyProtection="1">
      <alignment horizontal="center" vertic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0" fontId="32" fillId="21" borderId="54" xfId="0" applyFont="1" applyFill="1" applyBorder="1" applyAlignment="1" applyProtection="1">
      <alignment horizontal="right"/>
      <protection locked="0"/>
    </xf>
    <xf numFmtId="1" fontId="32" fillId="21" borderId="55" xfId="0" applyNumberFormat="1" applyFont="1" applyFill="1" applyBorder="1" applyAlignment="1" applyProtection="1">
      <alignment horizontal="right"/>
      <protection locked="0"/>
    </xf>
    <xf numFmtId="0" fontId="3" fillId="21" borderId="55" xfId="0" applyFont="1" applyFill="1" applyBorder="1" applyAlignment="1" applyProtection="1">
      <alignment horizontal="center"/>
      <protection locked="0"/>
    </xf>
    <xf numFmtId="9" fontId="3" fillId="21" borderId="55" xfId="0" applyNumberFormat="1" applyFont="1" applyFill="1" applyBorder="1" applyAlignment="1" applyProtection="1">
      <alignment horizontal="center"/>
      <protection locked="0"/>
    </xf>
    <xf numFmtId="0" fontId="32" fillId="21" borderId="56" xfId="0" applyFont="1" applyFill="1" applyBorder="1" applyAlignment="1" applyProtection="1">
      <alignment horizontal="right"/>
      <protection locked="0"/>
    </xf>
    <xf numFmtId="1" fontId="32" fillId="21" borderId="57" xfId="0" applyNumberFormat="1" applyFont="1" applyFill="1" applyBorder="1" applyAlignment="1" applyProtection="1">
      <alignment horizontal="right"/>
      <protection locked="0"/>
    </xf>
    <xf numFmtId="0" fontId="3" fillId="21" borderId="57" xfId="0" applyFont="1" applyFill="1" applyBorder="1" applyAlignment="1" applyProtection="1">
      <alignment horizontal="center"/>
      <protection locked="0"/>
    </xf>
    <xf numFmtId="9" fontId="3" fillId="21" borderId="57" xfId="0" applyNumberFormat="1" applyFont="1" applyFill="1" applyBorder="1" applyAlignment="1" applyProtection="1">
      <alignment horizontal="center"/>
      <protection locked="0"/>
    </xf>
    <xf numFmtId="0" fontId="3" fillId="21" borderId="54" xfId="0" applyFont="1" applyFill="1" applyBorder="1" applyAlignment="1" applyProtection="1">
      <alignment horizontal="center"/>
      <protection locked="0"/>
    </xf>
    <xf numFmtId="1" fontId="3" fillId="21" borderId="55" xfId="0" applyNumberFormat="1" applyFont="1" applyFill="1" applyBorder="1" applyAlignment="1" applyProtection="1">
      <alignment horizontal="center"/>
      <protection locked="0"/>
    </xf>
    <xf numFmtId="0" fontId="3" fillId="21" borderId="56" xfId="0" applyFont="1" applyFill="1" applyBorder="1" applyAlignment="1" applyProtection="1">
      <alignment horizontal="center"/>
      <protection locked="0"/>
    </xf>
    <xf numFmtId="1" fontId="3" fillId="21" borderId="57" xfId="0" applyNumberFormat="1" applyFont="1" applyFill="1" applyBorder="1" applyAlignment="1" applyProtection="1">
      <alignment horizontal="center"/>
      <protection locked="0"/>
    </xf>
    <xf numFmtId="168" fontId="33" fillId="21" borderId="54" xfId="0" applyNumberFormat="1" applyFont="1" applyFill="1" applyBorder="1" applyAlignment="1" applyProtection="1">
      <alignment horizontal="right"/>
      <protection locked="0"/>
    </xf>
    <xf numFmtId="168" fontId="33" fillId="21" borderId="56" xfId="0" applyNumberFormat="1" applyFont="1" applyFill="1" applyBorder="1" applyAlignment="1" applyProtection="1">
      <alignment horizontal="right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289.40050775542744</c:v>
                </c:pt>
                <c:pt idx="32">
                  <c:v>306.89948661909699</c:v>
                </c:pt>
                <c:pt idx="33">
                  <c:v>324.37629966034979</c:v>
                </c:pt>
                <c:pt idx="34">
                  <c:v>341.83230892368027</c:v>
                </c:pt>
                <c:pt idx="35">
                  <c:v>359.26872600336202</c:v>
                </c:pt>
                <c:pt idx="36">
                  <c:v>247.89733645105048</c:v>
                </c:pt>
                <c:pt idx="37">
                  <c:v>268.19388020667242</c:v>
                </c:pt>
                <c:pt idx="38">
                  <c:v>288.45583932928992</c:v>
                </c:pt>
                <c:pt idx="39">
                  <c:v>308.68598402892115</c:v>
                </c:pt>
                <c:pt idx="40">
                  <c:v>328.88669175033129</c:v>
                </c:pt>
                <c:pt idx="41">
                  <c:v>349.06002407123123</c:v>
                </c:pt>
                <c:pt idx="42">
                  <c:v>285.79224141654964</c:v>
                </c:pt>
                <c:pt idx="43">
                  <c:v>306.09401640717584</c:v>
                </c:pt>
                <c:pt idx="44">
                  <c:v>326.36586944014988</c:v>
                </c:pt>
                <c:pt idx="45">
                  <c:v>346.60991967996728</c:v>
                </c:pt>
                <c:pt idx="46">
                  <c:v>366.82801859171582</c:v>
                </c:pt>
                <c:pt idx="47">
                  <c:v>387.02179695470659</c:v>
                </c:pt>
                <c:pt idx="48">
                  <c:v>407.19270154733073</c:v>
                </c:pt>
                <c:pt idx="49">
                  <c:v>322.52624611434112</c:v>
                </c:pt>
                <c:pt idx="50">
                  <c:v>341.75417681771779</c:v>
                </c:pt>
                <c:pt idx="51">
                  <c:v>360.95833005636814</c:v>
                </c:pt>
                <c:pt idx="52">
                  <c:v>380.1401482882859</c:v>
                </c:pt>
                <c:pt idx="53">
                  <c:v>399.30091656620215</c:v>
                </c:pt>
                <c:pt idx="54">
                  <c:v>418.44178659894874</c:v>
                </c:pt>
                <c:pt idx="55">
                  <c:v>437.56379618008327</c:v>
                </c:pt>
                <c:pt idx="56">
                  <c:v>358.1923298746517</c:v>
                </c:pt>
                <c:pt idx="57">
                  <c:v>376.29808691039688</c:v>
                </c:pt>
                <c:pt idx="58">
                  <c:v>394.38487870170007</c:v>
                </c:pt>
                <c:pt idx="59">
                  <c:v>412.45369704960859</c:v>
                </c:pt>
                <c:pt idx="60">
                  <c:v>430.50543979939113</c:v>
                </c:pt>
                <c:pt idx="61">
                  <c:v>448.54092338886767</c:v>
                </c:pt>
                <c:pt idx="62">
                  <c:v>466.56089327347848</c:v>
                </c:pt>
                <c:pt idx="63">
                  <c:v>484.566032657113</c:v>
                </c:pt>
                <c:pt idx="64">
                  <c:v>412.17893074941094</c:v>
                </c:pt>
                <c:pt idx="65">
                  <c:v>429.64045267146849</c:v>
                </c:pt>
                <c:pt idx="66">
                  <c:v>447.08672748141771</c:v>
                </c:pt>
                <c:pt idx="67">
                  <c:v>464.51843363445613</c:v>
                </c:pt>
                <c:pt idx="68">
                  <c:v>481.93619453558489</c:v>
                </c:pt>
                <c:pt idx="69">
                  <c:v>499.34058487547162</c:v>
                </c:pt>
                <c:pt idx="70">
                  <c:v>516.73213603723286</c:v>
                </c:pt>
                <c:pt idx="71">
                  <c:v>534.11134073767676</c:v>
                </c:pt>
                <c:pt idx="72">
                  <c:v>465.17954885268068</c:v>
                </c:pt>
                <c:pt idx="73">
                  <c:v>482.04316980390831</c:v>
                </c:pt>
                <c:pt idx="74">
                  <c:v>498.89426037594109</c:v>
                </c:pt>
                <c:pt idx="75">
                  <c:v>515.73330318528826</c:v>
                </c:pt>
                <c:pt idx="76">
                  <c:v>532.56074677914273</c:v>
                </c:pt>
                <c:pt idx="77">
                  <c:v>549.37700906307055</c:v>
                </c:pt>
                <c:pt idx="78">
                  <c:v>566.18248028736241</c:v>
                </c:pt>
                <c:pt idx="79">
                  <c:v>582.97752566054464</c:v>
                </c:pt>
                <c:pt idx="80">
                  <c:v>599.76248764621096</c:v>
                </c:pt>
                <c:pt idx="81">
                  <c:v>518.0920654638179</c:v>
                </c:pt>
                <c:pt idx="82">
                  <c:v>534.17244594763577</c:v>
                </c:pt>
                <c:pt idx="83">
                  <c:v>550.24264963990152</c:v>
                </c:pt>
                <c:pt idx="84">
                  <c:v>566.30301546114617</c:v>
                </c:pt>
                <c:pt idx="85">
                  <c:v>582.35386155149297</c:v>
                </c:pt>
                <c:pt idx="86">
                  <c:v>598.39548709420319</c:v>
                </c:pt>
                <c:pt idx="87">
                  <c:v>614.42817393361736</c:v>
                </c:pt>
                <c:pt idx="88">
                  <c:v>630.45218801553858</c:v>
                </c:pt>
                <c:pt idx="89">
                  <c:v>646.46778067365187</c:v>
                </c:pt>
                <c:pt idx="90">
                  <c:v>556.15206169982298</c:v>
                </c:pt>
                <c:pt idx="91">
                  <c:v>571.53037088991744</c:v>
                </c:pt>
                <c:pt idx="92">
                  <c:v>586.90003943089675</c:v>
                </c:pt>
                <c:pt idx="93">
                  <c:v>602.26132535349996</c:v>
                </c:pt>
                <c:pt idx="94">
                  <c:v>617.6144724600515</c:v>
                </c:pt>
                <c:pt idx="95">
                  <c:v>632.95971145054534</c:v>
                </c:pt>
                <c:pt idx="96">
                  <c:v>648.29726093391253</c:v>
                </c:pt>
                <c:pt idx="97">
                  <c:v>663.62732833867358</c:v>
                </c:pt>
                <c:pt idx="98">
                  <c:v>678.95011073512637</c:v>
                </c:pt>
                <c:pt idx="99">
                  <c:v>694.26579557950515</c:v>
                </c:pt>
                <c:pt idx="100">
                  <c:v>606.63308794985471</c:v>
                </c:pt>
                <c:pt idx="101">
                  <c:v>621.5892527220193</c:v>
                </c:pt>
                <c:pt idx="102">
                  <c:v>636.53796577494199</c:v>
                </c:pt>
                <c:pt idx="103">
                  <c:v>651.47942665572896</c:v>
                </c:pt>
                <c:pt idx="104">
                  <c:v>666.41382501786154</c:v>
                </c:pt>
                <c:pt idx="105">
                  <c:v>681.34134132702627</c:v>
                </c:pt>
                <c:pt idx="106">
                  <c:v>696.26214750191332</c:v>
                </c:pt>
                <c:pt idx="107">
                  <c:v>711.17640749727252</c:v>
                </c:pt>
                <c:pt idx="108">
                  <c:v>726.08427783555044</c:v>
                </c:pt>
                <c:pt idx="109">
                  <c:v>740.98590809263044</c:v>
                </c:pt>
                <c:pt idx="110">
                  <c:v>646.18020296138832</c:v>
                </c:pt>
                <c:pt idx="111">
                  <c:v>660.80226469034744</c:v>
                </c:pt>
                <c:pt idx="112">
                  <c:v>675.41766750836871</c:v>
                </c:pt>
                <c:pt idx="113">
                  <c:v>690.02657571578584</c:v>
                </c:pt>
                <c:pt idx="114">
                  <c:v>704.62914609342113</c:v>
                </c:pt>
                <c:pt idx="115">
                  <c:v>719.22552839864738</c:v>
                </c:pt>
                <c:pt idx="116">
                  <c:v>733.81586581911597</c:v>
                </c:pt>
                <c:pt idx="117">
                  <c:v>748.40029538855242</c:v>
                </c:pt>
                <c:pt idx="118">
                  <c:v>762.97894836847979</c:v>
                </c:pt>
                <c:pt idx="119">
                  <c:v>777.55195059927792</c:v>
                </c:pt>
                <c:pt idx="120">
                  <c:v>464.90453348622708</c:v>
                </c:pt>
                <c:pt idx="121">
                  <c:v>473.14200892852961</c:v>
                </c:pt>
                <c:pt idx="122">
                  <c:v>481.37643199343648</c:v>
                </c:pt>
                <c:pt idx="123">
                  <c:v>489.60786227699901</c:v>
                </c:pt>
                <c:pt idx="124">
                  <c:v>328.15381176580001</c:v>
                </c:pt>
                <c:pt idx="125">
                  <c:v>333.21377234826514</c:v>
                </c:pt>
                <c:pt idx="126">
                  <c:v>338.27203930015764</c:v>
                </c:pt>
                <c:pt idx="127">
                  <c:v>343.32864155402285</c:v>
                </c:pt>
                <c:pt idx="128">
                  <c:v>238.10594921033294</c:v>
                </c:pt>
                <c:pt idx="129">
                  <c:v>241.39406120554747</c:v>
                </c:pt>
                <c:pt idx="130">
                  <c:v>244.6811538808515</c:v>
                </c:pt>
                <c:pt idx="131">
                  <c:v>247.96724289368069</c:v>
                </c:pt>
                <c:pt idx="132">
                  <c:v>1.3303388911427938E-11</c:v>
                </c:pt>
                <c:pt idx="133">
                  <c:v>1.3303388911427938E-11</c:v>
                </c:pt>
                <c:pt idx="134">
                  <c:v>1.3303388911427938E-11</c:v>
                </c:pt>
                <c:pt idx="135">
                  <c:v>1.3303388911427938E-11</c:v>
                </c:pt>
                <c:pt idx="136">
                  <c:v>1.3303388911427938E-11</c:v>
                </c:pt>
                <c:pt idx="137">
                  <c:v>1.3303388911427938E-11</c:v>
                </c:pt>
                <c:pt idx="138">
                  <c:v>1.3303388911427938E-11</c:v>
                </c:pt>
                <c:pt idx="139">
                  <c:v>1.3303388911427938E-11</c:v>
                </c:pt>
                <c:pt idx="140">
                  <c:v>1.3303388911427938E-11</c:v>
                </c:pt>
                <c:pt idx="141">
                  <c:v>1.3303388911427938E-11</c:v>
                </c:pt>
                <c:pt idx="142">
                  <c:v>1.3303388911427938E-11</c:v>
                </c:pt>
                <c:pt idx="143">
                  <c:v>1.3303388911427938E-11</c:v>
                </c:pt>
                <c:pt idx="144">
                  <c:v>1.3303388911427938E-11</c:v>
                </c:pt>
                <c:pt idx="145">
                  <c:v>1.3303388911427938E-11</c:v>
                </c:pt>
                <c:pt idx="146">
                  <c:v>1.3303388911427938E-11</c:v>
                </c:pt>
                <c:pt idx="147">
                  <c:v>1.3303388911427938E-11</c:v>
                </c:pt>
                <c:pt idx="148">
                  <c:v>1.3303388911427938E-11</c:v>
                </c:pt>
                <c:pt idx="149">
                  <c:v>1.3303388911427938E-11</c:v>
                </c:pt>
                <c:pt idx="150">
                  <c:v>1.3303388911427938E-11</c:v>
                </c:pt>
                <c:pt idx="151">
                  <c:v>1.3303388911427938E-11</c:v>
                </c:pt>
                <c:pt idx="152">
                  <c:v>1.3303388911427938E-11</c:v>
                </c:pt>
                <c:pt idx="153">
                  <c:v>1.3303388911427938E-11</c:v>
                </c:pt>
                <c:pt idx="154">
                  <c:v>1.3303388911427938E-11</c:v>
                </c:pt>
                <c:pt idx="155">
                  <c:v>1.3303388911427938E-11</c:v>
                </c:pt>
                <c:pt idx="156">
                  <c:v>1.3303388911427938E-11</c:v>
                </c:pt>
                <c:pt idx="157">
                  <c:v>1.3303388911427938E-11</c:v>
                </c:pt>
                <c:pt idx="158">
                  <c:v>1.3303388911427938E-11</c:v>
                </c:pt>
                <c:pt idx="159">
                  <c:v>1.3303388911427938E-11</c:v>
                </c:pt>
                <c:pt idx="160">
                  <c:v>1.3303388911427938E-11</c:v>
                </c:pt>
                <c:pt idx="161">
                  <c:v>1.3303388911427938E-11</c:v>
                </c:pt>
                <c:pt idx="162">
                  <c:v>1.3303388911427938E-11</c:v>
                </c:pt>
                <c:pt idx="163">
                  <c:v>1.3303388911427938E-11</c:v>
                </c:pt>
                <c:pt idx="164">
                  <c:v>1.3303388911427938E-11</c:v>
                </c:pt>
                <c:pt idx="165">
                  <c:v>1.3303388911427938E-11</c:v>
                </c:pt>
                <c:pt idx="166">
                  <c:v>1.3303388911427938E-11</c:v>
                </c:pt>
                <c:pt idx="167">
                  <c:v>1.3303388911427938E-11</c:v>
                </c:pt>
                <c:pt idx="168">
                  <c:v>1.3303388911427938E-11</c:v>
                </c:pt>
                <c:pt idx="169">
                  <c:v>1.3303388911427938E-11</c:v>
                </c:pt>
                <c:pt idx="170">
                  <c:v>1.3303388911427938E-11</c:v>
                </c:pt>
                <c:pt idx="171">
                  <c:v>1.3303388911427938E-11</c:v>
                </c:pt>
                <c:pt idx="172">
                  <c:v>1.3303388911427938E-11</c:v>
                </c:pt>
                <c:pt idx="173">
                  <c:v>1.3303388911427938E-11</c:v>
                </c:pt>
                <c:pt idx="174">
                  <c:v>1.3303388911427938E-11</c:v>
                </c:pt>
                <c:pt idx="175">
                  <c:v>1.3303388911427938E-11</c:v>
                </c:pt>
                <c:pt idx="176">
                  <c:v>1.3303388911427938E-11</c:v>
                </c:pt>
                <c:pt idx="177">
                  <c:v>1.3303388911427938E-11</c:v>
                </c:pt>
                <c:pt idx="178">
                  <c:v>1.3303388911427938E-11</c:v>
                </c:pt>
                <c:pt idx="179">
                  <c:v>1.3303388911427938E-11</c:v>
                </c:pt>
                <c:pt idx="180">
                  <c:v>1.3303388911427938E-11</c:v>
                </c:pt>
                <c:pt idx="181">
                  <c:v>1.3303388911427938E-11</c:v>
                </c:pt>
                <c:pt idx="182">
                  <c:v>1.3303388911427938E-11</c:v>
                </c:pt>
                <c:pt idx="183">
                  <c:v>1.3303388911427938E-11</c:v>
                </c:pt>
                <c:pt idx="184">
                  <c:v>1.3303388911427938E-11</c:v>
                </c:pt>
                <c:pt idx="185">
                  <c:v>1.3303388911427938E-11</c:v>
                </c:pt>
                <c:pt idx="186">
                  <c:v>1.3303388911427938E-11</c:v>
                </c:pt>
                <c:pt idx="187">
                  <c:v>1.3303388911427938E-11</c:v>
                </c:pt>
                <c:pt idx="188">
                  <c:v>1.3303388911427938E-11</c:v>
                </c:pt>
                <c:pt idx="189">
                  <c:v>1.3303388911427938E-11</c:v>
                </c:pt>
                <c:pt idx="190">
                  <c:v>1.3303388911427938E-11</c:v>
                </c:pt>
                <c:pt idx="191">
                  <c:v>1.3303388911427938E-11</c:v>
                </c:pt>
                <c:pt idx="192">
                  <c:v>1.3303388911427938E-11</c:v>
                </c:pt>
                <c:pt idx="193">
                  <c:v>1.3303388911427938E-11</c:v>
                </c:pt>
                <c:pt idx="194">
                  <c:v>1.3303388911427938E-11</c:v>
                </c:pt>
                <c:pt idx="195">
                  <c:v>1.3303388911427938E-11</c:v>
                </c:pt>
                <c:pt idx="196">
                  <c:v>1.3303388911427938E-11</c:v>
                </c:pt>
                <c:pt idx="197">
                  <c:v>1.3303388911427938E-11</c:v>
                </c:pt>
                <c:pt idx="198">
                  <c:v>1.3303388911427938E-11</c:v>
                </c:pt>
                <c:pt idx="199">
                  <c:v>1.3303388911427938E-11</c:v>
                </c:pt>
                <c:pt idx="200">
                  <c:v>1.3303388911427938E-11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3.3295193165666497</c:v>
                </c:pt>
                <c:pt idx="2">
                  <c:v>3.8444771093636851</c:v>
                </c:pt>
                <c:pt idx="3">
                  <c:v>4.4393639436471233</c:v>
                </c:pt>
                <c:pt idx="4">
                  <c:v>5.1266275000970749</c:v>
                </c:pt>
                <c:pt idx="5">
                  <c:v>5.9206600470874555</c:v>
                </c:pt>
                <c:pt idx="6">
                  <c:v>6.8381031071902454</c:v>
                </c:pt>
                <c:pt idx="7">
                  <c:v>7.8981999848167277</c:v>
                </c:pt>
                <c:pt idx="8">
                  <c:v>9.1232036921470456</c:v>
                </c:pt>
                <c:pt idx="9">
                  <c:v>10.538849000111126</c:v>
                </c:pt>
                <c:pt idx="10">
                  <c:v>12.174898718938699</c:v>
                </c:pt>
                <c:pt idx="11">
                  <c:v>14.065775908505392</c:v>
                </c:pt>
                <c:pt idx="12">
                  <c:v>16.251295566906943</c:v>
                </c:pt>
                <c:pt idx="13">
                  <c:v>18.777511486420735</c:v>
                </c:pt>
                <c:pt idx="14">
                  <c:v>21.697696445643476</c:v>
                </c:pt>
                <c:pt idx="15">
                  <c:v>25.073476778872305</c:v>
                </c:pt>
                <c:pt idx="16">
                  <c:v>28.976145691006938</c:v>
                </c:pt>
                <c:pt idx="17">
                  <c:v>33.488183540571846</c:v>
                </c:pt>
                <c:pt idx="18">
                  <c:v>38.705017778536082</c:v>
                </c:pt>
                <c:pt idx="19">
                  <c:v>44.73706040338751</c:v>
                </c:pt>
                <c:pt idx="20">
                  <c:v>51.712066785747965</c:v>
                </c:pt>
                <c:pt idx="21">
                  <c:v>59.777866658911591</c:v>
                </c:pt>
                <c:pt idx="22">
                  <c:v>69.105526115970832</c:v>
                </c:pt>
                <c:pt idx="23">
                  <c:v>79.893008774587202</c:v>
                </c:pt>
                <c:pt idx="24">
                  <c:v>92.369415069718045</c:v>
                </c:pt>
                <c:pt idx="25">
                  <c:v>106.79989114773321</c:v>
                </c:pt>
                <c:pt idx="26">
                  <c:v>123.4913133347531</c:v>
                </c:pt>
                <c:pt idx="27">
                  <c:v>142.79887095347183</c:v>
                </c:pt>
                <c:pt idx="28">
                  <c:v>165.1336897322177</c:v>
                </c:pt>
                <c:pt idx="29">
                  <c:v>190.97166061184873</c:v>
                </c:pt>
                <c:pt idx="30">
                  <c:v>220.8636649021399</c:v>
                </c:pt>
                <c:pt idx="31">
                  <c:v>233.96257484592459</c:v>
                </c:pt>
                <c:pt idx="32">
                  <c:v>247.04474907320011</c:v>
                </c:pt>
                <c:pt idx="33">
                  <c:v>260.11119898900466</c:v>
                </c:pt>
                <c:pt idx="34">
                  <c:v>273.16282602987923</c:v>
                </c:pt>
                <c:pt idx="35">
                  <c:v>286.20043841608242</c:v>
                </c:pt>
                <c:pt idx="36">
                  <c:v>299.22476468894934</c:v>
                </c:pt>
                <c:pt idx="37">
                  <c:v>312.23646476629119</c:v>
                </c:pt>
                <c:pt idx="38">
                  <c:v>325.23613905746362</c:v>
                </c:pt>
                <c:pt idx="39">
                  <c:v>338.22433604417841</c:v>
                </c:pt>
                <c:pt idx="40">
                  <c:v>351.20155863550735</c:v>
                </c:pt>
                <c:pt idx="41">
                  <c:v>364.16826953418155</c:v>
                </c:pt>
                <c:pt idx="42">
                  <c:v>377.12489579845288</c:v>
                </c:pt>
                <c:pt idx="43">
                  <c:v>390.07183274416224</c:v>
                </c:pt>
                <c:pt idx="44">
                  <c:v>403.00944730162018</c:v>
                </c:pt>
                <c:pt idx="45">
                  <c:v>262.84230977475477</c:v>
                </c:pt>
                <c:pt idx="46">
                  <c:v>279.52897874046857</c:v>
                </c:pt>
                <c:pt idx="47">
                  <c:v>296.19331248965938</c:v>
                </c:pt>
                <c:pt idx="48">
                  <c:v>312.83674437936537</c:v>
                </c:pt>
                <c:pt idx="49">
                  <c:v>329.4605427892713</c:v>
                </c:pt>
                <c:pt idx="50">
                  <c:v>346.06583765139413</c:v>
                </c:pt>
                <c:pt idx="51">
                  <c:v>362.65364161912021</c:v>
                </c:pt>
                <c:pt idx="52">
                  <c:v>286.46091868850658</c:v>
                </c:pt>
                <c:pt idx="53">
                  <c:v>302.06347757221965</c:v>
                </c:pt>
                <c:pt idx="54">
                  <c:v>317.64810423442708</c:v>
                </c:pt>
                <c:pt idx="55">
                  <c:v>333.21580229519378</c:v>
                </c:pt>
                <c:pt idx="56">
                  <c:v>348.76747393815089</c:v>
                </c:pt>
                <c:pt idx="57">
                  <c:v>364.30393432353253</c:v>
                </c:pt>
                <c:pt idx="58">
                  <c:v>379.8259234133115</c:v>
                </c:pt>
                <c:pt idx="59">
                  <c:v>395.33411576199092</c:v>
                </c:pt>
                <c:pt idx="60">
                  <c:v>315.14362257828458</c:v>
                </c:pt>
                <c:pt idx="61">
                  <c:v>329.61600914074114</c:v>
                </c:pt>
                <c:pt idx="62">
                  <c:v>344.07437857282292</c:v>
                </c:pt>
                <c:pt idx="63">
                  <c:v>358.51940284309381</c:v>
                </c:pt>
                <c:pt idx="64">
                  <c:v>372.95169535046551</c:v>
                </c:pt>
                <c:pt idx="65">
                  <c:v>387.37181814575661</c:v>
                </c:pt>
                <c:pt idx="66">
                  <c:v>401.78028802163266</c:v>
                </c:pt>
                <c:pt idx="67">
                  <c:v>416.17758168328857</c:v>
                </c:pt>
                <c:pt idx="68">
                  <c:v>352.368663759654</c:v>
                </c:pt>
                <c:pt idx="69">
                  <c:v>366.1914509660773</c:v>
                </c:pt>
                <c:pt idx="70">
                  <c:v>380.00284776500786</c:v>
                </c:pt>
                <c:pt idx="71">
                  <c:v>393.8033264594963</c:v>
                </c:pt>
                <c:pt idx="72">
                  <c:v>407.59332354876182</c:v>
                </c:pt>
                <c:pt idx="73">
                  <c:v>421.37324358733872</c:v>
                </c:pt>
                <c:pt idx="74">
                  <c:v>435.14346251306438</c:v>
                </c:pt>
                <c:pt idx="75">
                  <c:v>448.90433053184393</c:v>
                </c:pt>
                <c:pt idx="76">
                  <c:v>387.37052254428005</c:v>
                </c:pt>
                <c:pt idx="77">
                  <c:v>400.715468686625</c:v>
                </c:pt>
                <c:pt idx="78">
                  <c:v>414.05079939403623</c:v>
                </c:pt>
                <c:pt idx="79">
                  <c:v>427.37686797099309</c:v>
                </c:pt>
                <c:pt idx="80">
                  <c:v>440.69400389258175</c:v>
                </c:pt>
                <c:pt idx="81">
                  <c:v>454.00251509838694</c:v>
                </c:pt>
                <c:pt idx="82">
                  <c:v>467.30269000340849</c:v>
                </c:pt>
                <c:pt idx="83">
                  <c:v>480.59479926813538</c:v>
                </c:pt>
                <c:pt idx="84">
                  <c:v>493.87909736262208</c:v>
                </c:pt>
                <c:pt idx="85">
                  <c:v>421.80647617997283</c:v>
                </c:pt>
                <c:pt idx="86">
                  <c:v>434.5379865621187</c:v>
                </c:pt>
                <c:pt idx="87">
                  <c:v>447.26149111008885</c:v>
                </c:pt>
                <c:pt idx="88">
                  <c:v>459.97724965243629</c:v>
                </c:pt>
                <c:pt idx="89">
                  <c:v>472.68550648118048</c:v>
                </c:pt>
                <c:pt idx="90">
                  <c:v>485.38649168234724</c:v>
                </c:pt>
                <c:pt idx="91">
                  <c:v>498.08042232000906</c:v>
                </c:pt>
                <c:pt idx="92">
                  <c:v>510.76750349335134</c:v>
                </c:pt>
                <c:pt idx="93">
                  <c:v>523.44792928326353</c:v>
                </c:pt>
                <c:pt idx="94">
                  <c:v>463.54942013152572</c:v>
                </c:pt>
                <c:pt idx="95">
                  <c:v>476.24993535203356</c:v>
                </c:pt>
                <c:pt idx="96">
                  <c:v>488.94324755815575</c:v>
                </c:pt>
                <c:pt idx="97">
                  <c:v>501.62957007157291</c:v>
                </c:pt>
                <c:pt idx="98">
                  <c:v>514.30910454564184</c:v>
                </c:pt>
                <c:pt idx="99">
                  <c:v>526.98204188161515</c:v>
                </c:pt>
                <c:pt idx="100">
                  <c:v>539.64856305215528</c:v>
                </c:pt>
                <c:pt idx="101">
                  <c:v>552.30883984353113</c:v>
                </c:pt>
                <c:pt idx="102">
                  <c:v>564.96303552623647</c:v>
                </c:pt>
                <c:pt idx="103">
                  <c:v>577.61130546242021</c:v>
                </c:pt>
                <c:pt idx="104">
                  <c:v>494.71426746345134</c:v>
                </c:pt>
                <c:pt idx="105">
                  <c:v>507.00639899232783</c:v>
                </c:pt>
                <c:pt idx="106">
                  <c:v>519.29223200376282</c:v>
                </c:pt>
                <c:pt idx="107">
                  <c:v>531.57193649040471</c:v>
                </c:pt>
                <c:pt idx="108">
                  <c:v>543.84567395185479</c:v>
                </c:pt>
                <c:pt idx="109">
                  <c:v>556.1135980051248</c:v>
                </c:pt>
                <c:pt idx="110">
                  <c:v>568.37585493843733</c:v>
                </c:pt>
                <c:pt idx="111">
                  <c:v>580.63258421476621</c:v>
                </c:pt>
                <c:pt idx="112">
                  <c:v>592.88391893065784</c:v>
                </c:pt>
                <c:pt idx="113">
                  <c:v>605.12998623517012</c:v>
                </c:pt>
                <c:pt idx="114">
                  <c:v>541.88278505857386</c:v>
                </c:pt>
                <c:pt idx="115">
                  <c:v>554.65820634376746</c:v>
                </c:pt>
                <c:pt idx="116">
                  <c:v>567.42746426407223</c:v>
                </c:pt>
                <c:pt idx="117">
                  <c:v>580.1907170224091</c:v>
                </c:pt>
                <c:pt idx="118">
                  <c:v>592.94811529592459</c:v>
                </c:pt>
                <c:pt idx="119">
                  <c:v>605.69980275160117</c:v>
                </c:pt>
                <c:pt idx="120">
                  <c:v>618.44591651620919</c:v>
                </c:pt>
                <c:pt idx="121">
                  <c:v>631.18658760551557</c:v>
                </c:pt>
                <c:pt idx="122">
                  <c:v>643.92194131705412</c:v>
                </c:pt>
                <c:pt idx="123">
                  <c:v>656.65209759022071</c:v>
                </c:pt>
                <c:pt idx="124">
                  <c:v>669.37717133700846</c:v>
                </c:pt>
                <c:pt idx="125">
                  <c:v>682.09727274629893</c:v>
                </c:pt>
                <c:pt idx="126">
                  <c:v>579.0783109626741</c:v>
                </c:pt>
                <c:pt idx="127">
                  <c:v>591.68727218026481</c:v>
                </c:pt>
                <c:pt idx="128">
                  <c:v>604.29064160459563</c:v>
                </c:pt>
                <c:pt idx="129">
                  <c:v>616.88855225431575</c:v>
                </c:pt>
                <c:pt idx="130">
                  <c:v>629.48113127419663</c:v>
                </c:pt>
                <c:pt idx="131">
                  <c:v>642.06850030928956</c:v>
                </c:pt>
                <c:pt idx="132">
                  <c:v>654.65077584822882</c:v>
                </c:pt>
                <c:pt idx="133">
                  <c:v>667.22806953878342</c:v>
                </c:pt>
                <c:pt idx="134">
                  <c:v>679.80048847839259</c:v>
                </c:pt>
                <c:pt idx="135">
                  <c:v>692.36813548210159</c:v>
                </c:pt>
                <c:pt idx="136">
                  <c:v>704.93110933004471</c:v>
                </c:pt>
                <c:pt idx="137">
                  <c:v>717.4895049963776</c:v>
                </c:pt>
                <c:pt idx="138">
                  <c:v>607.0485808350528</c:v>
                </c:pt>
                <c:pt idx="139">
                  <c:v>619.31307916398441</c:v>
                </c:pt>
                <c:pt idx="140">
                  <c:v>631.57254606578101</c:v>
                </c:pt>
                <c:pt idx="141">
                  <c:v>643.82709293227003</c:v>
                </c:pt>
                <c:pt idx="142">
                  <c:v>656.07682657078897</c:v>
                </c:pt>
                <c:pt idx="143">
                  <c:v>668.32184947673488</c:v>
                </c:pt>
                <c:pt idx="144">
                  <c:v>680.56226008510987</c:v>
                </c:pt>
                <c:pt idx="145">
                  <c:v>692.79815300303926</c:v>
                </c:pt>
                <c:pt idx="146">
                  <c:v>705.029619225018</c:v>
                </c:pt>
                <c:pt idx="147">
                  <c:v>717.25674633245353</c:v>
                </c:pt>
                <c:pt idx="148">
                  <c:v>729.47961867890115</c:v>
                </c:pt>
                <c:pt idx="149">
                  <c:v>741.69831756224755</c:v>
                </c:pt>
                <c:pt idx="150">
                  <c:v>459.51384127703432</c:v>
                </c:pt>
                <c:pt idx="151">
                  <c:v>466.99041528200974</c:v>
                </c:pt>
                <c:pt idx="152">
                  <c:v>474.46443825230887</c:v>
                </c:pt>
                <c:pt idx="153">
                  <c:v>481.93595605981005</c:v>
                </c:pt>
                <c:pt idx="154">
                  <c:v>316.50035267474522</c:v>
                </c:pt>
                <c:pt idx="155">
                  <c:v>321.05958656287027</c:v>
                </c:pt>
                <c:pt idx="156">
                  <c:v>325.61738807509016</c:v>
                </c:pt>
                <c:pt idx="157">
                  <c:v>330.17378012009414</c:v>
                </c:pt>
                <c:pt idx="158">
                  <c:v>221.29266761909744</c:v>
                </c:pt>
                <c:pt idx="159">
                  <c:v>224.14564217101625</c:v>
                </c:pt>
                <c:pt idx="160">
                  <c:v>226.997784196136</c:v>
                </c:pt>
                <c:pt idx="161">
                  <c:v>229.84910565763525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3.1975124623870994</c:v>
                </c:pt>
                <c:pt idx="2">
                  <c:v>3.6919868846158312</c:v>
                </c:pt>
                <c:pt idx="3">
                  <c:v>4.2632012695995538</c:v>
                </c:pt>
                <c:pt idx="4">
                  <c:v>4.9231052255219518</c:v>
                </c:pt>
                <c:pt idx="5">
                  <c:v>5.6855149317964004</c:v>
                </c:pt>
                <c:pt idx="6">
                  <c:v>6.5664055523762208</c:v>
                </c:pt>
                <c:pt idx="7">
                  <c:v>7.584249580961747</c:v>
                </c:pt>
                <c:pt idx="8">
                  <c:v>8.7604083508134583</c:v>
                </c:pt>
                <c:pt idx="9">
                  <c:v>10.119585083350932</c:v>
                </c:pt>
                <c:pt idx="10">
                  <c:v>11.690349171704435</c:v>
                </c:pt>
                <c:pt idx="11">
                  <c:v>13.505742926490234</c:v>
                </c:pt>
                <c:pt idx="12">
                  <c:v>15.603983784441565</c:v>
                </c:pt>
                <c:pt idx="13">
                  <c:v>18.029277034544695</c:v>
                </c:pt>
                <c:pt idx="14">
                  <c:v>20.832756495500302</c:v>
                </c:pt>
                <c:pt idx="15">
                  <c:v>24.07357333421696</c:v>
                </c:pt>
                <c:pt idx="16">
                  <c:v>27.820156407398713</c:v>
                </c:pt>
                <c:pt idx="17">
                  <c:v>32.151671206356369</c:v>
                </c:pt>
                <c:pt idx="18">
                  <c:v>37.159708769200918</c:v>
                </c:pt>
                <c:pt idx="19">
                  <c:v>42.950240887566004</c:v>
                </c:pt>
                <c:pt idx="20">
                  <c:v>49.645883684739381</c:v>
                </c:pt>
                <c:pt idx="21">
                  <c:v>57.388518303477362</c:v>
                </c:pt>
                <c:pt idx="22">
                  <c:v>66.342325159614802</c:v>
                </c:pt>
                <c:pt idx="23">
                  <c:v>76.69729715967236</c:v>
                </c:pt>
                <c:pt idx="24">
                  <c:v>88.673307641504479</c:v>
                </c:pt>
                <c:pt idx="25">
                  <c:v>102.52482080206796</c:v>
                </c:pt>
                <c:pt idx="26">
                  <c:v>118.5463462869413</c:v>
                </c:pt>
                <c:pt idx="27">
                  <c:v>137.07875573519394</c:v>
                </c:pt>
                <c:pt idx="28">
                  <c:v>158.51659775171231</c:v>
                </c:pt>
                <c:pt idx="29">
                  <c:v>183.3165694241562</c:v>
                </c:pt>
                <c:pt idx="30">
                  <c:v>212.00732758517302</c:v>
                </c:pt>
                <c:pt idx="31">
                  <c:v>224.57972773325105</c:v>
                </c:pt>
                <c:pt idx="32">
                  <c:v>237.13600135390092</c:v>
                </c:pt>
                <c:pt idx="33">
                  <c:v>249.67712303647326</c:v>
                </c:pt>
                <c:pt idx="34">
                  <c:v>262.20396140473423</c:v>
                </c:pt>
                <c:pt idx="35">
                  <c:v>274.71729525929061</c:v>
                </c:pt>
                <c:pt idx="36">
                  <c:v>287.21782662218112</c:v>
                </c:pt>
                <c:pt idx="37">
                  <c:v>299.70619138985359</c:v>
                </c:pt>
                <c:pt idx="38">
                  <c:v>312.18296811644018</c:v>
                </c:pt>
                <c:pt idx="39">
                  <c:v>324.64868531862356</c:v>
                </c:pt>
                <c:pt idx="40">
                  <c:v>337.10382759931491</c:v>
                </c:pt>
                <c:pt idx="41">
                  <c:v>349.54884081861684</c:v>
                </c:pt>
                <c:pt idx="42">
                  <c:v>361.98413648963145</c:v>
                </c:pt>
                <c:pt idx="43">
                  <c:v>374.4100955384904</c:v>
                </c:pt>
                <c:pt idx="44">
                  <c:v>386.82707153904357</c:v>
                </c:pt>
                <c:pt idx="45">
                  <c:v>252.29842402838949</c:v>
                </c:pt>
                <c:pt idx="46">
                  <c:v>268.31411996510275</c:v>
                </c:pt>
                <c:pt idx="47">
                  <c:v>284.30829369918553</c:v>
                </c:pt>
                <c:pt idx="48">
                  <c:v>300.2823264127091</c:v>
                </c:pt>
                <c:pt idx="49">
                  <c:v>316.23744031565565</c:v>
                </c:pt>
                <c:pt idx="50">
                  <c:v>332.1747242099089</c:v>
                </c:pt>
                <c:pt idx="51">
                  <c:v>348.09515388772769</c:v>
                </c:pt>
                <c:pt idx="52">
                  <c:v>274.96730037282191</c:v>
                </c:pt>
                <c:pt idx="53">
                  <c:v>289.94236947028941</c:v>
                </c:pt>
                <c:pt idx="54">
                  <c:v>304.90015908875739</c:v>
                </c:pt>
                <c:pt idx="55">
                  <c:v>319.84163631598068</c:v>
                </c:pt>
                <c:pt idx="56">
                  <c:v>334.76767049562119</c:v>
                </c:pt>
                <c:pt idx="57">
                  <c:v>349.67904711564228</c:v>
                </c:pt>
                <c:pt idx="58">
                  <c:v>364.57647920300269</c:v>
                </c:pt>
                <c:pt idx="59">
                  <c:v>379.46061675805896</c:v>
                </c:pt>
                <c:pt idx="60">
                  <c:v>302.49641589765946</c:v>
                </c:pt>
                <c:pt idx="61">
                  <c:v>316.38665276541997</c:v>
                </c:pt>
                <c:pt idx="62">
                  <c:v>330.26338273388933</c:v>
                </c:pt>
                <c:pt idx="63">
                  <c:v>344.12725331161431</c:v>
                </c:pt>
                <c:pt idx="64">
                  <c:v>357.9788555694563</c:v>
                </c:pt>
                <c:pt idx="65">
                  <c:v>371.81873109928205</c:v>
                </c:pt>
                <c:pt idx="66">
                  <c:v>385.64737788222607</c:v>
                </c:pt>
                <c:pt idx="67">
                  <c:v>399.46525527115745</c:v>
                </c:pt>
                <c:pt idx="68">
                  <c:v>338.22397748723967</c:v>
                </c:pt>
                <c:pt idx="69">
                  <c:v>351.49061881595475</c:v>
                </c:pt>
                <c:pt idx="70">
                  <c:v>364.74628435413524</c:v>
                </c:pt>
                <c:pt idx="71">
                  <c:v>377.99142921274688</c:v>
                </c:pt>
                <c:pt idx="72">
                  <c:v>391.22647400220194</c:v>
                </c:pt>
                <c:pt idx="73">
                  <c:v>404.45180855103291</c:v>
                </c:pt>
                <c:pt idx="74">
                  <c:v>417.66779511273722</c:v>
                </c:pt>
                <c:pt idx="75">
                  <c:v>430.8747711455369</c:v>
                </c:pt>
                <c:pt idx="76">
                  <c:v>371.81748763318723</c:v>
                </c:pt>
                <c:pt idx="77">
                  <c:v>384.62541030951428</c:v>
                </c:pt>
                <c:pt idx="78">
                  <c:v>397.42406755790995</c:v>
                </c:pt>
                <c:pt idx="79">
                  <c:v>410.21379982238051</c:v>
                </c:pt>
                <c:pt idx="80">
                  <c:v>422.99492458494228</c:v>
                </c:pt>
                <c:pt idx="81">
                  <c:v>435.76773857601302</c:v>
                </c:pt>
                <c:pt idx="82">
                  <c:v>448.53251971213166</c:v>
                </c:pt>
                <c:pt idx="83">
                  <c:v>461.28952880159983</c:v>
                </c:pt>
                <c:pt idx="84">
                  <c:v>474.0390110516251</c:v>
                </c:pt>
                <c:pt idx="85">
                  <c:v>404.86760468921807</c:v>
                </c:pt>
                <c:pt idx="86">
                  <c:v>417.08668950175365</c:v>
                </c:pt>
                <c:pt idx="87">
                  <c:v>429.29805989678283</c:v>
                </c:pt>
                <c:pt idx="88">
                  <c:v>441.50196624495953</c:v>
                </c:pt>
                <c:pt idx="89">
                  <c:v>453.69864394594202</c:v>
                </c:pt>
                <c:pt idx="90">
                  <c:v>465.88831471050179</c:v>
                </c:pt>
                <c:pt idx="91">
                  <c:v>478.07118770146172</c:v>
                </c:pt>
                <c:pt idx="92">
                  <c:v>490.24746055228678</c:v>
                </c:pt>
                <c:pt idx="93">
                  <c:v>502.41732027921768</c:v>
                </c:pt>
                <c:pt idx="94">
                  <c:v>444.93033956510277</c:v>
                </c:pt>
                <c:pt idx="95">
                  <c:v>457.11957934563389</c:v>
                </c:pt>
                <c:pt idx="96">
                  <c:v>469.30187830537665</c:v>
                </c:pt>
                <c:pt idx="97">
                  <c:v>481.47744200098759</c:v>
                </c:pt>
                <c:pt idx="98">
                  <c:v>493.64646474553336</c:v>
                </c:pt>
                <c:pt idx="99">
                  <c:v>505.80913049135751</c:v>
                </c:pt>
                <c:pt idx="100">
                  <c:v>517.96561362362092</c:v>
                </c:pt>
                <c:pt idx="101">
                  <c:v>530.11607967547957</c:v>
                </c:pt>
                <c:pt idx="102">
                  <c:v>542.26068597429344</c:v>
                </c:pt>
                <c:pt idx="103">
                  <c:v>554.39958222694565</c:v>
                </c:pt>
                <c:pt idx="104">
                  <c:v>474.84055684686922</c:v>
                </c:pt>
                <c:pt idx="105">
                  <c:v>486.63778866841045</c:v>
                </c:pt>
                <c:pt idx="106">
                  <c:v>498.42895124193228</c:v>
                </c:pt>
                <c:pt idx="107">
                  <c:v>510.21420837225941</c:v>
                </c:pt>
                <c:pt idx="108">
                  <c:v>521.99371568032041</c:v>
                </c:pt>
                <c:pt idx="109">
                  <c:v>533.76762119138516</c:v>
                </c:pt>
                <c:pt idx="110">
                  <c:v>545.5360658687066</c:v>
                </c:pt>
                <c:pt idx="111">
                  <c:v>557.2991840987313</c:v>
                </c:pt>
                <c:pt idx="112">
                  <c:v>569.05710413321981</c:v>
                </c:pt>
                <c:pt idx="113">
                  <c:v>580.8099484929354</c:v>
                </c:pt>
                <c:pt idx="114">
                  <c:v>520.10986852991607</c:v>
                </c:pt>
                <c:pt idx="115">
                  <c:v>532.37083803295957</c:v>
                </c:pt>
                <c:pt idx="116">
                  <c:v>544.62586852091033</c:v>
                </c:pt>
                <c:pt idx="117">
                  <c:v>556.8751124380185</c:v>
                </c:pt>
                <c:pt idx="118">
                  <c:v>569.11871497670109</c:v>
                </c:pt>
                <c:pt idx="119">
                  <c:v>581.35681457438523</c:v>
                </c:pt>
                <c:pt idx="120">
                  <c:v>593.58954336635293</c:v>
                </c:pt>
                <c:pt idx="121">
                  <c:v>605.81702759932682</c:v>
                </c:pt>
                <c:pt idx="122">
                  <c:v>618.03938800994331</c:v>
                </c:pt>
                <c:pt idx="123">
                  <c:v>630.25674017173947</c:v>
                </c:pt>
                <c:pt idx="124">
                  <c:v>642.46919481385032</c:v>
                </c:pt>
                <c:pt idx="125">
                  <c:v>654.67685811422268</c:v>
                </c:pt>
                <c:pt idx="126">
                  <c:v>555.80750672637316</c:v>
                </c:pt>
                <c:pt idx="127">
                  <c:v>567.90865247358681</c:v>
                </c:pt>
                <c:pt idx="128">
                  <c:v>580.00440997182216</c:v>
                </c:pt>
                <c:pt idx="129">
                  <c:v>592.094907397778</c:v>
                </c:pt>
                <c:pt idx="130">
                  <c:v>604.18026726808796</c:v>
                </c:pt>
                <c:pt idx="131">
                  <c:v>616.26060679985801</c:v>
                </c:pt>
                <c:pt idx="132">
                  <c:v>628.3360382414736</c:v>
                </c:pt>
                <c:pt idx="133">
                  <c:v>640.40666917666488</c:v>
                </c:pt>
                <c:pt idx="134">
                  <c:v>652.47260280446653</c:v>
                </c:pt>
                <c:pt idx="135">
                  <c:v>664.53393819740097</c:v>
                </c:pt>
                <c:pt idx="136">
                  <c:v>676.59077053995213</c:v>
                </c:pt>
                <c:pt idx="137">
                  <c:v>688.6431913491665</c:v>
                </c:pt>
                <c:pt idx="138">
                  <c:v>582.65126790457271</c:v>
                </c:pt>
                <c:pt idx="139">
                  <c:v>594.42177786847208</c:v>
                </c:pt>
                <c:pt idx="140">
                  <c:v>606.18743955188972</c:v>
                </c:pt>
                <c:pt idx="141">
                  <c:v>617.94836029193084</c:v>
                </c:pt>
                <c:pt idx="142">
                  <c:v>629.70464300808862</c:v>
                </c:pt>
                <c:pt idx="143">
                  <c:v>641.45638646487191</c:v>
                </c:pt>
                <c:pt idx="144">
                  <c:v>653.20368551419642</c:v>
                </c:pt>
                <c:pt idx="145">
                  <c:v>664.94663131943696</c:v>
                </c:pt>
                <c:pt idx="146">
                  <c:v>676.68531156284018</c:v>
                </c:pt>
                <c:pt idx="147">
                  <c:v>688.41981063780293</c:v>
                </c:pt>
                <c:pt idx="148">
                  <c:v>700.15020982736576</c:v>
                </c:pt>
                <c:pt idx="149">
                  <c:v>711.87658747012858</c:v>
                </c:pt>
                <c:pt idx="150">
                  <c:v>441.05721213371879</c:v>
                </c:pt>
                <c:pt idx="151">
                  <c:v>448.23281585802715</c:v>
                </c:pt>
                <c:pt idx="152">
                  <c:v>455.40596140669305</c:v>
                </c:pt>
                <c:pt idx="153">
                  <c:v>462.57669298183436</c:v>
                </c:pt>
                <c:pt idx="154">
                  <c:v>303.79857406903244</c:v>
                </c:pt>
                <c:pt idx="155">
                  <c:v>308.17441772296968</c:v>
                </c:pt>
                <c:pt idx="156">
                  <c:v>312.54888114025499</c:v>
                </c:pt>
                <c:pt idx="157">
                  <c:v>316.92198639568892</c:v>
                </c:pt>
                <c:pt idx="158">
                  <c:v>212.4190876157617</c:v>
                </c:pt>
                <c:pt idx="159">
                  <c:v>215.1573921885911</c:v>
                </c:pt>
                <c:pt idx="160">
                  <c:v>217.89489453904454</c:v>
                </c:pt>
                <c:pt idx="161">
                  <c:v>220.6316061948346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2.8445538772295063</c:v>
                </c:pt>
                <c:pt idx="2">
                  <c:v>3.284273535613877</c:v>
                </c:pt>
                <c:pt idx="3">
                  <c:v>3.7922102922952434</c:v>
                </c:pt>
                <c:pt idx="4">
                  <c:v>4.3789829346453333</c:v>
                </c:pt>
                <c:pt idx="5">
                  <c:v>5.0568684072794188</c:v>
                </c:pt>
                <c:pt idx="6">
                  <c:v>5.8400614980565448</c:v>
                </c:pt>
                <c:pt idx="7">
                  <c:v>6.7449753039941669</c:v>
                </c:pt>
                <c:pt idx="8">
                  <c:v>7.7905888969266996</c:v>
                </c:pt>
                <c:pt idx="9">
                  <c:v>8.9988496216860376</c:v>
                </c:pt>
                <c:pt idx="10">
                  <c:v>10.395138632688928</c:v>
                </c:pt>
                <c:pt idx="11">
                  <c:v>12.008809633451259</c:v>
                </c:pt>
                <c:pt idx="12">
                  <c:v>13.873812357108987</c:v>
                </c:pt>
                <c:pt idx="13">
                  <c:v>16.029414148570542</c:v>
                </c:pt>
                <c:pt idx="14">
                  <c:v>18.521035119924662</c:v>
                </c:pt>
                <c:pt idx="15">
                  <c:v>21.401214795914981</c:v>
                </c:pt>
                <c:pt idx="16">
                  <c:v>24.730730998666559</c:v>
                </c:pt>
                <c:pt idx="17">
                  <c:v>28.57989500182471</c:v>
                </c:pt>
                <c:pt idx="18">
                  <c:v>33.030050785016336</c:v>
                </c:pt>
                <c:pt idx="19">
                  <c:v>38.175310622549354</c:v>
                </c:pt>
                <c:pt idx="20">
                  <c:v>44.124564341117825</c:v>
                </c:pt>
                <c:pt idx="21">
                  <c:v>51.003805490763547</c:v>
                </c:pt>
                <c:pt idx="22">
                  <c:v>58.958824519858602</c:v>
                </c:pt>
                <c:pt idx="23">
                  <c:v>68.158326977231852</c:v>
                </c:pt>
                <c:pt idx="24">
                  <c:v>78.797543955252777</c:v>
                </c:pt>
                <c:pt idx="25">
                  <c:v>91.102412636626653</c:v>
                </c:pt>
                <c:pt idx="26">
                  <c:v>105.3344171465771</c:v>
                </c:pt>
                <c:pt idx="27">
                  <c:v>121.79619420959904</c:v>
                </c:pt>
                <c:pt idx="28">
                  <c:v>140.8380246774075</c:v>
                </c:pt>
                <c:pt idx="29">
                  <c:v>162.86535119300285</c:v>
                </c:pt>
                <c:pt idx="30">
                  <c:v>188.34748450328843</c:v>
                </c:pt>
                <c:pt idx="31">
                  <c:v>199.51355751778638</c:v>
                </c:pt>
                <c:pt idx="32">
                  <c:v>210.66514383022638</c:v>
                </c:pt>
                <c:pt idx="33">
                  <c:v>221.80311892887573</c:v>
                </c:pt>
                <c:pt idx="34">
                  <c:v>232.92826311152359</c:v>
                </c:pt>
                <c:pt idx="35">
                  <c:v>244.04127598646448</c:v>
                </c:pt>
                <c:pt idx="36">
                  <c:v>255.14278819065109</c:v>
                </c:pt>
                <c:pt idx="37">
                  <c:v>266.23337095942338</c:v>
                </c:pt>
                <c:pt idx="38">
                  <c:v>277.31354401665726</c:v>
                </c:pt>
                <c:pt idx="39">
                  <c:v>288.38378213683524</c:v>
                </c:pt>
                <c:pt idx="40">
                  <c:v>299.44452064603837</c:v>
                </c:pt>
                <c:pt idx="41">
                  <c:v>310.49616006710073</c:v>
                </c:pt>
                <c:pt idx="42">
                  <c:v>321.53907006842928</c:v>
                </c:pt>
                <c:pt idx="43">
                  <c:v>332.57359284169502</c:v>
                </c:pt>
                <c:pt idx="44">
                  <c:v>343.60004600760408</c:v>
                </c:pt>
                <c:pt idx="45">
                  <c:v>224.13112047558164</c:v>
                </c:pt>
                <c:pt idx="46">
                  <c:v>238.35467317528014</c:v>
                </c:pt>
                <c:pt idx="47">
                  <c:v>252.55889215676018</c:v>
                </c:pt>
                <c:pt idx="48">
                  <c:v>266.7450181566432</c:v>
                </c:pt>
                <c:pt idx="49">
                  <c:v>280.91414910453278</c:v>
                </c:pt>
                <c:pt idx="50">
                  <c:v>295.06726308753133</c:v>
                </c:pt>
                <c:pt idx="51">
                  <c:v>309.20523667449658</c:v>
                </c:pt>
                <c:pt idx="52">
                  <c:v>244.26330259426319</c:v>
                </c:pt>
                <c:pt idx="53">
                  <c:v>257.56239224116058</c:v>
                </c:pt>
                <c:pt idx="54">
                  <c:v>270.8459594722687</c:v>
                </c:pt>
                <c:pt idx="55">
                  <c:v>284.11487303705792</c:v>
                </c:pt>
                <c:pt idx="56">
                  <c:v>297.36991388001081</c:v>
                </c:pt>
                <c:pt idx="57">
                  <c:v>310.61178761677502</c:v>
                </c:pt>
                <c:pt idx="58">
                  <c:v>323.84113477018821</c:v>
                </c:pt>
                <c:pt idx="59">
                  <c:v>337.05853924534387</c:v>
                </c:pt>
                <c:pt idx="60">
                  <c:v>268.7112782938953</c:v>
                </c:pt>
                <c:pt idx="61">
                  <c:v>281.04665813680271</c:v>
                </c:pt>
                <c:pt idx="62">
                  <c:v>293.36990452899482</c:v>
                </c:pt>
                <c:pt idx="63">
                  <c:v>305.68159913713504</c:v>
                </c:pt>
                <c:pt idx="64">
                  <c:v>317.982272929065</c:v>
                </c:pt>
                <c:pt idx="65">
                  <c:v>330.27241242490169</c:v>
                </c:pt>
                <c:pt idx="66">
                  <c:v>342.55246496858553</c:v>
                </c:pt>
                <c:pt idx="67">
                  <c:v>354.82284320370565</c:v>
                </c:pt>
                <c:pt idx="68">
                  <c:v>300.43926003821406</c:v>
                </c:pt>
                <c:pt idx="69">
                  <c:v>312.22052278591252</c:v>
                </c:pt>
                <c:pt idx="70">
                  <c:v>323.99192581594804</c:v>
                </c:pt>
                <c:pt idx="71">
                  <c:v>335.75387796134402</c:v>
                </c:pt>
                <c:pt idx="72">
                  <c:v>347.5067570627578</c:v>
                </c:pt>
                <c:pt idx="73">
                  <c:v>359.25091330902154</c:v>
                </c:pt>
                <c:pt idx="74">
                  <c:v>370.98667211789854</c:v>
                </c:pt>
                <c:pt idx="75">
                  <c:v>382.71433663318339</c:v>
                </c:pt>
                <c:pt idx="76">
                  <c:v>330.27130820262437</c:v>
                </c:pt>
                <c:pt idx="77">
                  <c:v>341.64494578691387</c:v>
                </c:pt>
                <c:pt idx="78">
                  <c:v>353.01026009798289</c:v>
                </c:pt>
                <c:pt idx="79">
                  <c:v>364.3675569618012</c:v>
                </c:pt>
                <c:pt idx="80">
                  <c:v>375.71712157723732</c:v>
                </c:pt>
                <c:pt idx="81">
                  <c:v>387.05922050168732</c:v>
                </c:pt>
                <c:pt idx="82">
                  <c:v>398.39410339175623</c:v>
                </c:pt>
                <c:pt idx="83">
                  <c:v>409.72200453546321</c:v>
                </c:pt>
                <c:pt idx="84">
                  <c:v>421.0431442061294</c:v>
                </c:pt>
                <c:pt idx="85">
                  <c:v>359.6201405577101</c:v>
                </c:pt>
                <c:pt idx="86">
                  <c:v>370.47065395285722</c:v>
                </c:pt>
                <c:pt idx="87">
                  <c:v>381.31423737076875</c:v>
                </c:pt>
                <c:pt idx="88">
                  <c:v>392.15111572316761</c:v>
                </c:pt>
                <c:pt idx="89">
                  <c:v>402.98150047310645</c:v>
                </c:pt>
                <c:pt idx="90">
                  <c:v>413.80559078670422</c:v>
                </c:pt>
                <c:pt idx="91">
                  <c:v>424.62357455806983</c:v>
                </c:pt>
                <c:pt idx="92">
                  <c:v>435.43562932431655</c:v>
                </c:pt>
                <c:pt idx="93">
                  <c:v>446.24192308494509</c:v>
                </c:pt>
                <c:pt idx="94">
                  <c:v>395.19544417615924</c:v>
                </c:pt>
                <c:pt idx="95">
                  <c:v>406.01920365917562</c:v>
                </c:pt>
                <c:pt idx="96">
                  <c:v>416.83672809851947</c:v>
                </c:pt>
                <c:pt idx="97">
                  <c:v>427.64820214882644</c:v>
                </c:pt>
                <c:pt idx="98">
                  <c:v>438.45380036444539</c:v>
                </c:pt>
                <c:pt idx="99">
                  <c:v>449.25368799253255</c:v>
                </c:pt>
                <c:pt idx="100">
                  <c:v>460.04802168589998</c:v>
                </c:pt>
                <c:pt idx="101">
                  <c:v>470.83695014547044</c:v>
                </c:pt>
                <c:pt idx="102">
                  <c:v>481.62061470077691</c:v>
                </c:pt>
                <c:pt idx="103">
                  <c:v>492.39914983576364</c:v>
                </c:pt>
                <c:pt idx="104">
                  <c:v>421.75488914200605</c:v>
                </c:pt>
                <c:pt idx="105">
                  <c:v>432.23038867220362</c:v>
                </c:pt>
                <c:pt idx="106">
                  <c:v>442.70043610565153</c:v>
                </c:pt>
                <c:pt idx="107">
                  <c:v>453.16517859068671</c:v>
                </c:pt>
                <c:pt idx="108">
                  <c:v>463.6247559239294</c:v>
                </c:pt>
                <c:pt idx="109">
                  <c:v>474.07930107870487</c:v>
                </c:pt>
                <c:pt idx="110">
                  <c:v>484.52894068442293</c:v>
                </c:pt>
                <c:pt idx="111">
                  <c:v>494.97379546244878</c:v>
                </c:pt>
                <c:pt idx="112">
                  <c:v>505.41398062326749</c:v>
                </c:pt>
                <c:pt idx="113">
                  <c:v>515.84960622912308</c:v>
                </c:pt>
                <c:pt idx="114">
                  <c:v>461.95200357411198</c:v>
                </c:pt>
                <c:pt idx="115">
                  <c:v>472.83904164349178</c:v>
                </c:pt>
                <c:pt idx="116">
                  <c:v>483.72074460631808</c:v>
                </c:pt>
                <c:pt idx="117">
                  <c:v>494.59724940555299</c:v>
                </c:pt>
                <c:pt idx="118">
                  <c:v>505.4686864697278</c:v>
                </c:pt>
                <c:pt idx="119">
                  <c:v>516.33518015926472</c:v>
                </c:pt>
                <c:pt idx="120">
                  <c:v>527.19684917327379</c:v>
                </c:pt>
                <c:pt idx="121">
                  <c:v>538.0538069210852</c:v>
                </c:pt>
                <c:pt idx="122">
                  <c:v>548.90616186223372</c:v>
                </c:pt>
                <c:pt idx="123">
                  <c:v>559.75401781816606</c:v>
                </c:pt>
                <c:pt idx="124">
                  <c:v>570.59747425852868</c:v>
                </c:pt>
                <c:pt idx="125">
                  <c:v>581.43662656456797</c:v>
                </c:pt>
                <c:pt idx="126">
                  <c:v>493.6492896849968</c:v>
                </c:pt>
                <c:pt idx="127">
                  <c:v>504.39424070485211</c:v>
                </c:pt>
                <c:pt idx="128">
                  <c:v>515.13435137963563</c:v>
                </c:pt>
                <c:pt idx="129">
                  <c:v>525.86973685240321</c:v>
                </c:pt>
                <c:pt idx="130">
                  <c:v>536.60050718168884</c:v>
                </c:pt>
                <c:pt idx="131">
                  <c:v>547.32676766538123</c:v>
                </c:pt>
                <c:pt idx="132">
                  <c:v>558.0486191378925</c:v>
                </c:pt>
                <c:pt idx="133">
                  <c:v>568.76615824330497</c:v>
                </c:pt>
                <c:pt idx="134">
                  <c:v>579.47947768686356</c:v>
                </c:pt>
                <c:pt idx="135">
                  <c:v>590.18866646690458</c:v>
                </c:pt>
                <c:pt idx="136">
                  <c:v>600.89381008908106</c:v>
                </c:pt>
                <c:pt idx="137">
                  <c:v>611.59499076453187</c:v>
                </c:pt>
                <c:pt idx="138">
                  <c:v>517.4845521341457</c:v>
                </c:pt>
                <c:pt idx="139">
                  <c:v>527.93580377962724</c:v>
                </c:pt>
                <c:pt idx="140">
                  <c:v>538.38270014185616</c:v>
                </c:pt>
                <c:pt idx="141">
                  <c:v>548.82533764336756</c:v>
                </c:pt>
                <c:pt idx="142">
                  <c:v>559.26380873828998</c:v>
                </c:pt>
                <c:pt idx="143">
                  <c:v>569.69820214826711</c:v>
                </c:pt>
                <c:pt idx="144">
                  <c:v>580.12860308019992</c:v>
                </c:pt>
                <c:pt idx="145">
                  <c:v>590.55509342751941</c:v>
                </c:pt>
                <c:pt idx="146">
                  <c:v>600.97775195650604</c:v>
                </c:pt>
                <c:pt idx="147">
                  <c:v>611.39665447901677</c:v>
                </c:pt>
                <c:pt idx="148">
                  <c:v>621.81187401282932</c:v>
                </c:pt>
                <c:pt idx="149">
                  <c:v>632.22348093068604</c:v>
                </c:pt>
                <c:pt idx="150">
                  <c:v>391.75618234016855</c:v>
                </c:pt>
                <c:pt idx="151">
                  <c:v>398.12797300026745</c:v>
                </c:pt>
                <c:pt idx="152">
                  <c:v>404.49755544422732</c:v>
                </c:pt>
                <c:pt idx="153">
                  <c:v>410.86496937947453</c:v>
                </c:pt>
                <c:pt idx="154">
                  <c:v>269.86768046055812</c:v>
                </c:pt>
                <c:pt idx="155">
                  <c:v>273.75370835861008</c:v>
                </c:pt>
                <c:pt idx="156">
                  <c:v>277.63849636932508</c:v>
                </c:pt>
                <c:pt idx="157">
                  <c:v>281.5220643228285</c:v>
                </c:pt>
                <c:pt idx="158">
                  <c:v>188.71318847193186</c:v>
                </c:pt>
                <c:pt idx="159">
                  <c:v>191.14520426585958</c:v>
                </c:pt>
                <c:pt idx="160">
                  <c:v>193.57649941136523</c:v>
                </c:pt>
                <c:pt idx="161">
                  <c:v>196.00708426396639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75" t="s">
        <v>291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</row>
    <row r="13" spans="2:13" ht="15" customHeight="1" x14ac:dyDescent="0.35"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</row>
    <row r="14" spans="2:13" ht="15" customHeight="1" x14ac:dyDescent="0.35"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</row>
    <row r="15" spans="2:13" ht="18.75" customHeight="1" x14ac:dyDescent="0.35"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</row>
    <row r="16" spans="2:13" ht="18.75" customHeight="1" x14ac:dyDescent="0.35"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</row>
    <row r="18" spans="2:13" ht="12" customHeight="1" x14ac:dyDescent="0.35">
      <c r="B18" s="275" t="s">
        <v>292</v>
      </c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</row>
    <row r="19" spans="2:13" ht="12" customHeight="1" x14ac:dyDescent="0.35"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</row>
    <row r="20" spans="2:13" ht="12" customHeight="1" x14ac:dyDescent="0.35">
      <c r="B20" s="275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</row>
    <row r="21" spans="2:13" ht="12" customHeight="1" x14ac:dyDescent="0.35">
      <c r="B21" s="275"/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</row>
    <row r="22" spans="2:13" ht="12" customHeight="1" x14ac:dyDescent="0.35"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</row>
    <row r="23" spans="2:13" ht="12" customHeight="1" x14ac:dyDescent="0.35"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</row>
    <row r="24" spans="2:13" ht="12" customHeight="1" x14ac:dyDescent="0.35"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</row>
    <row r="25" spans="2:13" ht="12" customHeight="1" x14ac:dyDescent="0.35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</row>
    <row r="26" spans="2:13" ht="12" customHeight="1" x14ac:dyDescent="0.35"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</row>
    <row r="27" spans="2:13" ht="12" customHeight="1" x14ac:dyDescent="0.35">
      <c r="B27" s="275"/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</row>
    <row r="28" spans="2:13" ht="12" customHeight="1" x14ac:dyDescent="0.35"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75"/>
    </row>
    <row r="29" spans="2:13" ht="12" customHeight="1" x14ac:dyDescent="0.35"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</row>
    <row r="30" spans="2:13" ht="12" customHeight="1" x14ac:dyDescent="0.35">
      <c r="B30" s="275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</row>
    <row r="31" spans="2:13" ht="12" customHeight="1" x14ac:dyDescent="0.35">
      <c r="B31" s="275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50" zoomScaleNormal="50" workbookViewId="0">
      <selection activeCell="C12" sqref="C12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6" t="s">
        <v>190</v>
      </c>
      <c r="D1" s="276"/>
      <c r="E1" s="27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81" t="s">
        <v>192</v>
      </c>
      <c r="C3" s="282"/>
      <c r="D3" s="282"/>
      <c r="E3" s="282"/>
      <c r="F3" s="283"/>
      <c r="G3" s="88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9"/>
      <c r="B4" s="89"/>
      <c r="C4" s="89"/>
      <c r="D4" s="89"/>
      <c r="E4" s="89"/>
      <c r="F4" s="89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86" t="s">
        <v>231</v>
      </c>
      <c r="B5" s="286"/>
      <c r="C5" s="24">
        <v>19.53</v>
      </c>
      <c r="D5" s="287" t="s">
        <v>229</v>
      </c>
      <c r="E5" s="288"/>
      <c r="F5" s="89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0"/>
      <c r="B6" s="90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85" t="s">
        <v>226</v>
      </c>
      <c r="B7" s="285"/>
      <c r="C7" s="89"/>
      <c r="D7" s="89"/>
      <c r="E7" s="4"/>
      <c r="F7" s="89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56" t="s">
        <v>164</v>
      </c>
      <c r="C9" s="257">
        <v>0.47</v>
      </c>
      <c r="D9" s="33">
        <f t="shared" ref="D9:D18" si="0">C9*$C$5</f>
        <v>9.1791</v>
      </c>
      <c r="E9" s="259">
        <v>105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56" t="s">
        <v>35</v>
      </c>
      <c r="C10" s="258">
        <v>0.16</v>
      </c>
      <c r="D10" s="33">
        <f t="shared" si="0"/>
        <v>3.1248000000000005</v>
      </c>
      <c r="E10" s="260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56" t="s">
        <v>14</v>
      </c>
      <c r="C11" s="257">
        <v>0.28999999999999998</v>
      </c>
      <c r="D11" s="33">
        <f t="shared" si="0"/>
        <v>5.6636999999999995</v>
      </c>
      <c r="E11" s="260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56" t="s">
        <v>12</v>
      </c>
      <c r="C12" s="257">
        <v>2.9100000000000001E-2</v>
      </c>
      <c r="D12" s="33">
        <f t="shared" si="0"/>
        <v>0.56832300000000002</v>
      </c>
      <c r="E12" s="260">
        <v>131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256" t="s">
        <v>16</v>
      </c>
      <c r="C13" s="258">
        <v>0.01</v>
      </c>
      <c r="D13" s="33">
        <f t="shared" si="0"/>
        <v>0.19530000000000003</v>
      </c>
      <c r="E13" s="260">
        <v>161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256" t="s">
        <v>10</v>
      </c>
      <c r="C14" s="257">
        <v>1.4500000000000001E-2</v>
      </c>
      <c r="D14" s="33">
        <f t="shared" si="0"/>
        <v>0.28318500000000002</v>
      </c>
      <c r="E14" s="260">
        <v>161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256" t="s">
        <v>1</v>
      </c>
      <c r="C15" s="257">
        <v>2.9100000000000001E-2</v>
      </c>
      <c r="D15" s="33">
        <f t="shared" si="0"/>
        <v>0.56832300000000002</v>
      </c>
      <c r="E15" s="260">
        <v>161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1.0026999999999999</v>
      </c>
      <c r="D19" s="38">
        <f>SUM(D9:D18)</f>
        <v>19.582730999999999</v>
      </c>
      <c r="E19" s="4"/>
      <c r="F19" s="91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Erreur : corrigez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84" t="s">
        <v>232</v>
      </c>
      <c r="B22" s="28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2"/>
      <c r="F24" s="92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3"/>
      <c r="E25" s="4"/>
      <c r="F25" s="93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2"/>
      <c r="F26" s="92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2"/>
      <c r="F27" s="92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85" t="s">
        <v>227</v>
      </c>
      <c r="B30" s="285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Cèdre de l'Atlas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77" t="s">
        <v>186</v>
      </c>
      <c r="D34" s="277"/>
      <c r="E34" s="278" t="s">
        <v>187</v>
      </c>
      <c r="F34" s="279"/>
      <c r="G34" s="279"/>
      <c r="H34" s="280"/>
      <c r="I34" s="94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1">
        <v>30</v>
      </c>
      <c r="B36" s="262">
        <v>216.79230769230767</v>
      </c>
      <c r="C36" s="263" t="s">
        <v>324</v>
      </c>
      <c r="D36" s="262">
        <v>0</v>
      </c>
      <c r="E36" s="264">
        <v>0.7</v>
      </c>
      <c r="F36" s="264">
        <v>0.16800000000000001</v>
      </c>
      <c r="G36" s="264">
        <v>0.13200000000000001</v>
      </c>
      <c r="H36" s="264">
        <v>0</v>
      </c>
      <c r="I36" s="49">
        <f>IFERROR(B36/A36,"")</f>
        <v>7.2264102564102561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5">
        <v>42</v>
      </c>
      <c r="B37" s="266">
        <v>410.3692307692308</v>
      </c>
      <c r="C37" s="267">
        <v>1</v>
      </c>
      <c r="D37" s="266">
        <v>179.84615384615384</v>
      </c>
      <c r="E37" s="268">
        <v>0</v>
      </c>
      <c r="F37" s="268">
        <v>0.56000000000000005</v>
      </c>
      <c r="G37" s="268">
        <v>0.44</v>
      </c>
      <c r="H37" s="268">
        <v>0</v>
      </c>
      <c r="I37" s="53">
        <f t="shared" ref="I37:I55" si="1">IF(A37&lt;&gt;0,(B37-(B36-D36))/(A37-A36),"")</f>
        <v>16.131410256410259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5">
        <v>49</v>
      </c>
      <c r="B38" s="266">
        <v>339.85384615384612</v>
      </c>
      <c r="C38" s="267">
        <v>2</v>
      </c>
      <c r="D38" s="266">
        <v>94.476923076923072</v>
      </c>
      <c r="E38" s="268">
        <v>0.7</v>
      </c>
      <c r="F38" s="268">
        <v>0.16800000000000001</v>
      </c>
      <c r="G38" s="268">
        <v>0.13200000000000001</v>
      </c>
      <c r="H38" s="268">
        <v>0</v>
      </c>
      <c r="I38" s="53">
        <f t="shared" si="1"/>
        <v>15.618681318681309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5">
        <v>56</v>
      </c>
      <c r="B39" s="266">
        <v>348.05384615384617</v>
      </c>
      <c r="C39" s="267">
        <v>3</v>
      </c>
      <c r="D39" s="266">
        <v>72.769230769230759</v>
      </c>
      <c r="E39" s="268">
        <v>0.7</v>
      </c>
      <c r="F39" s="268">
        <v>0.16800000000000001</v>
      </c>
      <c r="G39" s="268">
        <v>0.13200000000000001</v>
      </c>
      <c r="H39" s="268">
        <v>0</v>
      </c>
      <c r="I39" s="49">
        <f t="shared" si="1"/>
        <v>14.668131868131875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5">
        <v>63</v>
      </c>
      <c r="B40" s="266">
        <v>375.17692307692306</v>
      </c>
      <c r="C40" s="267">
        <v>4</v>
      </c>
      <c r="D40" s="266">
        <v>71.123076923076923</v>
      </c>
      <c r="E40" s="268">
        <v>0.7</v>
      </c>
      <c r="F40" s="268">
        <v>0.16800000000000001</v>
      </c>
      <c r="G40" s="268">
        <v>0.13200000000000001</v>
      </c>
      <c r="H40" s="268">
        <v>0</v>
      </c>
      <c r="I40" s="49">
        <f t="shared" si="1"/>
        <v>14.270329670329668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5">
        <v>71</v>
      </c>
      <c r="B41" s="266">
        <v>413.95384615384614</v>
      </c>
      <c r="C41" s="267">
        <v>5</v>
      </c>
      <c r="D41" s="266">
        <v>80.399999999999991</v>
      </c>
      <c r="E41" s="268">
        <v>0.7</v>
      </c>
      <c r="F41" s="268">
        <v>0.16800000000000001</v>
      </c>
      <c r="G41" s="268">
        <v>0.13200000000000001</v>
      </c>
      <c r="H41" s="268">
        <v>0</v>
      </c>
      <c r="I41" s="53">
        <f t="shared" si="1"/>
        <v>13.737499999999997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5">
        <v>79</v>
      </c>
      <c r="B42" s="266">
        <v>436.86153846153843</v>
      </c>
      <c r="C42" s="267">
        <v>6</v>
      </c>
      <c r="D42" s="266">
        <v>77.338461538461544</v>
      </c>
      <c r="E42" s="268">
        <v>0.7</v>
      </c>
      <c r="F42" s="268">
        <v>0.16800000000000001</v>
      </c>
      <c r="G42" s="268">
        <v>0.13200000000000001</v>
      </c>
      <c r="H42" s="268">
        <v>0</v>
      </c>
      <c r="I42" s="53">
        <f t="shared" si="1"/>
        <v>12.913461538461533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5">
        <v>87</v>
      </c>
      <c r="B43" s="266">
        <v>456.51538461538462</v>
      </c>
      <c r="C43" s="267">
        <v>7</v>
      </c>
      <c r="D43" s="266">
        <v>77.330769230769235</v>
      </c>
      <c r="E43" s="268">
        <v>0.7</v>
      </c>
      <c r="F43" s="268">
        <v>0.16800000000000001</v>
      </c>
      <c r="G43" s="268">
        <v>0.13200000000000001</v>
      </c>
      <c r="H43" s="268">
        <v>0</v>
      </c>
      <c r="I43" s="49">
        <f t="shared" si="1"/>
        <v>12.124038461538468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5">
        <v>95</v>
      </c>
      <c r="B44" s="266">
        <v>469.12307692307689</v>
      </c>
      <c r="C44" s="267">
        <v>8</v>
      </c>
      <c r="D44" s="266">
        <v>234.42307692307691</v>
      </c>
      <c r="E44" s="268">
        <v>0.7</v>
      </c>
      <c r="F44" s="268">
        <v>0.16800000000000001</v>
      </c>
      <c r="G44" s="268">
        <v>0.13200000000000001</v>
      </c>
      <c r="H44" s="268">
        <v>0</v>
      </c>
      <c r="I44" s="49">
        <f t="shared" si="1"/>
        <v>11.242307692307691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105</v>
      </c>
      <c r="B45" s="60">
        <v>309.71538461538461</v>
      </c>
      <c r="C45" s="60">
        <v>9</v>
      </c>
      <c r="D45" s="60">
        <v>309.71538461538461</v>
      </c>
      <c r="E45" s="51">
        <v>0.7</v>
      </c>
      <c r="F45" s="51">
        <v>0.16800000000000001</v>
      </c>
      <c r="G45" s="51">
        <v>0.13200000000000001</v>
      </c>
      <c r="H45" s="51">
        <v>0</v>
      </c>
      <c r="I45" s="49">
        <f t="shared" si="1"/>
        <v>7.5015384615384617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Pin laricio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5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77" t="s">
        <v>186</v>
      </c>
      <c r="D60" s="277"/>
      <c r="E60" s="278" t="s">
        <v>187</v>
      </c>
      <c r="F60" s="279"/>
      <c r="G60" s="279"/>
      <c r="H60" s="280"/>
      <c r="I60" s="94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19</v>
      </c>
      <c r="B62" s="262">
        <v>127.98461538461538</v>
      </c>
      <c r="C62" s="263">
        <v>1</v>
      </c>
      <c r="D62" s="262">
        <v>46.53846153846154</v>
      </c>
      <c r="E62" s="264">
        <v>0</v>
      </c>
      <c r="F62" s="264">
        <v>0.56000000000000005</v>
      </c>
      <c r="G62" s="264">
        <v>0.44</v>
      </c>
      <c r="H62" s="264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5">
        <v>24</v>
      </c>
      <c r="B63" s="266">
        <v>159.94615384615383</v>
      </c>
      <c r="C63" s="267">
        <v>2</v>
      </c>
      <c r="D63" s="266">
        <v>40.41538461538461</v>
      </c>
      <c r="E63" s="268">
        <v>0.7</v>
      </c>
      <c r="F63" s="268">
        <v>0.16800000000000001</v>
      </c>
      <c r="G63" s="268">
        <v>0.13200000000000001</v>
      </c>
      <c r="H63" s="268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5">
        <v>30</v>
      </c>
      <c r="B64" s="266">
        <v>215.65384615384616</v>
      </c>
      <c r="C64" s="267">
        <v>3</v>
      </c>
      <c r="D64" s="266">
        <v>55.869230769230761</v>
      </c>
      <c r="E64" s="268">
        <v>0.7</v>
      </c>
      <c r="F64" s="268">
        <v>0.16800000000000001</v>
      </c>
      <c r="G64" s="268">
        <v>0.13200000000000001</v>
      </c>
      <c r="H64" s="268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5">
        <v>37</v>
      </c>
      <c r="B65" s="266">
        <v>268.16923076923075</v>
      </c>
      <c r="C65" s="267">
        <v>4</v>
      </c>
      <c r="D65" s="266">
        <v>43.623076923076923</v>
      </c>
      <c r="E65" s="268">
        <v>0.7</v>
      </c>
      <c r="F65" s="268">
        <v>0.16800000000000001</v>
      </c>
      <c r="G65" s="268">
        <v>0.13200000000000001</v>
      </c>
      <c r="H65" s="268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5">
        <v>46</v>
      </c>
      <c r="B66" s="266">
        <v>362.82307692307688</v>
      </c>
      <c r="C66" s="267">
        <v>5</v>
      </c>
      <c r="D66" s="266">
        <v>72.561538461538461</v>
      </c>
      <c r="E66" s="268">
        <v>0.7</v>
      </c>
      <c r="F66" s="268">
        <v>0.16800000000000001</v>
      </c>
      <c r="G66" s="268">
        <v>0.13200000000000001</v>
      </c>
      <c r="H66" s="268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5">
        <v>56</v>
      </c>
      <c r="B67" s="266">
        <v>428.20000000000005</v>
      </c>
      <c r="C67" s="267">
        <v>6</v>
      </c>
      <c r="D67" s="266">
        <v>60.092307692307692</v>
      </c>
      <c r="E67" s="268">
        <v>0.7</v>
      </c>
      <c r="F67" s="268">
        <v>0.16800000000000001</v>
      </c>
      <c r="G67" s="268">
        <v>0.13200000000000001</v>
      </c>
      <c r="H67" s="268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5">
        <v>66</v>
      </c>
      <c r="B68" s="266">
        <v>488.65384615384613</v>
      </c>
      <c r="C68" s="267">
        <v>7</v>
      </c>
      <c r="D68" s="266">
        <v>68.146153846153851</v>
      </c>
      <c r="E68" s="268">
        <v>0.7</v>
      </c>
      <c r="F68" s="268">
        <v>0.16800000000000001</v>
      </c>
      <c r="G68" s="268">
        <v>0.13200000000000001</v>
      </c>
      <c r="H68" s="268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5">
        <v>76</v>
      </c>
      <c r="B69" s="266">
        <v>520.22307692307686</v>
      </c>
      <c r="C69" s="267">
        <v>8</v>
      </c>
      <c r="D69" s="266">
        <v>520.22307692307686</v>
      </c>
      <c r="E69" s="268">
        <v>0.7</v>
      </c>
      <c r="F69" s="268">
        <v>0.16800000000000001</v>
      </c>
      <c r="G69" s="268">
        <v>0.13200000000000001</v>
      </c>
      <c r="H69" s="268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5"/>
      <c r="B70" s="266"/>
      <c r="C70" s="267"/>
      <c r="D70" s="266"/>
      <c r="E70" s="268"/>
      <c r="F70" s="268"/>
      <c r="G70" s="268"/>
      <c r="H70" s="268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5"/>
      <c r="B71" s="266"/>
      <c r="C71" s="267"/>
      <c r="D71" s="266"/>
      <c r="E71" s="268"/>
      <c r="F71" s="268"/>
      <c r="G71" s="268"/>
      <c r="H71" s="268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5"/>
      <c r="B72" s="266"/>
      <c r="C72" s="267"/>
      <c r="D72" s="266"/>
      <c r="E72" s="268"/>
      <c r="F72" s="268"/>
      <c r="G72" s="268"/>
      <c r="H72" s="268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sessile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5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77" t="s">
        <v>186</v>
      </c>
      <c r="D86" s="277"/>
      <c r="E86" s="278" t="s">
        <v>187</v>
      </c>
      <c r="F86" s="279"/>
      <c r="G86" s="279"/>
      <c r="H86" s="280"/>
      <c r="I86" s="9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9">
        <v>30</v>
      </c>
      <c r="B88" s="270">
        <v>121.88461538461537</v>
      </c>
      <c r="C88" s="263" t="s">
        <v>324</v>
      </c>
      <c r="D88" s="270">
        <v>0</v>
      </c>
      <c r="E88" s="264">
        <v>0</v>
      </c>
      <c r="F88" s="264">
        <v>0</v>
      </c>
      <c r="G88" s="264">
        <v>0</v>
      </c>
      <c r="H88" s="264">
        <v>0</v>
      </c>
      <c r="I88" s="53">
        <f>IFERROR(B88/A88,"")</f>
        <v>4.0628205128205126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71">
        <v>35</v>
      </c>
      <c r="B89" s="272">
        <v>162.16666666666669</v>
      </c>
      <c r="C89" s="267">
        <v>1</v>
      </c>
      <c r="D89" s="272">
        <v>60.602564102564102</v>
      </c>
      <c r="E89" s="268">
        <v>0</v>
      </c>
      <c r="F89" s="268">
        <v>0</v>
      </c>
      <c r="G89" s="268">
        <v>0</v>
      </c>
      <c r="H89" s="268">
        <v>1</v>
      </c>
      <c r="I89" s="53">
        <f t="shared" ref="I89:I107" si="3">IF(A89&lt;&gt;0,(B89-(B88-D88))/(A89-A88),"")</f>
        <v>8.0564102564102633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71">
        <v>41</v>
      </c>
      <c r="B90" s="272">
        <v>157.44871794871796</v>
      </c>
      <c r="C90" s="267">
        <v>2</v>
      </c>
      <c r="D90" s="272">
        <v>38.512820512820511</v>
      </c>
      <c r="E90" s="268">
        <v>0</v>
      </c>
      <c r="F90" s="268">
        <v>0</v>
      </c>
      <c r="G90" s="268">
        <v>0</v>
      </c>
      <c r="H90" s="268">
        <v>1</v>
      </c>
      <c r="I90" s="53">
        <f t="shared" si="3"/>
        <v>9.3141025641025621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71">
        <v>48</v>
      </c>
      <c r="B91" s="272">
        <v>184.35256410256409</v>
      </c>
      <c r="C91" s="267">
        <v>3</v>
      </c>
      <c r="D91" s="272">
        <v>48.025641025641022</v>
      </c>
      <c r="E91" s="268">
        <v>0</v>
      </c>
      <c r="F91" s="268">
        <v>0</v>
      </c>
      <c r="G91" s="268">
        <v>0</v>
      </c>
      <c r="H91" s="268">
        <v>1</v>
      </c>
      <c r="I91" s="53">
        <f t="shared" si="3"/>
        <v>9.3452380952380913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71">
        <v>55</v>
      </c>
      <c r="B92" s="272">
        <v>198.44230769230768</v>
      </c>
      <c r="C92" s="267">
        <v>4</v>
      </c>
      <c r="D92" s="272">
        <v>45.147435897435898</v>
      </c>
      <c r="E92" s="268">
        <v>0</v>
      </c>
      <c r="F92" s="268">
        <v>0</v>
      </c>
      <c r="G92" s="268">
        <v>0</v>
      </c>
      <c r="H92" s="268">
        <v>1</v>
      </c>
      <c r="I92" s="53">
        <f t="shared" si="3"/>
        <v>8.8736263736263741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71">
        <v>63</v>
      </c>
      <c r="B93" s="267">
        <v>220.28846153846152</v>
      </c>
      <c r="C93" s="267">
        <v>5</v>
      </c>
      <c r="D93" s="267">
        <v>41.724358974358978</v>
      </c>
      <c r="E93" s="268">
        <v>0.7</v>
      </c>
      <c r="F93" s="268">
        <v>0</v>
      </c>
      <c r="G93" s="268">
        <v>0</v>
      </c>
      <c r="H93" s="268">
        <v>0.3</v>
      </c>
      <c r="I93" s="53">
        <f t="shared" si="3"/>
        <v>8.374198717948719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71">
        <v>71</v>
      </c>
      <c r="B94" s="267">
        <v>243.36538461538464</v>
      </c>
      <c r="C94" s="267">
        <v>6</v>
      </c>
      <c r="D94" s="267">
        <v>39.935897435897431</v>
      </c>
      <c r="E94" s="268">
        <v>0.7</v>
      </c>
      <c r="F94" s="268">
        <v>0</v>
      </c>
      <c r="G94" s="268">
        <v>0</v>
      </c>
      <c r="H94" s="268">
        <v>0.3</v>
      </c>
      <c r="I94" s="53">
        <f t="shared" si="3"/>
        <v>8.1001602564102626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71">
        <v>80</v>
      </c>
      <c r="B95" s="267">
        <v>274.01282051282055</v>
      </c>
      <c r="C95" s="267">
        <v>7</v>
      </c>
      <c r="D95" s="267">
        <v>45.608974358974358</v>
      </c>
      <c r="E95" s="268">
        <v>0.7</v>
      </c>
      <c r="F95" s="268">
        <v>0</v>
      </c>
      <c r="G95" s="268">
        <v>0</v>
      </c>
      <c r="H95" s="268">
        <v>0.3</v>
      </c>
      <c r="I95" s="53">
        <f t="shared" si="3"/>
        <v>7.8425925925925934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71">
        <v>89</v>
      </c>
      <c r="B96" s="267">
        <v>295.85897435897436</v>
      </c>
      <c r="C96" s="267">
        <v>8</v>
      </c>
      <c r="D96" s="267">
        <v>49.391025641025635</v>
      </c>
      <c r="E96" s="268">
        <v>0.7</v>
      </c>
      <c r="F96" s="268">
        <v>0</v>
      </c>
      <c r="G96" s="268">
        <v>0</v>
      </c>
      <c r="H96" s="268">
        <v>0.3</v>
      </c>
      <c r="I96" s="53">
        <f t="shared" si="3"/>
        <v>7.4950142450142421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71">
        <v>99</v>
      </c>
      <c r="B97" s="267">
        <v>318.25</v>
      </c>
      <c r="C97" s="267">
        <v>9</v>
      </c>
      <c r="D97" s="267">
        <v>48.019230769230766</v>
      </c>
      <c r="E97" s="268">
        <v>0.7</v>
      </c>
      <c r="F97" s="268">
        <v>0</v>
      </c>
      <c r="G97" s="268">
        <v>0</v>
      </c>
      <c r="H97" s="268">
        <v>0.3</v>
      </c>
      <c r="I97" s="53">
        <f t="shared" si="3"/>
        <v>7.1782051282051267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71">
        <v>109</v>
      </c>
      <c r="B98" s="267">
        <v>340.16666666666663</v>
      </c>
      <c r="C98" s="267">
        <v>10</v>
      </c>
      <c r="D98" s="267">
        <v>51.28846153846154</v>
      </c>
      <c r="E98" s="268">
        <v>0.9</v>
      </c>
      <c r="F98" s="268">
        <v>0</v>
      </c>
      <c r="G98" s="268">
        <v>0</v>
      </c>
      <c r="H98" s="268">
        <v>0.1</v>
      </c>
      <c r="I98" s="53">
        <f t="shared" si="3"/>
        <v>6.9935897435897401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71">
        <v>119</v>
      </c>
      <c r="B99" s="267">
        <v>357.33974358974359</v>
      </c>
      <c r="C99" s="267">
        <v>11</v>
      </c>
      <c r="D99" s="267">
        <v>150.02564102564102</v>
      </c>
      <c r="E99" s="268">
        <v>0.9</v>
      </c>
      <c r="F99" s="268">
        <v>0</v>
      </c>
      <c r="G99" s="268">
        <v>0</v>
      </c>
      <c r="H99" s="268">
        <v>0.1</v>
      </c>
      <c r="I99" s="53">
        <f t="shared" si="3"/>
        <v>6.8461538461538511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123</v>
      </c>
      <c r="B100" s="60">
        <v>222.63461538461539</v>
      </c>
      <c r="C100" s="60">
        <v>12</v>
      </c>
      <c r="D100" s="60">
        <v>77.17307692307692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3.8301282051282044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127</v>
      </c>
      <c r="B101" s="60">
        <v>154.80128205128204</v>
      </c>
      <c r="C101" s="60">
        <v>13</v>
      </c>
      <c r="D101" s="60">
        <v>49.916666666666671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2.3349358974358978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131</v>
      </c>
      <c r="B102" s="50">
        <v>110.91025641025641</v>
      </c>
      <c r="C102" s="60">
        <v>14</v>
      </c>
      <c r="D102" s="50">
        <v>110.91025641025641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1.5064102564102591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Chêne pubescent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5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77" t="s">
        <v>186</v>
      </c>
      <c r="D112" s="277"/>
      <c r="E112" s="278" t="s">
        <v>187</v>
      </c>
      <c r="F112" s="279"/>
      <c r="G112" s="279"/>
      <c r="H112" s="280"/>
      <c r="I112" s="9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9">
        <v>30</v>
      </c>
      <c r="B114" s="270">
        <v>121.88461538461537</v>
      </c>
      <c r="C114" s="263" t="s">
        <v>324</v>
      </c>
      <c r="D114" s="270">
        <v>0</v>
      </c>
      <c r="E114" s="264">
        <v>0</v>
      </c>
      <c r="F114" s="264">
        <v>0</v>
      </c>
      <c r="G114" s="264">
        <v>0</v>
      </c>
      <c r="H114" s="264">
        <v>0</v>
      </c>
      <c r="I114" s="53">
        <f>IFERROR(B114/A114,"")</f>
        <v>4.0628205128205126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71">
        <v>35</v>
      </c>
      <c r="B115" s="272">
        <v>162.16666666666669</v>
      </c>
      <c r="C115" s="267">
        <v>1</v>
      </c>
      <c r="D115" s="272">
        <v>60.602564102564102</v>
      </c>
      <c r="E115" s="268">
        <v>0</v>
      </c>
      <c r="F115" s="268">
        <v>0</v>
      </c>
      <c r="G115" s="268">
        <v>0</v>
      </c>
      <c r="H115" s="268">
        <v>1</v>
      </c>
      <c r="I115" s="53">
        <f t="shared" ref="I115:I133" si="4">IF(A115&lt;&gt;0,(B115-(B114-D114))/(A115-A114),"")</f>
        <v>8.0564102564102633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71">
        <v>41</v>
      </c>
      <c r="B116" s="272">
        <v>157.44871794871796</v>
      </c>
      <c r="C116" s="267">
        <v>2</v>
      </c>
      <c r="D116" s="272">
        <v>38.512820512820511</v>
      </c>
      <c r="E116" s="268">
        <v>0</v>
      </c>
      <c r="F116" s="268">
        <v>0</v>
      </c>
      <c r="G116" s="268">
        <v>0</v>
      </c>
      <c r="H116" s="268">
        <v>1</v>
      </c>
      <c r="I116" s="53">
        <f t="shared" si="4"/>
        <v>9.3141025641025621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71">
        <v>48</v>
      </c>
      <c r="B117" s="272">
        <v>184.35256410256409</v>
      </c>
      <c r="C117" s="267">
        <v>3</v>
      </c>
      <c r="D117" s="272">
        <v>48.025641025641022</v>
      </c>
      <c r="E117" s="268">
        <v>0</v>
      </c>
      <c r="F117" s="268">
        <v>0</v>
      </c>
      <c r="G117" s="268">
        <v>0</v>
      </c>
      <c r="H117" s="268">
        <v>1</v>
      </c>
      <c r="I117" s="53">
        <f t="shared" si="4"/>
        <v>9.3452380952380913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71">
        <v>55</v>
      </c>
      <c r="B118" s="272">
        <v>198.44230769230768</v>
      </c>
      <c r="C118" s="267">
        <v>4</v>
      </c>
      <c r="D118" s="272">
        <v>45.147435897435898</v>
      </c>
      <c r="E118" s="268">
        <v>0</v>
      </c>
      <c r="F118" s="268">
        <v>0</v>
      </c>
      <c r="G118" s="268">
        <v>0</v>
      </c>
      <c r="H118" s="268">
        <v>1</v>
      </c>
      <c r="I118" s="53">
        <f t="shared" si="4"/>
        <v>8.8736263736263741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71">
        <v>63</v>
      </c>
      <c r="B119" s="267">
        <v>220.28846153846152</v>
      </c>
      <c r="C119" s="267">
        <v>5</v>
      </c>
      <c r="D119" s="267">
        <v>41.724358974358978</v>
      </c>
      <c r="E119" s="268">
        <v>0.7</v>
      </c>
      <c r="F119" s="268">
        <v>0</v>
      </c>
      <c r="G119" s="268">
        <v>0</v>
      </c>
      <c r="H119" s="268">
        <v>0.3</v>
      </c>
      <c r="I119" s="53">
        <f t="shared" si="4"/>
        <v>8.374198717948719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71">
        <v>71</v>
      </c>
      <c r="B120" s="267">
        <v>243.36538461538464</v>
      </c>
      <c r="C120" s="267">
        <v>6</v>
      </c>
      <c r="D120" s="267">
        <v>39.935897435897431</v>
      </c>
      <c r="E120" s="268">
        <v>0.7</v>
      </c>
      <c r="F120" s="268">
        <v>0</v>
      </c>
      <c r="G120" s="268">
        <v>0</v>
      </c>
      <c r="H120" s="268">
        <v>0.3</v>
      </c>
      <c r="I120" s="53">
        <f t="shared" si="4"/>
        <v>8.1001602564102626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71">
        <v>80</v>
      </c>
      <c r="B121" s="267">
        <v>274.01282051282055</v>
      </c>
      <c r="C121" s="267">
        <v>7</v>
      </c>
      <c r="D121" s="267">
        <v>45.608974358974358</v>
      </c>
      <c r="E121" s="268">
        <v>0.7</v>
      </c>
      <c r="F121" s="268">
        <v>0</v>
      </c>
      <c r="G121" s="268">
        <v>0</v>
      </c>
      <c r="H121" s="268">
        <v>0.3</v>
      </c>
      <c r="I121" s="53">
        <f t="shared" si="4"/>
        <v>7.8425925925925934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71">
        <v>89</v>
      </c>
      <c r="B122" s="267">
        <v>295.85897435897436</v>
      </c>
      <c r="C122" s="267">
        <v>8</v>
      </c>
      <c r="D122" s="267">
        <v>49.391025641025635</v>
      </c>
      <c r="E122" s="268">
        <v>0.7</v>
      </c>
      <c r="F122" s="268">
        <v>0</v>
      </c>
      <c r="G122" s="268">
        <v>0</v>
      </c>
      <c r="H122" s="268">
        <v>0.3</v>
      </c>
      <c r="I122" s="53">
        <f t="shared" si="4"/>
        <v>7.4950142450142421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71">
        <v>99</v>
      </c>
      <c r="B123" s="267">
        <v>318.25</v>
      </c>
      <c r="C123" s="267">
        <v>9</v>
      </c>
      <c r="D123" s="267">
        <v>48.019230769230766</v>
      </c>
      <c r="E123" s="268">
        <v>0.7</v>
      </c>
      <c r="F123" s="268">
        <v>0</v>
      </c>
      <c r="G123" s="268">
        <v>0</v>
      </c>
      <c r="H123" s="268">
        <v>0.3</v>
      </c>
      <c r="I123" s="53">
        <f t="shared" si="4"/>
        <v>7.1782051282051267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71">
        <v>109</v>
      </c>
      <c r="B124" s="267">
        <v>340.16666666666663</v>
      </c>
      <c r="C124" s="267">
        <v>10</v>
      </c>
      <c r="D124" s="267">
        <v>51.28846153846154</v>
      </c>
      <c r="E124" s="268">
        <v>0.9</v>
      </c>
      <c r="F124" s="268">
        <v>0</v>
      </c>
      <c r="G124" s="268">
        <v>0</v>
      </c>
      <c r="H124" s="268">
        <v>0.1</v>
      </c>
      <c r="I124" s="53">
        <f t="shared" si="4"/>
        <v>6.9935897435897401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71">
        <v>119</v>
      </c>
      <c r="B125" s="267">
        <v>357.33974358974359</v>
      </c>
      <c r="C125" s="267">
        <v>11</v>
      </c>
      <c r="D125" s="267">
        <v>150.02564102564102</v>
      </c>
      <c r="E125" s="268">
        <v>0.9</v>
      </c>
      <c r="F125" s="268">
        <v>0</v>
      </c>
      <c r="G125" s="268">
        <v>0</v>
      </c>
      <c r="H125" s="268">
        <v>0.1</v>
      </c>
      <c r="I125" s="53">
        <f t="shared" si="4"/>
        <v>6.8461538461538511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123</v>
      </c>
      <c r="B126" s="60">
        <v>222.63461538461539</v>
      </c>
      <c r="C126" s="60">
        <v>12</v>
      </c>
      <c r="D126" s="60">
        <v>77.17307692307692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4"/>
        <v>3.8301282051282044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127</v>
      </c>
      <c r="B127" s="60">
        <v>154.80128205128204</v>
      </c>
      <c r="C127" s="60">
        <v>13</v>
      </c>
      <c r="D127" s="60">
        <v>49.916666666666671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2.3349358974358978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131</v>
      </c>
      <c r="B128" s="50">
        <v>110.91025641025641</v>
      </c>
      <c r="C128" s="50">
        <v>14</v>
      </c>
      <c r="D128" s="50">
        <v>110.91025641025641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1.5064102564102591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Chêne vert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5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77" t="s">
        <v>186</v>
      </c>
      <c r="D138" s="277"/>
      <c r="E138" s="278" t="s">
        <v>187</v>
      </c>
      <c r="F138" s="279"/>
      <c r="G138" s="279"/>
      <c r="H138" s="280"/>
      <c r="I138" s="9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69">
        <v>30</v>
      </c>
      <c r="B140" s="270">
        <v>87.705128205128204</v>
      </c>
      <c r="C140" s="263" t="s">
        <v>324</v>
      </c>
      <c r="D140" s="270">
        <v>0</v>
      </c>
      <c r="E140" s="264">
        <v>0</v>
      </c>
      <c r="F140" s="264">
        <v>0</v>
      </c>
      <c r="G140" s="264">
        <v>0</v>
      </c>
      <c r="H140" s="264">
        <v>0</v>
      </c>
      <c r="I140" s="57">
        <f>IFERROR(B140/A140,"")</f>
        <v>2.9235042735042733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71">
        <v>44</v>
      </c>
      <c r="B141" s="272">
        <v>162.42307692307691</v>
      </c>
      <c r="C141" s="267">
        <v>1</v>
      </c>
      <c r="D141" s="272">
        <v>64.416666666666657</v>
      </c>
      <c r="E141" s="268">
        <v>0</v>
      </c>
      <c r="F141" s="268">
        <v>0</v>
      </c>
      <c r="G141" s="268">
        <v>0</v>
      </c>
      <c r="H141" s="268">
        <v>1</v>
      </c>
      <c r="I141" s="57">
        <f t="shared" ref="I141:I159" si="5">IF(A141&lt;&gt;0,(B141-(B140-D140))/(A141-A140),"")</f>
        <v>5.3369963369963358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71">
        <v>51</v>
      </c>
      <c r="B142" s="272">
        <v>145.78846153846152</v>
      </c>
      <c r="C142" s="267">
        <v>2</v>
      </c>
      <c r="D142" s="272">
        <v>37.685897435897431</v>
      </c>
      <c r="E142" s="268">
        <v>0</v>
      </c>
      <c r="F142" s="268">
        <v>0</v>
      </c>
      <c r="G142" s="268">
        <v>0</v>
      </c>
      <c r="H142" s="268">
        <v>1</v>
      </c>
      <c r="I142" s="57">
        <f t="shared" si="5"/>
        <v>6.826007326007324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71">
        <v>59</v>
      </c>
      <c r="B143" s="272">
        <v>159.25641025641025</v>
      </c>
      <c r="C143" s="267">
        <v>3</v>
      </c>
      <c r="D143" s="272">
        <v>38.942307692307693</v>
      </c>
      <c r="E143" s="268">
        <v>0</v>
      </c>
      <c r="F143" s="268">
        <v>0</v>
      </c>
      <c r="G143" s="268">
        <v>0</v>
      </c>
      <c r="H143" s="268">
        <v>1</v>
      </c>
      <c r="I143" s="57">
        <f t="shared" si="5"/>
        <v>6.3942307692307701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71">
        <v>67</v>
      </c>
      <c r="B144" s="272">
        <v>167.85897435897436</v>
      </c>
      <c r="C144" s="267">
        <v>4</v>
      </c>
      <c r="D144" s="272">
        <v>31.993589743589741</v>
      </c>
      <c r="E144" s="268">
        <v>0</v>
      </c>
      <c r="F144" s="268">
        <v>0</v>
      </c>
      <c r="G144" s="268">
        <v>0</v>
      </c>
      <c r="H144" s="268">
        <v>1</v>
      </c>
      <c r="I144" s="57">
        <f t="shared" si="5"/>
        <v>5.9431089743589762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271">
        <v>75</v>
      </c>
      <c r="B145" s="267">
        <v>181.38461538461536</v>
      </c>
      <c r="C145" s="267">
        <v>5</v>
      </c>
      <c r="D145" s="267">
        <v>30.916666666666664</v>
      </c>
      <c r="E145" s="268">
        <v>0.7</v>
      </c>
      <c r="F145" s="268">
        <v>0</v>
      </c>
      <c r="G145" s="268">
        <v>0</v>
      </c>
      <c r="H145" s="268">
        <v>0.3</v>
      </c>
      <c r="I145" s="57">
        <f t="shared" si="5"/>
        <v>5.6899038461538431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271">
        <v>84</v>
      </c>
      <c r="B146" s="267">
        <v>200.00641025641025</v>
      </c>
      <c r="C146" s="267">
        <v>6</v>
      </c>
      <c r="D146" s="267">
        <v>35.083333333333329</v>
      </c>
      <c r="E146" s="268">
        <v>0.7</v>
      </c>
      <c r="F146" s="268">
        <v>0</v>
      </c>
      <c r="G146" s="268">
        <v>0</v>
      </c>
      <c r="H146" s="268">
        <v>0.3</v>
      </c>
      <c r="I146" s="57">
        <f t="shared" si="5"/>
        <v>5.5042735042735051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271">
        <v>93</v>
      </c>
      <c r="B147" s="267">
        <v>212.26923076923075</v>
      </c>
      <c r="C147" s="267">
        <v>7</v>
      </c>
      <c r="D147" s="267">
        <v>30.083333333333332</v>
      </c>
      <c r="E147" s="268">
        <v>0.7</v>
      </c>
      <c r="F147" s="268">
        <v>0</v>
      </c>
      <c r="G147" s="268">
        <v>0</v>
      </c>
      <c r="H147" s="268">
        <v>0.3</v>
      </c>
      <c r="I147" s="57">
        <f>IF(A147&lt;&gt;0,(B147-(B146-D146))/(A147-A146),"")</f>
        <v>5.2606837606837598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271">
        <v>103</v>
      </c>
      <c r="B148" s="267">
        <v>234.76923076923077</v>
      </c>
      <c r="C148" s="267">
        <v>8</v>
      </c>
      <c r="D148" s="267">
        <v>39.512820512820511</v>
      </c>
      <c r="E148" s="268">
        <v>0.7</v>
      </c>
      <c r="F148" s="268">
        <v>0</v>
      </c>
      <c r="G148" s="268">
        <v>0</v>
      </c>
      <c r="H148" s="268">
        <v>0.3</v>
      </c>
      <c r="I148" s="57">
        <f t="shared" si="5"/>
        <v>5.2583333333333373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271">
        <v>113</v>
      </c>
      <c r="B149" s="267">
        <v>246.21794871794873</v>
      </c>
      <c r="C149" s="267">
        <v>9</v>
      </c>
      <c r="D149" s="267">
        <v>31.602564102564099</v>
      </c>
      <c r="E149" s="268">
        <v>0.7</v>
      </c>
      <c r="F149" s="268">
        <v>0</v>
      </c>
      <c r="G149" s="268">
        <v>0</v>
      </c>
      <c r="H149" s="268">
        <v>0.3</v>
      </c>
      <c r="I149" s="57">
        <f t="shared" si="5"/>
        <v>5.0961538461538449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271">
        <v>125</v>
      </c>
      <c r="B150" s="267">
        <v>278.29487179487177</v>
      </c>
      <c r="C150" s="267">
        <v>10</v>
      </c>
      <c r="D150" s="267">
        <v>48.160256410256409</v>
      </c>
      <c r="E150" s="268">
        <v>0.7</v>
      </c>
      <c r="F150" s="268">
        <v>0</v>
      </c>
      <c r="G150" s="268">
        <v>0</v>
      </c>
      <c r="H150" s="268">
        <v>0.3</v>
      </c>
      <c r="I150" s="57">
        <f t="shared" si="5"/>
        <v>5.3066239316239274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271">
        <v>137</v>
      </c>
      <c r="B151" s="267">
        <v>293.07051282051282</v>
      </c>
      <c r="C151" s="267">
        <v>11</v>
      </c>
      <c r="D151" s="267">
        <v>51.160256410256409</v>
      </c>
      <c r="E151" s="268">
        <v>0.7</v>
      </c>
      <c r="F151" s="268">
        <v>0</v>
      </c>
      <c r="G151" s="268">
        <v>0</v>
      </c>
      <c r="H151" s="268">
        <v>0.3</v>
      </c>
      <c r="I151" s="57">
        <f t="shared" si="5"/>
        <v>5.2446581196581219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149</v>
      </c>
      <c r="B152" s="60">
        <v>303.18589743589746</v>
      </c>
      <c r="C152" s="50">
        <v>12</v>
      </c>
      <c r="D152" s="60">
        <v>120.50641025641026</v>
      </c>
      <c r="E152" s="54">
        <v>0.9</v>
      </c>
      <c r="F152" s="54">
        <v>0</v>
      </c>
      <c r="G152" s="54">
        <v>0</v>
      </c>
      <c r="H152" s="54">
        <v>0.1</v>
      </c>
      <c r="I152" s="57">
        <f t="shared" si="5"/>
        <v>5.1063034188034209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153</v>
      </c>
      <c r="B153" s="60">
        <v>195.05769230769226</v>
      </c>
      <c r="C153" s="50">
        <v>13</v>
      </c>
      <c r="D153" s="60">
        <v>70.115384615384613</v>
      </c>
      <c r="E153" s="54">
        <v>0.9</v>
      </c>
      <c r="F153" s="54">
        <v>0</v>
      </c>
      <c r="G153" s="54">
        <v>0</v>
      </c>
      <c r="H153" s="54">
        <v>0.1</v>
      </c>
      <c r="I153" s="57">
        <f t="shared" si="5"/>
        <v>3.0945512820512704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157</v>
      </c>
      <c r="B154" s="56">
        <v>132.42948717948718</v>
      </c>
      <c r="C154" s="50">
        <v>14</v>
      </c>
      <c r="D154" s="50">
        <v>45.71153846153846</v>
      </c>
      <c r="E154" s="54">
        <v>0.9</v>
      </c>
      <c r="F154" s="54">
        <v>0</v>
      </c>
      <c r="G154" s="54">
        <v>0</v>
      </c>
      <c r="H154" s="54">
        <v>0.1</v>
      </c>
      <c r="I154" s="57">
        <f t="shared" si="5"/>
        <v>1.8717948717948829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161</v>
      </c>
      <c r="B155" s="56">
        <v>91.365384615384613</v>
      </c>
      <c r="C155" s="50">
        <v>15</v>
      </c>
      <c r="D155" s="50">
        <v>91.365384615384613</v>
      </c>
      <c r="E155" s="54">
        <v>0.9</v>
      </c>
      <c r="F155" s="54">
        <v>0</v>
      </c>
      <c r="G155" s="54">
        <v>0</v>
      </c>
      <c r="H155" s="54">
        <v>0.1</v>
      </c>
      <c r="I155" s="57">
        <f t="shared" si="5"/>
        <v>1.1618589743589709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Chêne-liège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5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77" t="s">
        <v>186</v>
      </c>
      <c r="D164" s="277"/>
      <c r="E164" s="278" t="s">
        <v>187</v>
      </c>
      <c r="F164" s="279"/>
      <c r="G164" s="279"/>
      <c r="H164" s="280"/>
      <c r="I164" s="9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269">
        <v>30</v>
      </c>
      <c r="B166" s="270">
        <v>87.705128205128204</v>
      </c>
      <c r="C166" s="263" t="s">
        <v>324</v>
      </c>
      <c r="D166" s="270">
        <v>0</v>
      </c>
      <c r="E166" s="264">
        <v>0</v>
      </c>
      <c r="F166" s="264">
        <v>0</v>
      </c>
      <c r="G166" s="264">
        <v>0</v>
      </c>
      <c r="H166" s="264">
        <v>0</v>
      </c>
      <c r="I166" s="49">
        <f>IFERROR(B166/A166,"")</f>
        <v>2.9235042735042733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271">
        <v>44</v>
      </c>
      <c r="B167" s="272">
        <v>162.42307692307691</v>
      </c>
      <c r="C167" s="267">
        <v>1</v>
      </c>
      <c r="D167" s="272">
        <v>64.416666666666657</v>
      </c>
      <c r="E167" s="268">
        <v>0</v>
      </c>
      <c r="F167" s="268">
        <v>0</v>
      </c>
      <c r="G167" s="268">
        <v>0</v>
      </c>
      <c r="H167" s="268">
        <v>1</v>
      </c>
      <c r="I167" s="49">
        <f t="shared" ref="I167:I185" si="6">IF(A167&lt;&gt;0,(B167-(B166-D166))/(A167-A166),"")</f>
        <v>5.3369963369963358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271">
        <v>51</v>
      </c>
      <c r="B168" s="272">
        <v>145.78846153846152</v>
      </c>
      <c r="C168" s="267">
        <v>2</v>
      </c>
      <c r="D168" s="272">
        <v>37.685897435897431</v>
      </c>
      <c r="E168" s="268">
        <v>0</v>
      </c>
      <c r="F168" s="268">
        <v>0</v>
      </c>
      <c r="G168" s="268">
        <v>0</v>
      </c>
      <c r="H168" s="268">
        <v>1</v>
      </c>
      <c r="I168" s="49">
        <f t="shared" si="6"/>
        <v>6.826007326007324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271">
        <v>59</v>
      </c>
      <c r="B169" s="272">
        <v>159.25641025641025</v>
      </c>
      <c r="C169" s="267">
        <v>3</v>
      </c>
      <c r="D169" s="272">
        <v>38.942307692307693</v>
      </c>
      <c r="E169" s="268">
        <v>0</v>
      </c>
      <c r="F169" s="268">
        <v>0</v>
      </c>
      <c r="G169" s="268">
        <v>0</v>
      </c>
      <c r="H169" s="268">
        <v>1</v>
      </c>
      <c r="I169" s="49">
        <f t="shared" si="6"/>
        <v>6.3942307692307701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271">
        <v>67</v>
      </c>
      <c r="B170" s="272">
        <v>167.85897435897436</v>
      </c>
      <c r="C170" s="267">
        <v>4</v>
      </c>
      <c r="D170" s="272">
        <v>31.993589743589741</v>
      </c>
      <c r="E170" s="268">
        <v>0</v>
      </c>
      <c r="F170" s="268">
        <v>0</v>
      </c>
      <c r="G170" s="268">
        <v>0</v>
      </c>
      <c r="H170" s="268">
        <v>1</v>
      </c>
      <c r="I170" s="49">
        <f t="shared" si="6"/>
        <v>5.9431089743589762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271">
        <v>75</v>
      </c>
      <c r="B171" s="267">
        <v>181.38461538461536</v>
      </c>
      <c r="C171" s="267">
        <v>5</v>
      </c>
      <c r="D171" s="267">
        <v>30.916666666666664</v>
      </c>
      <c r="E171" s="268">
        <v>0.7</v>
      </c>
      <c r="F171" s="268">
        <v>0</v>
      </c>
      <c r="G171" s="268">
        <v>0</v>
      </c>
      <c r="H171" s="268">
        <v>0.3</v>
      </c>
      <c r="I171" s="49">
        <f t="shared" si="6"/>
        <v>5.6899038461538431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271">
        <v>84</v>
      </c>
      <c r="B172" s="267">
        <v>200.00641025641025</v>
      </c>
      <c r="C172" s="267">
        <v>6</v>
      </c>
      <c r="D172" s="267">
        <v>35.083333333333329</v>
      </c>
      <c r="E172" s="268">
        <v>0.7</v>
      </c>
      <c r="F172" s="268">
        <v>0</v>
      </c>
      <c r="G172" s="268">
        <v>0</v>
      </c>
      <c r="H172" s="268">
        <v>0.3</v>
      </c>
      <c r="I172" s="49">
        <f t="shared" si="6"/>
        <v>5.5042735042735051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271">
        <v>93</v>
      </c>
      <c r="B173" s="267">
        <v>212.26923076923075</v>
      </c>
      <c r="C173" s="267">
        <v>7</v>
      </c>
      <c r="D173" s="267">
        <v>30.083333333333332</v>
      </c>
      <c r="E173" s="268">
        <v>0.7</v>
      </c>
      <c r="F173" s="268">
        <v>0</v>
      </c>
      <c r="G173" s="268">
        <v>0</v>
      </c>
      <c r="H173" s="268">
        <v>0.3</v>
      </c>
      <c r="I173" s="49">
        <f t="shared" si="6"/>
        <v>5.2606837606837598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271">
        <v>103</v>
      </c>
      <c r="B174" s="267">
        <v>234.76923076923077</v>
      </c>
      <c r="C174" s="267">
        <v>8</v>
      </c>
      <c r="D174" s="267">
        <v>39.512820512820511</v>
      </c>
      <c r="E174" s="268">
        <v>0.7</v>
      </c>
      <c r="F174" s="268">
        <v>0</v>
      </c>
      <c r="G174" s="268">
        <v>0</v>
      </c>
      <c r="H174" s="268">
        <v>0.3</v>
      </c>
      <c r="I174" s="49">
        <f t="shared" si="6"/>
        <v>5.2583333333333373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271">
        <v>113</v>
      </c>
      <c r="B175" s="267">
        <v>246.21794871794873</v>
      </c>
      <c r="C175" s="267">
        <v>9</v>
      </c>
      <c r="D175" s="267">
        <v>31.602564102564099</v>
      </c>
      <c r="E175" s="268">
        <v>0.7</v>
      </c>
      <c r="F175" s="268">
        <v>0</v>
      </c>
      <c r="G175" s="268">
        <v>0</v>
      </c>
      <c r="H175" s="268">
        <v>0.3</v>
      </c>
      <c r="I175" s="49">
        <f t="shared" si="6"/>
        <v>5.0961538461538449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271">
        <v>125</v>
      </c>
      <c r="B176" s="267">
        <v>278.29487179487177</v>
      </c>
      <c r="C176" s="267">
        <v>10</v>
      </c>
      <c r="D176" s="267">
        <v>48.160256410256409</v>
      </c>
      <c r="E176" s="268">
        <v>0.7</v>
      </c>
      <c r="F176" s="268">
        <v>0</v>
      </c>
      <c r="G176" s="268">
        <v>0</v>
      </c>
      <c r="H176" s="268">
        <v>0.3</v>
      </c>
      <c r="I176" s="49">
        <f t="shared" si="6"/>
        <v>5.3066239316239274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271">
        <v>137</v>
      </c>
      <c r="B177" s="267">
        <v>293.07051282051282</v>
      </c>
      <c r="C177" s="267">
        <v>11</v>
      </c>
      <c r="D177" s="267">
        <v>51.160256410256409</v>
      </c>
      <c r="E177" s="268">
        <v>0.7</v>
      </c>
      <c r="F177" s="268">
        <v>0</v>
      </c>
      <c r="G177" s="268">
        <v>0</v>
      </c>
      <c r="H177" s="268">
        <v>0.3</v>
      </c>
      <c r="I177" s="49">
        <f t="shared" si="6"/>
        <v>5.2446581196581219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149</v>
      </c>
      <c r="B178" s="50">
        <v>303.18589743589746</v>
      </c>
      <c r="C178" s="50">
        <v>12</v>
      </c>
      <c r="D178" s="50">
        <v>120.50641025641026</v>
      </c>
      <c r="E178" s="51">
        <v>0.9</v>
      </c>
      <c r="F178" s="51">
        <v>0</v>
      </c>
      <c r="G178" s="51">
        <v>0</v>
      </c>
      <c r="H178" s="51">
        <v>0.1</v>
      </c>
      <c r="I178" s="49">
        <f t="shared" si="6"/>
        <v>5.1063034188034209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153</v>
      </c>
      <c r="B179" s="50">
        <v>195.05769230769226</v>
      </c>
      <c r="C179" s="50">
        <v>13</v>
      </c>
      <c r="D179" s="50">
        <v>70.115384615384613</v>
      </c>
      <c r="E179" s="51">
        <v>0.9</v>
      </c>
      <c r="F179" s="51">
        <v>0</v>
      </c>
      <c r="G179" s="51">
        <v>0</v>
      </c>
      <c r="H179" s="51">
        <v>0.1</v>
      </c>
      <c r="I179" s="49">
        <f t="shared" si="6"/>
        <v>3.0945512820512704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157</v>
      </c>
      <c r="B180" s="50">
        <v>132.42948717948718</v>
      </c>
      <c r="C180" s="50">
        <v>14</v>
      </c>
      <c r="D180" s="50">
        <v>45.71153846153846</v>
      </c>
      <c r="E180" s="51">
        <v>0.9</v>
      </c>
      <c r="F180" s="51">
        <v>0</v>
      </c>
      <c r="G180" s="51">
        <v>0</v>
      </c>
      <c r="H180" s="51">
        <v>0.1</v>
      </c>
      <c r="I180" s="49">
        <f t="shared" si="6"/>
        <v>1.8717948717948829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>
        <v>161</v>
      </c>
      <c r="B181" s="50">
        <v>91.365384615384613</v>
      </c>
      <c r="C181" s="50">
        <v>15</v>
      </c>
      <c r="D181" s="50">
        <v>91.365384615384613</v>
      </c>
      <c r="E181" s="51">
        <v>0.9</v>
      </c>
      <c r="F181" s="51">
        <v>0</v>
      </c>
      <c r="G181" s="51">
        <v>0</v>
      </c>
      <c r="H181" s="51">
        <v>0.1</v>
      </c>
      <c r="I181" s="49">
        <f t="shared" si="6"/>
        <v>1.1618589743589709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Alisier torminal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5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77" t="s">
        <v>186</v>
      </c>
      <c r="D190" s="277"/>
      <c r="E190" s="278" t="s">
        <v>187</v>
      </c>
      <c r="F190" s="279"/>
      <c r="G190" s="279"/>
      <c r="H190" s="280"/>
      <c r="I190" s="9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269">
        <v>30</v>
      </c>
      <c r="B192" s="263">
        <v>87.705128205128204</v>
      </c>
      <c r="C192" s="263" t="s">
        <v>324</v>
      </c>
      <c r="D192" s="263">
        <v>0</v>
      </c>
      <c r="E192" s="264">
        <v>0</v>
      </c>
      <c r="F192" s="264">
        <v>0</v>
      </c>
      <c r="G192" s="264">
        <v>0</v>
      </c>
      <c r="H192" s="264">
        <v>0</v>
      </c>
      <c r="I192" s="49">
        <f>IFERROR(B192/A192,"")</f>
        <v>2.9235042735042733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271">
        <v>44</v>
      </c>
      <c r="B193" s="267">
        <v>162.42307692307691</v>
      </c>
      <c r="C193" s="267">
        <v>1</v>
      </c>
      <c r="D193" s="267">
        <v>64.416666666666657</v>
      </c>
      <c r="E193" s="268">
        <v>0</v>
      </c>
      <c r="F193" s="268">
        <v>0</v>
      </c>
      <c r="G193" s="268">
        <v>0</v>
      </c>
      <c r="H193" s="268">
        <v>1</v>
      </c>
      <c r="I193" s="49">
        <f t="shared" ref="I193:I211" si="7">IF(A193&lt;&gt;0,(B193-(B192-D192))/(A193-A192),"")</f>
        <v>5.3369963369963358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271">
        <v>51</v>
      </c>
      <c r="B194" s="267">
        <v>145.78846153846152</v>
      </c>
      <c r="C194" s="267">
        <v>2</v>
      </c>
      <c r="D194" s="267">
        <v>37.685897435897431</v>
      </c>
      <c r="E194" s="268">
        <v>0</v>
      </c>
      <c r="F194" s="268">
        <v>0</v>
      </c>
      <c r="G194" s="268">
        <v>0</v>
      </c>
      <c r="H194" s="268">
        <v>1</v>
      </c>
      <c r="I194" s="49">
        <f t="shared" si="7"/>
        <v>6.826007326007324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271">
        <v>59</v>
      </c>
      <c r="B195" s="267">
        <v>159.25641025641025</v>
      </c>
      <c r="C195" s="267">
        <v>3</v>
      </c>
      <c r="D195" s="267">
        <v>38.942307692307693</v>
      </c>
      <c r="E195" s="268">
        <v>0</v>
      </c>
      <c r="F195" s="268">
        <v>0</v>
      </c>
      <c r="G195" s="268">
        <v>0</v>
      </c>
      <c r="H195" s="268">
        <v>1</v>
      </c>
      <c r="I195" s="49">
        <f t="shared" si="7"/>
        <v>6.3942307692307701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271">
        <v>67</v>
      </c>
      <c r="B196" s="267">
        <v>167.85897435897436</v>
      </c>
      <c r="C196" s="267">
        <v>4</v>
      </c>
      <c r="D196" s="267">
        <v>31.993589743589741</v>
      </c>
      <c r="E196" s="268">
        <v>0</v>
      </c>
      <c r="F196" s="268">
        <v>0</v>
      </c>
      <c r="G196" s="268">
        <v>0</v>
      </c>
      <c r="H196" s="268">
        <v>1</v>
      </c>
      <c r="I196" s="49">
        <f t="shared" si="7"/>
        <v>5.9431089743589762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271">
        <v>75</v>
      </c>
      <c r="B197" s="267">
        <v>181.38461538461536</v>
      </c>
      <c r="C197" s="267">
        <v>5</v>
      </c>
      <c r="D197" s="267">
        <v>30.916666666666664</v>
      </c>
      <c r="E197" s="268">
        <v>0.7</v>
      </c>
      <c r="F197" s="268">
        <v>0</v>
      </c>
      <c r="G197" s="268">
        <v>0</v>
      </c>
      <c r="H197" s="268">
        <v>0.3</v>
      </c>
      <c r="I197" s="49">
        <f t="shared" si="7"/>
        <v>5.6899038461538431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271">
        <v>84</v>
      </c>
      <c r="B198" s="267">
        <v>200.00641025641025</v>
      </c>
      <c r="C198" s="267">
        <v>6</v>
      </c>
      <c r="D198" s="267">
        <v>35.083333333333329</v>
      </c>
      <c r="E198" s="268">
        <v>0.7</v>
      </c>
      <c r="F198" s="268">
        <v>0</v>
      </c>
      <c r="G198" s="268">
        <v>0</v>
      </c>
      <c r="H198" s="268">
        <v>0.3</v>
      </c>
      <c r="I198" s="49">
        <f t="shared" si="7"/>
        <v>5.5042735042735051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271">
        <v>93</v>
      </c>
      <c r="B199" s="267">
        <v>212.26923076923075</v>
      </c>
      <c r="C199" s="267">
        <v>7</v>
      </c>
      <c r="D199" s="267">
        <v>30.083333333333332</v>
      </c>
      <c r="E199" s="268">
        <v>0.7</v>
      </c>
      <c r="F199" s="268">
        <v>0</v>
      </c>
      <c r="G199" s="268">
        <v>0</v>
      </c>
      <c r="H199" s="268">
        <v>0.3</v>
      </c>
      <c r="I199" s="49">
        <f t="shared" si="7"/>
        <v>5.2606837606837598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271">
        <v>103</v>
      </c>
      <c r="B200" s="267">
        <v>234.76923076923077</v>
      </c>
      <c r="C200" s="267">
        <v>8</v>
      </c>
      <c r="D200" s="267">
        <v>39.512820512820511</v>
      </c>
      <c r="E200" s="268">
        <v>0.7</v>
      </c>
      <c r="F200" s="268">
        <v>0</v>
      </c>
      <c r="G200" s="268">
        <v>0</v>
      </c>
      <c r="H200" s="268">
        <v>0.3</v>
      </c>
      <c r="I200" s="49">
        <f t="shared" si="7"/>
        <v>5.2583333333333373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271">
        <v>113</v>
      </c>
      <c r="B201" s="267">
        <v>246.21794871794873</v>
      </c>
      <c r="C201" s="267">
        <v>9</v>
      </c>
      <c r="D201" s="267">
        <v>31.602564102564099</v>
      </c>
      <c r="E201" s="268">
        <v>0.7</v>
      </c>
      <c r="F201" s="268">
        <v>0</v>
      </c>
      <c r="G201" s="268">
        <v>0</v>
      </c>
      <c r="H201" s="268">
        <v>0.3</v>
      </c>
      <c r="I201" s="49">
        <f t="shared" si="7"/>
        <v>5.0961538461538449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271">
        <v>125</v>
      </c>
      <c r="B202" s="267">
        <v>278.29487179487177</v>
      </c>
      <c r="C202" s="267">
        <v>10</v>
      </c>
      <c r="D202" s="267">
        <v>48.160256410256409</v>
      </c>
      <c r="E202" s="268">
        <v>0.7</v>
      </c>
      <c r="F202" s="268">
        <v>0</v>
      </c>
      <c r="G202" s="268">
        <v>0</v>
      </c>
      <c r="H202" s="268">
        <v>0.3</v>
      </c>
      <c r="I202" s="49">
        <f t="shared" si="7"/>
        <v>5.3066239316239274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271">
        <v>137</v>
      </c>
      <c r="B203" s="267">
        <v>293.07051282051282</v>
      </c>
      <c r="C203" s="267">
        <v>11</v>
      </c>
      <c r="D203" s="267">
        <v>51.160256410256409</v>
      </c>
      <c r="E203" s="268">
        <v>0.7</v>
      </c>
      <c r="F203" s="268">
        <v>0</v>
      </c>
      <c r="G203" s="268">
        <v>0</v>
      </c>
      <c r="H203" s="268">
        <v>0.3</v>
      </c>
      <c r="I203" s="49">
        <f t="shared" si="7"/>
        <v>5.2446581196581219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149</v>
      </c>
      <c r="B204" s="50">
        <v>303.18589743589746</v>
      </c>
      <c r="C204" s="50">
        <v>12</v>
      </c>
      <c r="D204" s="50">
        <v>120.50641025641026</v>
      </c>
      <c r="E204" s="51">
        <v>0.9</v>
      </c>
      <c r="F204" s="51">
        <v>0</v>
      </c>
      <c r="G204" s="51">
        <v>0</v>
      </c>
      <c r="H204" s="51">
        <v>0.1</v>
      </c>
      <c r="I204" s="49">
        <f t="shared" si="7"/>
        <v>5.1063034188034209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153</v>
      </c>
      <c r="B205" s="50">
        <v>195.05769230769226</v>
      </c>
      <c r="C205" s="50">
        <v>13</v>
      </c>
      <c r="D205" s="50">
        <v>70.115384615384613</v>
      </c>
      <c r="E205" s="51">
        <v>0.9</v>
      </c>
      <c r="F205" s="51">
        <v>0</v>
      </c>
      <c r="G205" s="51">
        <v>0</v>
      </c>
      <c r="H205" s="51">
        <v>0.1</v>
      </c>
      <c r="I205" s="49">
        <f t="shared" si="7"/>
        <v>3.0945512820512704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>
        <v>157</v>
      </c>
      <c r="B206" s="50">
        <v>132.42948717948718</v>
      </c>
      <c r="C206" s="50">
        <v>14</v>
      </c>
      <c r="D206" s="50">
        <v>45.71153846153846</v>
      </c>
      <c r="E206" s="51">
        <v>0.9</v>
      </c>
      <c r="F206" s="51">
        <v>0</v>
      </c>
      <c r="G206" s="51">
        <v>0</v>
      </c>
      <c r="H206" s="51">
        <v>0.1</v>
      </c>
      <c r="I206" s="49">
        <f t="shared" si="7"/>
        <v>1.8717948717948829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>
        <v>161</v>
      </c>
      <c r="B207" s="50">
        <v>91.365384615384613</v>
      </c>
      <c r="C207" s="50">
        <v>15</v>
      </c>
      <c r="D207" s="50">
        <v>91.365384615384613</v>
      </c>
      <c r="E207" s="51">
        <v>0.9</v>
      </c>
      <c r="F207" s="51">
        <v>0</v>
      </c>
      <c r="G207" s="51">
        <v>0</v>
      </c>
      <c r="H207" s="51">
        <v>0.1</v>
      </c>
      <c r="I207" s="49">
        <f t="shared" si="7"/>
        <v>1.1618589743589709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5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77" t="s">
        <v>186</v>
      </c>
      <c r="D216" s="277"/>
      <c r="E216" s="278" t="s">
        <v>187</v>
      </c>
      <c r="F216" s="279"/>
      <c r="G216" s="279"/>
      <c r="H216" s="280"/>
      <c r="I216" s="9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7"/>
      <c r="B231" s="60"/>
      <c r="C231" s="87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5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77" t="s">
        <v>186</v>
      </c>
      <c r="D242" s="277"/>
      <c r="E242" s="278" t="s">
        <v>187</v>
      </c>
      <c r="F242" s="279"/>
      <c r="G242" s="279"/>
      <c r="H242" s="280"/>
      <c r="I242" s="9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7"/>
      <c r="B257" s="60"/>
      <c r="C257" s="87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5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77" t="s">
        <v>186</v>
      </c>
      <c r="D268" s="277"/>
      <c r="E268" s="278" t="s">
        <v>187</v>
      </c>
      <c r="F268" s="279"/>
      <c r="G268" s="279"/>
      <c r="H268" s="280"/>
      <c r="I268" s="9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7"/>
      <c r="B283" s="60"/>
      <c r="C283" s="87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Normal="100" workbookViewId="0">
      <selection activeCell="G13" sqref="G13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6"/>
      <c r="K1" s="9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90" t="s">
        <v>191</v>
      </c>
      <c r="C2" s="291"/>
      <c r="D2" s="291"/>
      <c r="E2" s="291"/>
      <c r="F2" s="291"/>
      <c r="G2" s="29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9"/>
      <c r="C4" s="289"/>
      <c r="D4" s="289"/>
      <c r="E4" s="289"/>
      <c r="F4" s="289"/>
      <c r="G4" s="28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7" t="s">
        <v>296</v>
      </c>
      <c r="C5" s="97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8"/>
      <c r="B7" s="26" t="s">
        <v>295</v>
      </c>
      <c r="C7" s="99" t="s">
        <v>214</v>
      </c>
      <c r="D7" s="214"/>
      <c r="E7" s="100"/>
      <c r="F7" s="26" t="s">
        <v>295</v>
      </c>
      <c r="G7" s="99" t="s">
        <v>215</v>
      </c>
      <c r="H7" s="215"/>
      <c r="I7" s="215"/>
      <c r="J7" s="215"/>
      <c r="K7" s="215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spans="1:38" ht="17.25" customHeight="1" x14ac:dyDescent="0.35">
      <c r="A8" s="104">
        <v>1</v>
      </c>
      <c r="B8" s="61">
        <v>0</v>
      </c>
      <c r="C8" s="49" t="s">
        <v>177</v>
      </c>
      <c r="D8" s="23"/>
      <c r="E8" s="104">
        <v>4</v>
      </c>
      <c r="F8" s="61">
        <v>1</v>
      </c>
      <c r="G8" s="101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4">
        <v>2</v>
      </c>
      <c r="B9" s="61">
        <v>0</v>
      </c>
      <c r="C9" s="107" t="s">
        <v>216</v>
      </c>
      <c r="D9" s="23"/>
      <c r="E9" s="104">
        <v>5</v>
      </c>
      <c r="F9" s="61">
        <v>0</v>
      </c>
      <c r="G9" s="102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4">
        <v>3</v>
      </c>
      <c r="B10" s="61">
        <v>0</v>
      </c>
      <c r="C10" s="108" t="s">
        <v>217</v>
      </c>
      <c r="D10" s="23"/>
      <c r="E10" s="4"/>
      <c r="F10" s="105">
        <f>SUM(F7:F9)</f>
        <v>1</v>
      </c>
      <c r="G10" s="103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5">
        <v>0</v>
      </c>
      <c r="C11" s="103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5"/>
      <c r="B13" s="106"/>
      <c r="C13" s="97" t="s">
        <v>273</v>
      </c>
      <c r="D13" s="215"/>
      <c r="E13" s="98"/>
      <c r="F13" s="106"/>
      <c r="G13" s="97" t="s">
        <v>301</v>
      </c>
      <c r="H13" s="215"/>
      <c r="I13" s="215"/>
      <c r="J13" s="215"/>
      <c r="K13" s="215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</row>
    <row r="14" spans="1:38" s="3" customFormat="1" ht="21" customHeight="1" x14ac:dyDescent="0.35">
      <c r="A14" s="215"/>
      <c r="B14" s="106"/>
      <c r="C14" s="97" t="s">
        <v>309</v>
      </c>
      <c r="D14" s="215"/>
      <c r="E14" s="98"/>
      <c r="F14" s="106"/>
      <c r="G14" s="97" t="s">
        <v>294</v>
      </c>
      <c r="H14" s="215"/>
      <c r="I14" s="215"/>
      <c r="J14" s="215"/>
      <c r="K14" s="215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9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9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9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5">
        <f>SUM(B16:B18)</f>
        <v>0</v>
      </c>
      <c r="C19" s="103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96" t="s">
        <v>176</v>
      </c>
      <c r="C1" s="297"/>
      <c r="D1" s="297"/>
      <c r="E1" s="297"/>
      <c r="F1" s="297"/>
      <c r="G1" s="297"/>
      <c r="H1" s="298"/>
      <c r="I1" s="293" t="str">
        <f>IF('Données projet'!$B$9="","",'Données projet'!$B$9)</f>
        <v>Cèdre de l'Atlas</v>
      </c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5"/>
      <c r="AD1" s="294" t="str">
        <f>IF('Données projet'!$B$10="","",'Données projet'!$B$10)</f>
        <v>Pin laricio</v>
      </c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5"/>
      <c r="AY1" s="293" t="str">
        <f>IF('Données projet'!$B$11="","",'Données projet'!$B$11)</f>
        <v>Chêne sessile</v>
      </c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5"/>
      <c r="BT1" s="293" t="str">
        <f>IF('Données projet'!$B$12="","",'Données projet'!$B$12)</f>
        <v>Chêne pubescent</v>
      </c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5"/>
      <c r="CO1" s="293" t="str">
        <f>IF('Données projet'!$B$13="","",'Données projet'!$B$13)</f>
        <v>Chêne vert</v>
      </c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5"/>
      <c r="DJ1" s="293" t="str">
        <f>IF('Données projet'!$B$14="","",'Données projet'!$B$14)</f>
        <v>Chêne-liège</v>
      </c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5"/>
      <c r="EE1" s="293" t="str">
        <f>IF('Données projet'!$B$15="","",'Données projet'!$B$15)</f>
        <v>Alisier torminal</v>
      </c>
      <c r="EF1" s="294"/>
      <c r="EG1" s="294"/>
      <c r="EH1" s="294"/>
      <c r="EI1" s="294"/>
      <c r="EJ1" s="294"/>
      <c r="EK1" s="294"/>
      <c r="EL1" s="294"/>
      <c r="EM1" s="294"/>
      <c r="EN1" s="294"/>
      <c r="EO1" s="294"/>
      <c r="EP1" s="294"/>
      <c r="EQ1" s="294"/>
      <c r="ER1" s="294"/>
      <c r="ES1" s="294"/>
      <c r="ET1" s="294"/>
      <c r="EU1" s="294"/>
      <c r="EV1" s="294"/>
      <c r="EW1" s="294"/>
      <c r="EX1" s="294"/>
      <c r="EY1" s="295"/>
      <c r="EZ1" s="293" t="str">
        <f>IF('Données projet'!$B$16="","",'Données projet'!$B$16)</f>
        <v/>
      </c>
      <c r="FA1" s="294"/>
      <c r="FB1" s="294"/>
      <c r="FC1" s="294"/>
      <c r="FD1" s="294"/>
      <c r="FE1" s="294"/>
      <c r="FF1" s="294"/>
      <c r="FG1" s="294"/>
      <c r="FH1" s="294"/>
      <c r="FI1" s="294"/>
      <c r="FJ1" s="294"/>
      <c r="FK1" s="294"/>
      <c r="FL1" s="294"/>
      <c r="FM1" s="294"/>
      <c r="FN1" s="294"/>
      <c r="FO1" s="294"/>
      <c r="FP1" s="294"/>
      <c r="FQ1" s="294"/>
      <c r="FR1" s="294"/>
      <c r="FS1" s="294"/>
      <c r="FT1" s="295"/>
      <c r="FU1" s="293" t="str">
        <f>IF('Données projet'!$B$17="","",'Données projet'!$B$17)</f>
        <v/>
      </c>
      <c r="FV1" s="294"/>
      <c r="FW1" s="294"/>
      <c r="FX1" s="294"/>
      <c r="FY1" s="294"/>
      <c r="FZ1" s="294"/>
      <c r="GA1" s="294"/>
      <c r="GB1" s="294"/>
      <c r="GC1" s="294"/>
      <c r="GD1" s="294"/>
      <c r="GE1" s="294"/>
      <c r="GF1" s="294"/>
      <c r="GG1" s="294"/>
      <c r="GH1" s="294"/>
      <c r="GI1" s="294"/>
      <c r="GJ1" s="294"/>
      <c r="GK1" s="294"/>
      <c r="GL1" s="294"/>
      <c r="GM1" s="294"/>
      <c r="GN1" s="294"/>
      <c r="GO1" s="295"/>
      <c r="GP1" s="293" t="str">
        <f>IF('Données projet'!$B$18="","",'Données projet'!$B$18)</f>
        <v/>
      </c>
      <c r="GQ1" s="294"/>
      <c r="GR1" s="294"/>
      <c r="GS1" s="294"/>
      <c r="GT1" s="294"/>
      <c r="GU1" s="294"/>
      <c r="GV1" s="294"/>
      <c r="GW1" s="294"/>
      <c r="GX1" s="294"/>
      <c r="GY1" s="294"/>
      <c r="GZ1" s="294"/>
      <c r="HA1" s="294"/>
      <c r="HB1" s="294"/>
      <c r="HC1" s="294"/>
      <c r="HD1" s="294"/>
      <c r="HE1" s="294"/>
      <c r="HF1" s="294"/>
      <c r="HG1" s="294"/>
      <c r="HH1" s="294"/>
      <c r="HI1" s="294"/>
      <c r="HJ1" s="295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198.17898804494365</v>
      </c>
      <c r="T3" s="59">
        <f>IF('Données projet'!E9&gt;30,$R$33-$H$33,LOOKUP('Données projet'!$E$9,$A$3:$A$203,R3:R203)-LOOKUP('Données projet'!$E$9,$A$3:$A$203,$H$3:$H$203))</f>
        <v>186.24772922797723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278.21846622758881</v>
      </c>
      <c r="AO3" s="59">
        <f>IF('Données projet'!E10&gt;30,$AM$33-$H$33,LOOKUP('Données projet'!$E$10,$A$3:$A$203,AM3:AM203)-LOOKUP('Données projet'!$E$10,$A$3:$A$203,$H$3:$H$203))</f>
        <v>245.37578316242906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270.87836509222456</v>
      </c>
      <c r="BJ3" s="59">
        <f>IF('Données projet'!E11&gt;30,$BH$33-$H$33,LOOKUP('Données projet'!$E$11,$A$3:$A$203,BH3:BH203)-LOOKUP('Données projet'!$E$11,$A$3:$A$203,$H$3:$H$203))</f>
        <v>205.24998237949734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312.29056285877169</v>
      </c>
      <c r="CE3" s="59">
        <f>IF('Données projet'!E12&gt;30,$CC$33-$H$33,LOOKUP('Données projet'!$E$12,$A$3:$A$203,CC3:CC203)-LOOKUP('Données projet'!$E$12,$A$3:$A$203,$H$3:$H$203))</f>
        <v>233.85454224241693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292.22737648725354</v>
      </c>
      <c r="CZ3" s="59">
        <f>IF('Données projet'!E13&gt;30,$CX$33-$H$33,LOOKUP('Données projet'!$E$13,$A$3:$A$203,CX3:CX203)-LOOKUP('Données projet'!$E$13,$A$3:$A$203,$H$3:$H$203))</f>
        <v>182.84038581199871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276.52126514622455</v>
      </c>
      <c r="DU3" s="59">
        <f>IF('Données projet'!E14&gt;30,$DS$33-$H$33,LOOKUP('Données projet'!$E$14,$A$3:$A$203,DS3:DS203)-LOOKUP('Données projet'!$E$14,$A$3:$A$203,$H$3:$H$203))</f>
        <v>173.98404849503186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234.56750794375012</v>
      </c>
      <c r="EP3" s="59">
        <f>IF('Données projet'!E15&gt;30,$EN$33-$H$33,LOOKUP('Données projet'!$E$15,$A$3:$A$203,EN3:EN203)-LOOKUP('Données projet'!$E$15,$A$3:$A$203,$H$3:$H$203))</f>
        <v>150.32420541314724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7.2264102564102561</v>
      </c>
      <c r="N4" s="13">
        <f>IF('Données projet'!$A$36&gt;35,N3+M4-V3,IF(A4&lt;'Données projet'!$A$36,$K$205^A4,IF(A4='Données projet'!$A$36,'Données projet'!$B$36,N3+M4-V3)))</f>
        <v>1.1963772029987372</v>
      </c>
      <c r="O4" s="13">
        <f>N4*VLOOKUP('Données projet'!$B$9,Paramètres!$A$1:$I$89,3,0)*VLOOKUP('Données projet'!$B$9,Paramètres!$A$1:$I$89,5,0)</f>
        <v>0.55990453100340898</v>
      </c>
      <c r="P4" s="13">
        <f>EXP(-1.0587+0.8836*LN(O4)+0.284)</f>
        <v>0.2760486193577778</v>
      </c>
      <c r="Q4" s="20">
        <f t="shared" ref="Q4:Q34" si="2">(O4+P4)*0.475*44/12</f>
        <v>1.4559517368790669</v>
      </c>
      <c r="R4" s="59">
        <f t="shared" si="0"/>
        <v>294.78928507021237</v>
      </c>
      <c r="S4" s="59">
        <f ca="1">AVERAGE(OFFSET($R$3,0,0,'Données projet'!$E$9+1,1))-AVERAGE(OFFSET($H$3,0,0,'Données projet'!$E$9+1,1))</f>
        <v>198.17898804494365</v>
      </c>
      <c r="T4" s="59">
        <f>$T$3</f>
        <v>186.24772922797723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295.31642317474365</v>
      </c>
      <c r="AN4" s="59">
        <f ca="1">AVERAGE(OFFSET($AM$3,0,0,'Données projet'!$E$10+1,1))-AVERAGE(OFFSET($H$3,0,0,'Données projet'!$E$10+1,1))</f>
        <v>278.21846622758881</v>
      </c>
      <c r="AO4" s="59">
        <f>$AO$3</f>
        <v>245.37578316242906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4.0628205128205126</v>
      </c>
      <c r="BD4" s="12">
        <f>IF('Données projet'!$A$88&gt;35,BD3+BC4-BL3,IF(A4&lt;'Données projet'!$A$88,$BA$205^A4,IF(A4='Données projet'!$A$88,'Données projet'!$B$88,BD3+BC4-BL3)))</f>
        <v>1.1736311550444201</v>
      </c>
      <c r="BE4" s="13">
        <f>BD4*VLOOKUP('Données projet'!$B$11,Paramètres!$A$1:$I$89,3,0)*VLOOKUP('Données projet'!$B$11,Paramètres!$A$1:$I$89,5,0)</f>
        <v>1.0619014690841913</v>
      </c>
      <c r="BF4" s="13">
        <f>EXP(-1.0587+0.8836*LN(BE4)+0.284)</f>
        <v>0.48595950732890802</v>
      </c>
      <c r="BG4" s="20">
        <f t="shared" ref="BG4:BG67" si="7">(BE4+BF4)*0.475*44/12</f>
        <v>2.6958578672528142</v>
      </c>
      <c r="BH4" s="59">
        <f t="shared" ref="BH4:BH67" si="8">BG4+(AY4+AZ4)*44/12</f>
        <v>296.02919120058613</v>
      </c>
      <c r="BI4" s="59">
        <f ca="1">AVERAGE(OFFSET($BH$3,0,0,'Données projet'!$E$11+1,1))-AVERAGE(OFFSET($H$3,0,0,'Données projet'!$E$11+1,1))</f>
        <v>270.87836509222456</v>
      </c>
      <c r="BJ4" s="59">
        <f>$BJ$3</f>
        <v>205.24998237949734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4.0628205128205126</v>
      </c>
      <c r="BY4" s="12">
        <f>IF('Données projet'!$A$114&gt;35,BY3+BX4-CG3,IF(A4&lt;'Données projet'!$A$114,$BV$205^A4,IF(A4='Données projet'!$A$114,'Données projet'!$B$114,BY3+BX4-CG3)))</f>
        <v>1.1736311550444201</v>
      </c>
      <c r="BZ4" s="13">
        <f>BY4*VLOOKUP('Données projet'!$B$12,Paramètres!$A$1:$I$89,3,0)*VLOOKUP('Données projet'!$B$12,Paramètres!$A$1:$I$89,5,0)</f>
        <v>1.1900619912150421</v>
      </c>
      <c r="CA4" s="13">
        <f>EXP(-1.0587+0.8836*LN(BZ4)+0.284)</f>
        <v>0.53743426225295832</v>
      </c>
      <c r="CB4" s="20">
        <f t="shared" ref="CB4:CB67" si="10">(BZ4+CA4)*0.475*44/12</f>
        <v>3.0087226414567669</v>
      </c>
      <c r="CC4" s="59">
        <f t="shared" ref="CC4:CC67" si="11">CB4+(BT4+BU4)*44/12</f>
        <v>296.34205597479007</v>
      </c>
      <c r="CD4" s="59">
        <f ca="1">AVERAGE(OFFSET($CC$3,0,0,'Données projet'!$E$12+1,1))-AVERAGE(OFFSET($H$3,0,0,'Données projet'!$E$12+1,1))</f>
        <v>312.29056285877169</v>
      </c>
      <c r="CE4" s="59">
        <f>$CE$3</f>
        <v>233.85454224241693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2.9235042735042733</v>
      </c>
      <c r="CT4" s="12">
        <f>IF('Données projet'!$A$140&gt;35,CT3+CS4-DB3,IF(A4&lt;'Données projet'!$A$140,$CQ$205^A4,IF(A4='Données projet'!$A$140,'Données projet'!$B$140,CT3+CS4-DB3)))</f>
        <v>1.1608269964373037</v>
      </c>
      <c r="CU4" s="17">
        <f>CT4*VLOOKUP('Données projet'!$B$13,Paramètres!$A$1:$I$89,3,0)*VLOOKUP('Données projet'!$B$13,Paramètres!$A$1:$I$89,5,0)</f>
        <v>1.3219497835428013</v>
      </c>
      <c r="CV4" s="13">
        <f>EXP(-1.0587+0.8836*LN(CU4)+0.284)</f>
        <v>0.58973594845718891</v>
      </c>
      <c r="CW4" s="20">
        <f t="shared" ref="CW4:CW67" si="13">(CU4+CV4)*0.475*44/12</f>
        <v>3.3295193165666497</v>
      </c>
      <c r="CX4" s="59">
        <f t="shared" ref="CX4:CX67" si="14">CW4+(CO4+CP4)*44/12</f>
        <v>296.66285264989995</v>
      </c>
      <c r="CY4" s="59">
        <f ca="1">AVERAGE(OFFSET($CX$3,0,0,'Données projet'!$E$13+1,1))-AVERAGE(OFFSET($H$3,0,0,'Données projet'!$E$13+1,1))</f>
        <v>292.22737648725354</v>
      </c>
      <c r="CZ4" s="59">
        <f>$CZ$3</f>
        <v>182.84038581199871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2.9235042735042733</v>
      </c>
      <c r="DO4" s="12">
        <f>IF('Données projet'!$A$166&gt;35,DO3+DN4-DW3,IF(A4&lt;'Données projet'!$A$166,$DL$205^A4,IF(A4='Données projet'!$A$166,'Données projet'!$B$166,DO3+DN4-DW3)))</f>
        <v>1.1608269964373037</v>
      </c>
      <c r="DP4" s="17">
        <f>DO4*VLOOKUP('Données projet'!$B$14,Paramètres!$A$1:$I$89,3,0)*VLOOKUP('Données projet'!$B$14,Paramètres!$A$1:$I$89,5,0)</f>
        <v>1.2676230801095356</v>
      </c>
      <c r="DQ4" s="13">
        <f>EXP(-1.0587+0.8836*LN(DP4)+0.284)</f>
        <v>0.56826924279214819</v>
      </c>
      <c r="DR4" s="20">
        <f t="shared" ref="DR4:DR67" si="16">(DP4+DQ4)*0.475*44/12</f>
        <v>3.1975124623870994</v>
      </c>
      <c r="DS4" s="59">
        <f t="shared" ref="DS4:DS67" si="17">DR4+(DJ4+DK4)*44/12</f>
        <v>296.53084579572044</v>
      </c>
      <c r="DT4" s="59">
        <f ca="1">AVERAGE(OFFSET($DS$3,0,0,'Données projet'!$E$14+1,1))-AVERAGE(OFFSET($H$3,0,0,'Données projet'!$E$14+1,1))</f>
        <v>276.52126514622455</v>
      </c>
      <c r="DU4" s="59">
        <f>$DU$3</f>
        <v>173.98404849503186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2.9235042735042733</v>
      </c>
      <c r="EJ4" s="12">
        <f>IF('Données projet'!$A$192&gt;35,EJ3+EI4-ER3,IF(A4&lt;'Données projet'!$A$192,$EG$205^A4,IF(A4='Données projet'!$A$192,'Données projet'!$B$192,EJ3+EI4-ER3)))</f>
        <v>1.1608269964373037</v>
      </c>
      <c r="EK4" s="17">
        <f>EJ4*VLOOKUP('Données projet'!$B$15,Paramètres!$A$1:$I$89,3,0)*VLOOKUP('Données projet'!$B$15,Paramètres!$A$1:$I$89,5,0)</f>
        <v>1.1227518709541602</v>
      </c>
      <c r="EL4" s="13">
        <f>EXP(-1.0587+0.8836*LN(EK4)+0.284)</f>
        <v>0.51048480496708748</v>
      </c>
      <c r="EM4" s="20">
        <f t="shared" ref="EM4:EM67" si="19">(EK4+EL4)*0.475*44/12</f>
        <v>2.8445538772295063</v>
      </c>
      <c r="EN4" s="59">
        <f t="shared" ref="EN4:EN67" si="20">EM4+(EE4+EF4)*44/12</f>
        <v>296.1778872105628</v>
      </c>
      <c r="EO4" s="59">
        <f ca="1">AVERAGE(OFFSET($EN$3,0,0,'Données projet'!$E$15+1,1))-AVERAGE(OFFSET($H$3,0,0,'Données projet'!$E$15+1,1))</f>
        <v>234.56750794375012</v>
      </c>
      <c r="EP4" s="59">
        <f>$EP$3</f>
        <v>150.32420541314724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7.2264102564102561</v>
      </c>
      <c r="N5" s="13">
        <f>IF('Données projet'!$A$36&gt;35,N4+M5-V4,IF(A5&lt;'Données projet'!$A$36,$K$205^A5,IF(A5='Données projet'!$A$36,'Données projet'!$B$36,N4+M5-V4)))</f>
        <v>1.4313184118550817</v>
      </c>
      <c r="O5" s="13">
        <f>N5*VLOOKUP('Données projet'!$B$9,Paramètres!$A$1:$I$89,3,0)*VLOOKUP('Données projet'!$B$9,Paramètres!$A$1:$I$89,5,0)</f>
        <v>0.66985701674817832</v>
      </c>
      <c r="P5" s="13">
        <f t="shared" ref="P5:P68" si="33">EXP(-1.0587+0.8836*LN(O5)+0.284)</f>
        <v>0.32343711768198868</v>
      </c>
      <c r="Q5" s="20">
        <f t="shared" si="2"/>
        <v>1.729987284132541</v>
      </c>
      <c r="R5" s="59">
        <f t="shared" si="0"/>
        <v>295.06332061746588</v>
      </c>
      <c r="S5" s="59">
        <f ca="1">AVERAGE(OFFSET($R$3,0,0,'Données projet'!$E$9+1,1))-AVERAGE(OFFSET($H$3,0,0,'Données projet'!$E$9+1,1))</f>
        <v>198.17898804494365</v>
      </c>
      <c r="T5" s="59">
        <f t="shared" ref="T5:T68" si="34">$T$3</f>
        <v>186.24772922797723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295.8692231276803</v>
      </c>
      <c r="AN5" s="59">
        <f ca="1">AVERAGE(OFFSET($AM$3,0,0,'Données projet'!$E$10+1,1))-AVERAGE(OFFSET($H$3,0,0,'Données projet'!$E$10+1,1))</f>
        <v>278.21846622758881</v>
      </c>
      <c r="AO5" s="59">
        <f t="shared" ref="AO5:AO68" si="36">$AO$3</f>
        <v>245.37578316242906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4.0628205128205126</v>
      </c>
      <c r="BD5" s="12">
        <f>IF('Données projet'!$A$88&gt;35,BD4+BC5-BL4,IF(A5&lt;'Données projet'!$A$88,$BA$205^A5,IF(A5='Données projet'!$A$88,'Données projet'!$B$88,BD4+BC5-BL4)))</f>
        <v>1.3774100880908995</v>
      </c>
      <c r="BE5" s="13">
        <f>BD5*VLOOKUP('Données projet'!$B$11,Paramètres!$A$1:$I$89,3,0)*VLOOKUP('Données projet'!$B$11,Paramètres!$A$1:$I$89,5,0)</f>
        <v>1.2462806477046457</v>
      </c>
      <c r="BF5" s="13">
        <f t="shared" ref="BF5:BF68" si="37">EXP(-1.0587+0.8836*LN(BE5)+0.284)</f>
        <v>0.55980687933617612</v>
      </c>
      <c r="BG5" s="20">
        <f t="shared" si="7"/>
        <v>3.1456024429294316</v>
      </c>
      <c r="BH5" s="59">
        <f t="shared" si="8"/>
        <v>296.47893577626274</v>
      </c>
      <c r="BI5" s="59">
        <f ca="1">AVERAGE(OFFSET($BH$3,0,0,'Données projet'!$E$11+1,1))-AVERAGE(OFFSET($H$3,0,0,'Données projet'!$E$11+1,1))</f>
        <v>270.87836509222456</v>
      </c>
      <c r="BJ5" s="59">
        <f t="shared" ref="BJ5:BJ68" si="38">$BJ$3</f>
        <v>205.24998237949734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4.0628205128205126</v>
      </c>
      <c r="BY5" s="12">
        <f>IF('Données projet'!$A$114&gt;35,BY4+BX5-CG4,IF(A5&lt;'Données projet'!$A$114,$BV$205^A5,IF(A5='Données projet'!$A$114,'Données projet'!$B$114,BY4+BX5-CG4)))</f>
        <v>1.3774100880908995</v>
      </c>
      <c r="BZ5" s="13">
        <f>BY5*VLOOKUP('Données projet'!$B$12,Paramètres!$A$1:$I$89,3,0)*VLOOKUP('Données projet'!$B$12,Paramètres!$A$1:$I$89,5,0)</f>
        <v>1.3966938293241722</v>
      </c>
      <c r="CA5" s="13">
        <f t="shared" ref="CA5:CA68" si="39">EXP(-1.0587+0.8836*LN(BZ5)+0.284)</f>
        <v>0.61910384026408283</v>
      </c>
      <c r="CB5" s="20">
        <f t="shared" si="10"/>
        <v>3.5108476078662108</v>
      </c>
      <c r="CC5" s="59">
        <f t="shared" si="11"/>
        <v>296.84418094119951</v>
      </c>
      <c r="CD5" s="59">
        <f ca="1">AVERAGE(OFFSET($CC$3,0,0,'Données projet'!$E$12+1,1))-AVERAGE(OFFSET($H$3,0,0,'Données projet'!$E$12+1,1))</f>
        <v>312.29056285877169</v>
      </c>
      <c r="CE5" s="59">
        <f t="shared" ref="CE5:CE68" si="40">$CE$3</f>
        <v>233.85454224241693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2.9235042735042733</v>
      </c>
      <c r="CT5" s="12">
        <f>IF('Données projet'!$A$140&gt;35,CT4+CS5-DB4,IF(A5&lt;'Données projet'!$A$140,$CQ$205^A5,IF(A5='Données projet'!$A$140,'Données projet'!$B$140,CT4+CS5-DB4)))</f>
        <v>1.3475193156576519</v>
      </c>
      <c r="CU5" s="17">
        <f>CT5*VLOOKUP('Données projet'!$B$13,Paramètres!$A$1:$I$89,3,0)*VLOOKUP('Données projet'!$B$13,Paramètres!$A$1:$I$89,5,0)</f>
        <v>1.534554996670934</v>
      </c>
      <c r="CV5" s="13">
        <f t="shared" ref="CV5:CV68" si="41">EXP(-1.0587+0.8836*LN(CU5)+0.284)</f>
        <v>0.67280028143261705</v>
      </c>
      <c r="CW5" s="20">
        <f t="shared" si="13"/>
        <v>3.8444771093636851</v>
      </c>
      <c r="CX5" s="59">
        <f t="shared" si="14"/>
        <v>297.17781044269702</v>
      </c>
      <c r="CY5" s="59">
        <f ca="1">AVERAGE(OFFSET($CX$3,0,0,'Données projet'!$E$13+1,1))-AVERAGE(OFFSET($H$3,0,0,'Données projet'!$E$13+1,1))</f>
        <v>292.22737648725354</v>
      </c>
      <c r="CZ5" s="59">
        <f t="shared" ref="CZ5:CZ68" si="42">$CZ$3</f>
        <v>182.84038581199871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2.9235042735042733</v>
      </c>
      <c r="DO5" s="12">
        <f>IF('Données projet'!$A$166&gt;35,DO4+DN5-DW4,IF(A5&lt;'Données projet'!$A$166,$DL$205^A5,IF(A5='Données projet'!$A$166,'Données projet'!$B$166,DO4+DN5-DW4)))</f>
        <v>1.3475193156576519</v>
      </c>
      <c r="DP5" s="17">
        <f>DO5*VLOOKUP('Données projet'!$B$14,Paramètres!$A$1:$I$89,3,0)*VLOOKUP('Données projet'!$B$14,Paramètres!$A$1:$I$89,5,0)</f>
        <v>1.4714910926981559</v>
      </c>
      <c r="DQ5" s="13">
        <f t="shared" ref="DQ5:DQ68" si="43">EXP(-1.0587+0.8836*LN(DP5)+0.284)</f>
        <v>0.6483099893779195</v>
      </c>
      <c r="DR5" s="20">
        <f t="shared" si="16"/>
        <v>3.6919868846158312</v>
      </c>
      <c r="DS5" s="59">
        <f t="shared" si="17"/>
        <v>297.02532021794917</v>
      </c>
      <c r="DT5" s="59">
        <f ca="1">AVERAGE(OFFSET($DS$3,0,0,'Données projet'!$E$14+1,1))-AVERAGE(OFFSET($H$3,0,0,'Données projet'!$E$14+1,1))</f>
        <v>276.52126514622455</v>
      </c>
      <c r="DU5" s="59">
        <f t="shared" ref="DU5:DU68" si="44">$DU$3</f>
        <v>173.98404849503186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2.9235042735042733</v>
      </c>
      <c r="EJ5" s="12">
        <f>IF('Données projet'!$A$192&gt;35,EJ4+EI5-ER4,IF(A5&lt;'Données projet'!$A$192,$EG$205^A5,IF(A5='Données projet'!$A$192,'Données projet'!$B$192,EJ4+EI5-ER4)))</f>
        <v>1.3475193156576519</v>
      </c>
      <c r="EK5" s="17">
        <f>EJ5*VLOOKUP('Données projet'!$B$15,Paramètres!$A$1:$I$89,3,0)*VLOOKUP('Données projet'!$B$15,Paramètres!$A$1:$I$89,5,0)</f>
        <v>1.303320682104081</v>
      </c>
      <c r="EL5" s="13">
        <f t="shared" ref="EL5:EL68" si="45">EXP(-1.0587+0.8836*LN(EK5)+0.284)</f>
        <v>0.5823866110713507</v>
      </c>
      <c r="EM5" s="20">
        <f t="shared" si="19"/>
        <v>3.284273535613877</v>
      </c>
      <c r="EN5" s="59">
        <f t="shared" si="20"/>
        <v>296.61760686894718</v>
      </c>
      <c r="EO5" s="59">
        <f ca="1">AVERAGE(OFFSET($EN$3,0,0,'Données projet'!$E$15+1,1))-AVERAGE(OFFSET($H$3,0,0,'Données projet'!$E$15+1,1))</f>
        <v>234.56750794375012</v>
      </c>
      <c r="EP5" s="59">
        <f t="shared" ref="EP5:EP68" si="46">$EP$3</f>
        <v>150.32420541314724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7.2264102564102561</v>
      </c>
      <c r="N6" s="13">
        <f>IF('Données projet'!$A$36&gt;35,N5+M6-V5,IF(A6&lt;'Données projet'!$A$36,$K$205^A6,IF(A6='Données projet'!$A$36,'Données projet'!$B$36,N5+M6-V5)))</f>
        <v>1.7123967181757771</v>
      </c>
      <c r="O6" s="13">
        <f>N6*VLOOKUP('Données projet'!$B$9,Paramètres!$A$1:$I$89,3,0)*VLOOKUP('Données projet'!$B$9,Paramètres!$A$1:$I$89,5,0)</f>
        <v>0.80140166410626379</v>
      </c>
      <c r="P6" s="13">
        <f t="shared" si="33"/>
        <v>0.37896066764546593</v>
      </c>
      <c r="Q6" s="20">
        <f t="shared" si="2"/>
        <v>2.0557977278009294</v>
      </c>
      <c r="R6" s="59">
        <f t="shared" si="0"/>
        <v>295.38913106113426</v>
      </c>
      <c r="S6" s="59">
        <f ca="1">AVERAGE(OFFSET($R$3,0,0,'Données projet'!$E$9+1,1))-AVERAGE(OFFSET($H$3,0,0,'Données projet'!$E$9+1,1))</f>
        <v>198.17898804494365</v>
      </c>
      <c r="T6" s="59">
        <f t="shared" si="34"/>
        <v>186.24772922797723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296.57673872359732</v>
      </c>
      <c r="AN6" s="59">
        <f ca="1">AVERAGE(OFFSET($AM$3,0,0,'Données projet'!$E$10+1,1))-AVERAGE(OFFSET($H$3,0,0,'Données projet'!$E$10+1,1))</f>
        <v>278.21846622758881</v>
      </c>
      <c r="AO6" s="59">
        <f t="shared" si="36"/>
        <v>245.37578316242906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4.0628205128205126</v>
      </c>
      <c r="BD6" s="12">
        <f>IF('Données projet'!$A$88&gt;35,BD5+BC6-BL5,IF(A6&lt;'Données projet'!$A$88,$BA$205^A6,IF(A6='Données projet'!$A$88,'Données projet'!$B$88,BD5+BC6-BL5)))</f>
        <v>1.6165713926559588</v>
      </c>
      <c r="BE6" s="13">
        <f>BD6*VLOOKUP('Données projet'!$B$11,Paramètres!$A$1:$I$89,3,0)*VLOOKUP('Données projet'!$B$11,Paramètres!$A$1:$I$89,5,0)</f>
        <v>1.4626737960751115</v>
      </c>
      <c r="BF6" s="13">
        <f t="shared" si="37"/>
        <v>0.64487624467855742</v>
      </c>
      <c r="BG6" s="20">
        <f t="shared" si="7"/>
        <v>3.6706496543126392</v>
      </c>
      <c r="BH6" s="59">
        <f t="shared" si="8"/>
        <v>297.00398298764594</v>
      </c>
      <c r="BI6" s="59">
        <f ca="1">AVERAGE(OFFSET($BH$3,0,0,'Données projet'!$E$11+1,1))-AVERAGE(OFFSET($H$3,0,0,'Données projet'!$E$11+1,1))</f>
        <v>270.87836509222456</v>
      </c>
      <c r="BJ6" s="59">
        <f t="shared" si="38"/>
        <v>205.24998237949734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4.0628205128205126</v>
      </c>
      <c r="BY6" s="12">
        <f>IF('Données projet'!$A$114&gt;35,BY5+BX6-CG5,IF(A6&lt;'Données projet'!$A$114,$BV$205^A6,IF(A6='Données projet'!$A$114,'Données projet'!$B$114,BY5+BX6-CG5)))</f>
        <v>1.6165713926559588</v>
      </c>
      <c r="BZ6" s="13">
        <f>BY6*VLOOKUP('Données projet'!$B$12,Paramètres!$A$1:$I$89,3,0)*VLOOKUP('Données projet'!$B$12,Paramètres!$A$1:$I$89,5,0)</f>
        <v>1.6392033921531424</v>
      </c>
      <c r="CA6" s="13">
        <f t="shared" si="39"/>
        <v>0.71318408957211055</v>
      </c>
      <c r="CB6" s="20">
        <f t="shared" si="10"/>
        <v>4.0970748640048145</v>
      </c>
      <c r="CC6" s="59">
        <f t="shared" si="11"/>
        <v>297.43040819733812</v>
      </c>
      <c r="CD6" s="59">
        <f ca="1">AVERAGE(OFFSET($CC$3,0,0,'Données projet'!$E$12+1,1))-AVERAGE(OFFSET($H$3,0,0,'Données projet'!$E$12+1,1))</f>
        <v>312.29056285877169</v>
      </c>
      <c r="CE6" s="59">
        <f t="shared" si="40"/>
        <v>233.85454224241693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2.9235042735042733</v>
      </c>
      <c r="CT6" s="12">
        <f>IF('Données projet'!$A$140&gt;35,CT5+CS6-DB5,IF(A6&lt;'Données projet'!$A$140,$CQ$205^A6,IF(A6='Données projet'!$A$140,'Données projet'!$B$140,CT5+CS6-DB5)))</f>
        <v>1.5642367998361231</v>
      </c>
      <c r="CU6" s="17">
        <f>CT6*VLOOKUP('Données projet'!$B$13,Paramètres!$A$1:$I$89,3,0)*VLOOKUP('Données projet'!$B$13,Paramètres!$A$1:$I$89,5,0)</f>
        <v>1.781352867653377</v>
      </c>
      <c r="CV6" s="13">
        <f t="shared" si="41"/>
        <v>0.76756422917750766</v>
      </c>
      <c r="CW6" s="20">
        <f t="shared" si="13"/>
        <v>4.4393639436471233</v>
      </c>
      <c r="CX6" s="59">
        <f t="shared" si="14"/>
        <v>297.77269727698047</v>
      </c>
      <c r="CY6" s="59">
        <f ca="1">AVERAGE(OFFSET($CX$3,0,0,'Données projet'!$E$13+1,1))-AVERAGE(OFFSET($H$3,0,0,'Données projet'!$E$13+1,1))</f>
        <v>292.22737648725354</v>
      </c>
      <c r="CZ6" s="59">
        <f t="shared" si="42"/>
        <v>182.84038581199871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2.9235042735042733</v>
      </c>
      <c r="DO6" s="12">
        <f>IF('Données projet'!$A$166&gt;35,DO5+DN6-DW5,IF(A6&lt;'Données projet'!$A$166,$DL$205^A6,IF(A6='Données projet'!$A$166,'Données projet'!$B$166,DO5+DN6-DW5)))</f>
        <v>1.5642367998361231</v>
      </c>
      <c r="DP6" s="17">
        <f>DO6*VLOOKUP('Données projet'!$B$14,Paramètres!$A$1:$I$89,3,0)*VLOOKUP('Données projet'!$B$14,Paramètres!$A$1:$I$89,5,0)</f>
        <v>1.7081465854210462</v>
      </c>
      <c r="DQ6" s="13">
        <f t="shared" si="43"/>
        <v>0.73962447846386492</v>
      </c>
      <c r="DR6" s="20">
        <f t="shared" si="16"/>
        <v>4.2632012695995538</v>
      </c>
      <c r="DS6" s="59">
        <f t="shared" si="17"/>
        <v>297.59653460293288</v>
      </c>
      <c r="DT6" s="59">
        <f ca="1">AVERAGE(OFFSET($DS$3,0,0,'Données projet'!$E$14+1,1))-AVERAGE(OFFSET($H$3,0,0,'Données projet'!$E$14+1,1))</f>
        <v>276.52126514622455</v>
      </c>
      <c r="DU6" s="59">
        <f t="shared" si="44"/>
        <v>173.98404849503186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2.9235042735042733</v>
      </c>
      <c r="EJ6" s="12">
        <f>IF('Données projet'!$A$192&gt;35,EJ5+EI6-ER5,IF(A6&lt;'Données projet'!$A$192,$EG$205^A6,IF(A6='Données projet'!$A$192,'Données projet'!$B$192,EJ5+EI6-ER5)))</f>
        <v>1.5642367998361231</v>
      </c>
      <c r="EK6" s="17">
        <f>EJ6*VLOOKUP('Données projet'!$B$15,Paramètres!$A$1:$I$89,3,0)*VLOOKUP('Données projet'!$B$15,Paramètres!$A$1:$I$89,5,0)</f>
        <v>1.5129298328014982</v>
      </c>
      <c r="EL6" s="13">
        <f t="shared" si="45"/>
        <v>0.66441578956897707</v>
      </c>
      <c r="EM6" s="20">
        <f t="shared" si="19"/>
        <v>3.7922102922952434</v>
      </c>
      <c r="EN6" s="59">
        <f t="shared" si="20"/>
        <v>297.12554362562855</v>
      </c>
      <c r="EO6" s="59">
        <f ca="1">AVERAGE(OFFSET($EN$3,0,0,'Données projet'!$E$15+1,1))-AVERAGE(OFFSET($H$3,0,0,'Données projet'!$E$15+1,1))</f>
        <v>234.56750794375012</v>
      </c>
      <c r="EP6" s="59">
        <f t="shared" si="46"/>
        <v>150.32420541314724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7.2264102564102561</v>
      </c>
      <c r="N7" s="13">
        <f>IF('Données projet'!$A$36&gt;35,N6+M7-V6,IF(A7&lt;'Données projet'!$A$36,$K$205^A7,IF(A7='Données projet'!$A$36,'Données projet'!$B$36,N6+M7-V6)))</f>
        <v>2.0486723961153532</v>
      </c>
      <c r="O7" s="13">
        <f>N7*VLOOKUP('Données projet'!$B$9,Paramètres!$A$1:$I$89,3,0)*VLOOKUP('Données projet'!$B$9,Paramètres!$A$1:$I$89,5,0)</f>
        <v>0.95877868138198519</v>
      </c>
      <c r="P7" s="13">
        <f t="shared" si="33"/>
        <v>0.44401579092570115</v>
      </c>
      <c r="Q7" s="20">
        <f t="shared" si="2"/>
        <v>2.4432003726025537</v>
      </c>
      <c r="R7" s="59">
        <f t="shared" si="0"/>
        <v>295.77653370593589</v>
      </c>
      <c r="S7" s="59">
        <f ca="1">AVERAGE(OFFSET($R$3,0,0,'Données projet'!$E$9+1,1))-AVERAGE(OFFSET($H$3,0,0,'Données projet'!$E$9+1,1))</f>
        <v>198.17898804494365</v>
      </c>
      <c r="T7" s="59">
        <f t="shared" si="34"/>
        <v>186.24772922797723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297.48243470102432</v>
      </c>
      <c r="AN7" s="59">
        <f ca="1">AVERAGE(OFFSET($AM$3,0,0,'Données projet'!$E$10+1,1))-AVERAGE(OFFSET($H$3,0,0,'Données projet'!$E$10+1,1))</f>
        <v>278.21846622758881</v>
      </c>
      <c r="AO7" s="59">
        <f t="shared" si="36"/>
        <v>245.37578316242906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4.0628205128205126</v>
      </c>
      <c r="BD7" s="12">
        <f>IF('Données projet'!$A$88&gt;35,BD6+BC7-BL6,IF(A7&lt;'Données projet'!$A$88,$BA$205^A7,IF(A7='Données projet'!$A$88,'Données projet'!$B$88,BD6+BC7-BL6)))</f>
        <v>1.8972585507745794</v>
      </c>
      <c r="BE7" s="13">
        <f>BD7*VLOOKUP('Données projet'!$B$11,Paramètres!$A$1:$I$89,3,0)*VLOOKUP('Données projet'!$B$11,Paramètres!$A$1:$I$89,5,0)</f>
        <v>1.7166395367408394</v>
      </c>
      <c r="BF7" s="13">
        <f t="shared" si="37"/>
        <v>0.74287291975378222</v>
      </c>
      <c r="BG7" s="20">
        <f t="shared" si="7"/>
        <v>4.283650861728133</v>
      </c>
      <c r="BH7" s="59">
        <f t="shared" si="8"/>
        <v>297.61698419506143</v>
      </c>
      <c r="BI7" s="59">
        <f ca="1">AVERAGE(OFFSET($BH$3,0,0,'Données projet'!$E$11+1,1))-AVERAGE(OFFSET($H$3,0,0,'Données projet'!$E$11+1,1))</f>
        <v>270.87836509222456</v>
      </c>
      <c r="BJ7" s="59">
        <f t="shared" si="38"/>
        <v>205.24998237949734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4.0628205128205126</v>
      </c>
      <c r="BY7" s="12">
        <f>IF('Données projet'!$A$114&gt;35,BY6+BX7-CG6,IF(A7&lt;'Données projet'!$A$114,$BV$205^A7,IF(A7='Données projet'!$A$114,'Données projet'!$B$114,BY6+BX7-CG6)))</f>
        <v>1.8972585507745794</v>
      </c>
      <c r="BZ7" s="13">
        <f>BY7*VLOOKUP('Données projet'!$B$12,Paramètres!$A$1:$I$89,3,0)*VLOOKUP('Données projet'!$B$12,Paramètres!$A$1:$I$89,5,0)</f>
        <v>1.9238201704854236</v>
      </c>
      <c r="CA7" s="13">
        <f t="shared" si="39"/>
        <v>0.82156096043894689</v>
      </c>
      <c r="CB7" s="20">
        <f t="shared" si="10"/>
        <v>4.7815388030266117</v>
      </c>
      <c r="CC7" s="59">
        <f t="shared" si="11"/>
        <v>298.11487213635991</v>
      </c>
      <c r="CD7" s="59">
        <f ca="1">AVERAGE(OFFSET($CC$3,0,0,'Données projet'!$E$12+1,1))-AVERAGE(OFFSET($H$3,0,0,'Données projet'!$E$12+1,1))</f>
        <v>312.29056285877169</v>
      </c>
      <c r="CE7" s="59">
        <f t="shared" si="40"/>
        <v>233.85454224241693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2.9235042735042733</v>
      </c>
      <c r="CT7" s="12">
        <f>IF('Données projet'!$A$140&gt;35,CT6+CS7-DB6,IF(A7&lt;'Données projet'!$A$140,$CQ$205^A7,IF(A7='Données projet'!$A$140,'Données projet'!$B$140,CT6+CS7-DB6)))</f>
        <v>1.8158083060704666</v>
      </c>
      <c r="CU7" s="17">
        <f>CT7*VLOOKUP('Données projet'!$B$13,Paramètres!$A$1:$I$89,3,0)*VLOOKUP('Données projet'!$B$13,Paramètres!$A$1:$I$89,5,0)</f>
        <v>2.0678424989530475</v>
      </c>
      <c r="CV7" s="13">
        <f t="shared" si="41"/>
        <v>0.8756756829208715</v>
      </c>
      <c r="CW7" s="20">
        <f t="shared" si="13"/>
        <v>5.1266275000970749</v>
      </c>
      <c r="CX7" s="59">
        <f t="shared" si="14"/>
        <v>298.45996083343039</v>
      </c>
      <c r="CY7" s="59">
        <f ca="1">AVERAGE(OFFSET($CX$3,0,0,'Données projet'!$E$13+1,1))-AVERAGE(OFFSET($H$3,0,0,'Données projet'!$E$13+1,1))</f>
        <v>292.22737648725354</v>
      </c>
      <c r="CZ7" s="59">
        <f t="shared" si="42"/>
        <v>182.84038581199871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2.9235042735042733</v>
      </c>
      <c r="DO7" s="12">
        <f>IF('Données projet'!$A$166&gt;35,DO6+DN7-DW6,IF(A7&lt;'Données projet'!$A$166,$DL$205^A7,IF(A7='Données projet'!$A$166,'Données projet'!$B$166,DO6+DN7-DW6)))</f>
        <v>1.8158083060704666</v>
      </c>
      <c r="DP7" s="17">
        <f>DO7*VLOOKUP('Données projet'!$B$14,Paramètres!$A$1:$I$89,3,0)*VLOOKUP('Données projet'!$B$14,Paramètres!$A$1:$I$89,5,0)</f>
        <v>1.9828626702289494</v>
      </c>
      <c r="DQ7" s="13">
        <f t="shared" si="43"/>
        <v>0.84380061715207588</v>
      </c>
      <c r="DR7" s="20">
        <f t="shared" si="16"/>
        <v>4.9231052255219518</v>
      </c>
      <c r="DS7" s="59">
        <f t="shared" si="17"/>
        <v>298.25643855885528</v>
      </c>
      <c r="DT7" s="59">
        <f ca="1">AVERAGE(OFFSET($DS$3,0,0,'Données projet'!$E$14+1,1))-AVERAGE(OFFSET($H$3,0,0,'Données projet'!$E$14+1,1))</f>
        <v>276.52126514622455</v>
      </c>
      <c r="DU7" s="59">
        <f t="shared" si="44"/>
        <v>173.98404849503186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2.9235042735042733</v>
      </c>
      <c r="EJ7" s="12">
        <f>IF('Données projet'!$A$192&gt;35,EJ6+EI7-ER6,IF(A7&lt;'Données projet'!$A$192,$EG$205^A7,IF(A7='Données projet'!$A$192,'Données projet'!$B$192,EJ6+EI7-ER6)))</f>
        <v>1.8158083060704666</v>
      </c>
      <c r="EK7" s="17">
        <f>EJ7*VLOOKUP('Données projet'!$B$15,Paramètres!$A$1:$I$89,3,0)*VLOOKUP('Données projet'!$B$15,Paramètres!$A$1:$I$89,5,0)</f>
        <v>1.7562497936313552</v>
      </c>
      <c r="EL7" s="13">
        <f t="shared" si="45"/>
        <v>0.75799878128462583</v>
      </c>
      <c r="EM7" s="20">
        <f t="shared" si="19"/>
        <v>4.3789829346453333</v>
      </c>
      <c r="EN7" s="59">
        <f t="shared" si="20"/>
        <v>297.71231626797862</v>
      </c>
      <c r="EO7" s="59">
        <f ca="1">AVERAGE(OFFSET($EN$3,0,0,'Données projet'!$E$15+1,1))-AVERAGE(OFFSET($H$3,0,0,'Données projet'!$E$15+1,1))</f>
        <v>234.56750794375012</v>
      </c>
      <c r="EP7" s="59">
        <f t="shared" si="46"/>
        <v>150.32420541314724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7.2264102564102561</v>
      </c>
      <c r="N8" s="13">
        <f>IF('Données projet'!$A$36&gt;35,N7+M8-V7,IF(A8&lt;'Données projet'!$A$36,$K$205^A8,IF(A8='Données projet'!$A$36,'Données projet'!$B$36,N7+M8-V7)))</f>
        <v>2.4509849511252071</v>
      </c>
      <c r="O8" s="13">
        <f>N8*VLOOKUP('Données projet'!$B$9,Paramètres!$A$1:$I$89,3,0)*VLOOKUP('Données projet'!$B$9,Paramètres!$A$1:$I$89,5,0)</f>
        <v>1.1470609571265968</v>
      </c>
      <c r="P8" s="13">
        <f t="shared" si="33"/>
        <v>0.52023874619045773</v>
      </c>
      <c r="Q8" s="20">
        <f t="shared" si="2"/>
        <v>2.9038803166105365</v>
      </c>
      <c r="R8" s="59">
        <f t="shared" si="0"/>
        <v>296.23721364994384</v>
      </c>
      <c r="S8" s="59">
        <f ca="1">AVERAGE(OFFSET($R$3,0,0,'Données projet'!$E$9+1,1))-AVERAGE(OFFSET($H$3,0,0,'Données projet'!$E$9+1,1))</f>
        <v>198.17898804494365</v>
      </c>
      <c r="T8" s="59">
        <f t="shared" si="34"/>
        <v>186.24772922797723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298.64202949713871</v>
      </c>
      <c r="AN8" s="59">
        <f ca="1">AVERAGE(OFFSET($AM$3,0,0,'Données projet'!$E$10+1,1))-AVERAGE(OFFSET($H$3,0,0,'Données projet'!$E$10+1,1))</f>
        <v>278.21846622758881</v>
      </c>
      <c r="AO8" s="59">
        <f t="shared" si="36"/>
        <v>245.37578316242906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4.0628205128205126</v>
      </c>
      <c r="BD8" s="12">
        <f>IF('Données projet'!$A$88&gt;35,BD7+BC8-BL7,IF(A8&lt;'Données projet'!$A$88,$BA$205^A8,IF(A8='Données projet'!$A$88,'Données projet'!$B$88,BD7+BC8-BL7)))</f>
        <v>2.2266817443634719</v>
      </c>
      <c r="BE8" s="13">
        <f>BD8*VLOOKUP('Données projet'!$B$11,Paramètres!$A$1:$I$89,3,0)*VLOOKUP('Données projet'!$B$11,Paramètres!$A$1:$I$89,5,0)</f>
        <v>2.0147016423000692</v>
      </c>
      <c r="BF8" s="13">
        <f t="shared" si="37"/>
        <v>0.85576136422669402</v>
      </c>
      <c r="BG8" s="20">
        <f t="shared" si="7"/>
        <v>4.999389736367446</v>
      </c>
      <c r="BH8" s="59">
        <f t="shared" si="8"/>
        <v>298.33272306970076</v>
      </c>
      <c r="BI8" s="59">
        <f ca="1">AVERAGE(OFFSET($BH$3,0,0,'Données projet'!$E$11+1,1))-AVERAGE(OFFSET($H$3,0,0,'Données projet'!$E$11+1,1))</f>
        <v>270.87836509222456</v>
      </c>
      <c r="BJ8" s="59">
        <f t="shared" si="38"/>
        <v>205.24998237949734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4.0628205128205126</v>
      </c>
      <c r="BY8" s="12">
        <f>IF('Données projet'!$A$114&gt;35,BY7+BX8-CG7,IF(A8&lt;'Données projet'!$A$114,$BV$205^A8,IF(A8='Données projet'!$A$114,'Données projet'!$B$114,BY7+BX8-CG7)))</f>
        <v>2.2266817443634719</v>
      </c>
      <c r="BZ8" s="13">
        <f>BY8*VLOOKUP('Données projet'!$B$12,Paramètres!$A$1:$I$89,3,0)*VLOOKUP('Données projet'!$B$12,Paramètres!$A$1:$I$89,5,0)</f>
        <v>2.2578552887845609</v>
      </c>
      <c r="CA8" s="13">
        <f t="shared" si="39"/>
        <v>0.94640699587440658</v>
      </c>
      <c r="CB8" s="20">
        <f t="shared" si="10"/>
        <v>5.5807568124477021</v>
      </c>
      <c r="CC8" s="59">
        <f t="shared" si="11"/>
        <v>298.91409014578102</v>
      </c>
      <c r="CD8" s="59">
        <f ca="1">AVERAGE(OFFSET($CC$3,0,0,'Données projet'!$E$12+1,1))-AVERAGE(OFFSET($H$3,0,0,'Données projet'!$E$12+1,1))</f>
        <v>312.29056285877169</v>
      </c>
      <c r="CE8" s="59">
        <f t="shared" si="40"/>
        <v>233.85454224241693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2.9235042735042733</v>
      </c>
      <c r="CT8" s="12">
        <f>IF('Données projet'!$A$140&gt;35,CT7+CS8-DB7,IF(A8&lt;'Données projet'!$A$140,$CQ$205^A8,IF(A8='Données projet'!$A$140,'Données projet'!$B$140,CT7+CS8-DB7)))</f>
        <v>2.1078393020416879</v>
      </c>
      <c r="CU8" s="17">
        <f>CT8*VLOOKUP('Données projet'!$B$13,Paramètres!$A$1:$I$89,3,0)*VLOOKUP('Données projet'!$B$13,Paramètres!$A$1:$I$89,5,0)</f>
        <v>2.4004073971650741</v>
      </c>
      <c r="CV8" s="13">
        <f t="shared" si="41"/>
        <v>0.99901463944016333</v>
      </c>
      <c r="CW8" s="20">
        <f t="shared" si="13"/>
        <v>5.9206600470874555</v>
      </c>
      <c r="CX8" s="59">
        <f t="shared" si="14"/>
        <v>299.25399338042075</v>
      </c>
      <c r="CY8" s="59">
        <f ca="1">AVERAGE(OFFSET($CX$3,0,0,'Données projet'!$E$13+1,1))-AVERAGE(OFFSET($H$3,0,0,'Données projet'!$E$13+1,1))</f>
        <v>292.22737648725354</v>
      </c>
      <c r="CZ8" s="59">
        <f t="shared" si="42"/>
        <v>182.84038581199871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2.9235042735042733</v>
      </c>
      <c r="DO8" s="12">
        <f>IF('Données projet'!$A$166&gt;35,DO7+DN8-DW7,IF(A8&lt;'Données projet'!$A$166,$DL$205^A8,IF(A8='Données projet'!$A$166,'Données projet'!$B$166,DO7+DN8-DW7)))</f>
        <v>2.1078393020416879</v>
      </c>
      <c r="DP8" s="17">
        <f>DO8*VLOOKUP('Données projet'!$B$14,Paramètres!$A$1:$I$89,3,0)*VLOOKUP('Données projet'!$B$14,Paramètres!$A$1:$I$89,5,0)</f>
        <v>2.3017605178295231</v>
      </c>
      <c r="DQ8" s="13">
        <f t="shared" si="43"/>
        <v>0.96264996932630531</v>
      </c>
      <c r="DR8" s="20">
        <f t="shared" si="16"/>
        <v>5.6855149317964004</v>
      </c>
      <c r="DS8" s="59">
        <f t="shared" si="17"/>
        <v>299.01884826512969</v>
      </c>
      <c r="DT8" s="59">
        <f ca="1">AVERAGE(OFFSET($DS$3,0,0,'Données projet'!$E$14+1,1))-AVERAGE(OFFSET($H$3,0,0,'Données projet'!$E$14+1,1))</f>
        <v>276.52126514622455</v>
      </c>
      <c r="DU8" s="59">
        <f t="shared" si="44"/>
        <v>173.98404849503186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2.9235042735042733</v>
      </c>
      <c r="EJ8" s="12">
        <f>IF('Données projet'!$A$192&gt;35,EJ7+EI8-ER7,IF(A8&lt;'Données projet'!$A$192,$EG$205^A8,IF(A8='Données projet'!$A$192,'Données projet'!$B$192,EJ7+EI8-ER7)))</f>
        <v>2.1078393020416879</v>
      </c>
      <c r="EK8" s="17">
        <f>EJ8*VLOOKUP('Données projet'!$B$15,Paramètres!$A$1:$I$89,3,0)*VLOOKUP('Données projet'!$B$15,Paramètres!$A$1:$I$89,5,0)</f>
        <v>2.0387021729347206</v>
      </c>
      <c r="EL8" s="13">
        <f t="shared" si="45"/>
        <v>0.86476294129269682</v>
      </c>
      <c r="EM8" s="20">
        <f t="shared" si="19"/>
        <v>5.0568684072794188</v>
      </c>
      <c r="EN8" s="59">
        <f t="shared" si="20"/>
        <v>298.39020174061272</v>
      </c>
      <c r="EO8" s="59">
        <f ca="1">AVERAGE(OFFSET($EN$3,0,0,'Données projet'!$E$15+1,1))-AVERAGE(OFFSET($H$3,0,0,'Données projet'!$E$15+1,1))</f>
        <v>234.56750794375012</v>
      </c>
      <c r="EP8" s="59">
        <f t="shared" si="46"/>
        <v>150.32420541314724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7.2264102564102561</v>
      </c>
      <c r="N9" s="13">
        <f>IF('Données projet'!$A$36&gt;35,N8+M9-V8,IF(A9&lt;'Données projet'!$A$36,$K$205^A9,IF(A9='Données projet'!$A$36,'Données projet'!$B$36,N8+M9-V8)))</f>
        <v>2.9323025204191722</v>
      </c>
      <c r="O9" s="13">
        <f>N9*VLOOKUP('Données projet'!$B$9,Paramètres!$A$1:$I$89,3,0)*VLOOKUP('Données projet'!$B$9,Paramètres!$A$1:$I$89,5,0)</f>
        <v>1.3723175795561726</v>
      </c>
      <c r="P9" s="13">
        <f t="shared" si="33"/>
        <v>0.60954668407977464</v>
      </c>
      <c r="Q9" s="20">
        <f t="shared" si="2"/>
        <v>3.4517469258326074</v>
      </c>
      <c r="R9" s="59">
        <f t="shared" si="0"/>
        <v>296.78508025916591</v>
      </c>
      <c r="S9" s="59">
        <f ca="1">AVERAGE(OFFSET($R$3,0,0,'Données projet'!$E$9+1,1))-AVERAGE(OFFSET($H$3,0,0,'Données projet'!$E$9+1,1))</f>
        <v>198.17898804494365</v>
      </c>
      <c r="T9" s="59">
        <f t="shared" si="34"/>
        <v>186.24772922797723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300.12696112026919</v>
      </c>
      <c r="AN9" s="59">
        <f ca="1">AVERAGE(OFFSET($AM$3,0,0,'Données projet'!$E$10+1,1))-AVERAGE(OFFSET($H$3,0,0,'Données projet'!$E$10+1,1))</f>
        <v>278.21846622758881</v>
      </c>
      <c r="AO9" s="59">
        <f t="shared" si="36"/>
        <v>245.37578316242906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4.0628205128205126</v>
      </c>
      <c r="BD9" s="12">
        <f>IF('Données projet'!$A$88&gt;35,BD8+BC9-BL8,IF(A9&lt;'Données projet'!$A$88,$BA$205^A9,IF(A9='Données projet'!$A$88,'Données projet'!$B$88,BD8+BC9-BL8)))</f>
        <v>2.6133030675536255</v>
      </c>
      <c r="BE9" s="13">
        <f>BD9*VLOOKUP('Données projet'!$B$11,Paramètres!$A$1:$I$89,3,0)*VLOOKUP('Données projet'!$B$11,Paramètres!$A$1:$I$89,5,0)</f>
        <v>2.3645166155225201</v>
      </c>
      <c r="BF9" s="13">
        <f t="shared" si="37"/>
        <v>0.98580456095486013</v>
      </c>
      <c r="BG9" s="20">
        <f t="shared" si="7"/>
        <v>5.8351427156981037</v>
      </c>
      <c r="BH9" s="59">
        <f t="shared" si="8"/>
        <v>299.16847604903143</v>
      </c>
      <c r="BI9" s="59">
        <f ca="1">AVERAGE(OFFSET($BH$3,0,0,'Données projet'!$E$11+1,1))-AVERAGE(OFFSET($H$3,0,0,'Données projet'!$E$11+1,1))</f>
        <v>270.87836509222456</v>
      </c>
      <c r="BJ9" s="59">
        <f t="shared" si="38"/>
        <v>205.24998237949734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4.0628205128205126</v>
      </c>
      <c r="BY9" s="12">
        <f>IF('Données projet'!$A$114&gt;35,BY8+BX9-CG8,IF(A9&lt;'Données projet'!$A$114,$BV$205^A9,IF(A9='Données projet'!$A$114,'Données projet'!$B$114,BY8+BX9-CG8)))</f>
        <v>2.6133030675536255</v>
      </c>
      <c r="BZ9" s="13">
        <f>BY9*VLOOKUP('Données projet'!$B$12,Paramètres!$A$1:$I$89,3,0)*VLOOKUP('Données projet'!$B$12,Paramètres!$A$1:$I$89,5,0)</f>
        <v>2.6498893104993768</v>
      </c>
      <c r="CA9" s="13">
        <f t="shared" si="39"/>
        <v>1.0902248828394525</v>
      </c>
      <c r="CB9" s="20">
        <f t="shared" si="10"/>
        <v>6.5140322200651282</v>
      </c>
      <c r="CC9" s="59">
        <f t="shared" si="11"/>
        <v>299.84736555339845</v>
      </c>
      <c r="CD9" s="59">
        <f ca="1">AVERAGE(OFFSET($CC$3,0,0,'Données projet'!$E$12+1,1))-AVERAGE(OFFSET($H$3,0,0,'Données projet'!$E$12+1,1))</f>
        <v>312.29056285877169</v>
      </c>
      <c r="CE9" s="59">
        <f t="shared" si="40"/>
        <v>233.85454224241693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2.9235042735042733</v>
      </c>
      <c r="CT9" s="12">
        <f>IF('Données projet'!$A$140&gt;35,CT8+CS9-DB8,IF(A9&lt;'Données projet'!$A$140,$CQ$205^A9,IF(A9='Données projet'!$A$140,'Données projet'!$B$140,CT8+CS9-DB8)))</f>
        <v>2.4468367659615553</v>
      </c>
      <c r="CU9" s="17">
        <f>CT9*VLOOKUP('Données projet'!$B$13,Paramètres!$A$1:$I$89,3,0)*VLOOKUP('Données projet'!$B$13,Paramètres!$A$1:$I$89,5,0)</f>
        <v>2.7864577090770193</v>
      </c>
      <c r="CV9" s="13">
        <f t="shared" si="41"/>
        <v>1.1397258931374761</v>
      </c>
      <c r="CW9" s="20">
        <f t="shared" si="13"/>
        <v>6.8381031071902454</v>
      </c>
      <c r="CX9" s="59">
        <f t="shared" si="14"/>
        <v>300.17143644052356</v>
      </c>
      <c r="CY9" s="59">
        <f ca="1">AVERAGE(OFFSET($CX$3,0,0,'Données projet'!$E$13+1,1))-AVERAGE(OFFSET($H$3,0,0,'Données projet'!$E$13+1,1))</f>
        <v>292.22737648725354</v>
      </c>
      <c r="CZ9" s="59">
        <f t="shared" si="42"/>
        <v>182.84038581199871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2.9235042735042733</v>
      </c>
      <c r="DO9" s="12">
        <f>IF('Données projet'!$A$166&gt;35,DO8+DN9-DW8,IF(A9&lt;'Données projet'!$A$166,$DL$205^A9,IF(A9='Données projet'!$A$166,'Données projet'!$B$166,DO8+DN9-DW8)))</f>
        <v>2.4468367659615553</v>
      </c>
      <c r="DP9" s="17">
        <f>DO9*VLOOKUP('Données projet'!$B$14,Paramètres!$A$1:$I$89,3,0)*VLOOKUP('Données projet'!$B$14,Paramètres!$A$1:$I$89,5,0)</f>
        <v>2.6719457484300184</v>
      </c>
      <c r="DQ9" s="13">
        <f t="shared" si="43"/>
        <v>1.0982392577190079</v>
      </c>
      <c r="DR9" s="20">
        <f t="shared" si="16"/>
        <v>6.5664055523762208</v>
      </c>
      <c r="DS9" s="59">
        <f t="shared" si="17"/>
        <v>299.89973888570955</v>
      </c>
      <c r="DT9" s="59">
        <f ca="1">AVERAGE(OFFSET($DS$3,0,0,'Données projet'!$E$14+1,1))-AVERAGE(OFFSET($H$3,0,0,'Données projet'!$E$14+1,1))</f>
        <v>276.52126514622455</v>
      </c>
      <c r="DU9" s="59">
        <f t="shared" si="44"/>
        <v>173.98404849503186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2.9235042735042733</v>
      </c>
      <c r="EJ9" s="12">
        <f>IF('Données projet'!$A$192&gt;35,EJ8+EI9-ER8,IF(A9&lt;'Données projet'!$A$192,$EG$205^A9,IF(A9='Données projet'!$A$192,'Données projet'!$B$192,EJ8+EI9-ER8)))</f>
        <v>2.4468367659615553</v>
      </c>
      <c r="EK9" s="17">
        <f>EJ9*VLOOKUP('Données projet'!$B$15,Paramètres!$A$1:$I$89,3,0)*VLOOKUP('Données projet'!$B$15,Paramètres!$A$1:$I$89,5,0)</f>
        <v>2.3665805200380166</v>
      </c>
      <c r="EL9" s="13">
        <f t="shared" si="45"/>
        <v>0.9865648376977989</v>
      </c>
      <c r="EM9" s="20">
        <f t="shared" si="19"/>
        <v>5.8400614980565448</v>
      </c>
      <c r="EN9" s="59">
        <f t="shared" si="20"/>
        <v>299.17339483138988</v>
      </c>
      <c r="EO9" s="59">
        <f ca="1">AVERAGE(OFFSET($EN$3,0,0,'Données projet'!$E$15+1,1))-AVERAGE(OFFSET($H$3,0,0,'Données projet'!$E$15+1,1))</f>
        <v>234.56750794375012</v>
      </c>
      <c r="EP9" s="59">
        <f t="shared" si="46"/>
        <v>150.32420541314724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7.2264102564102561</v>
      </c>
      <c r="N10" s="13">
        <f>IF('Données projet'!$A$36&gt;35,N9+M10-V9,IF(A10&lt;'Données projet'!$A$36,$K$205^A10,IF(A10='Données projet'!$A$36,'Données projet'!$B$36,N9+M10-V9)))</f>
        <v>3.5081398877252363</v>
      </c>
      <c r="O10" s="13">
        <f>N10*VLOOKUP('Données projet'!$B$9,Paramètres!$A$1:$I$89,3,0)*VLOOKUP('Données projet'!$B$9,Paramètres!$A$1:$I$89,5,0)</f>
        <v>1.6418094674554107</v>
      </c>
      <c r="P10" s="13">
        <f t="shared" si="33"/>
        <v>0.71418586714920729</v>
      </c>
      <c r="Q10" s="20">
        <f t="shared" si="2"/>
        <v>4.1033585411030424</v>
      </c>
      <c r="R10" s="59">
        <f t="shared" si="0"/>
        <v>297.43669187443635</v>
      </c>
      <c r="S10" s="59">
        <f ca="1">AVERAGE(OFFSET($R$3,0,0,'Données projet'!$E$9+1,1))-AVERAGE(OFFSET($H$3,0,0,'Données projet'!$E$9+1,1))</f>
        <v>198.17898804494365</v>
      </c>
      <c r="T10" s="59">
        <f t="shared" si="34"/>
        <v>186.24772922797723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302.02883626550931</v>
      </c>
      <c r="AN10" s="59">
        <f ca="1">AVERAGE(OFFSET($AM$3,0,0,'Données projet'!$E$10+1,1))-AVERAGE(OFFSET($H$3,0,0,'Données projet'!$E$10+1,1))</f>
        <v>278.21846622758881</v>
      </c>
      <c r="AO10" s="59">
        <f t="shared" si="36"/>
        <v>245.37578316242906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4.0628205128205126</v>
      </c>
      <c r="BD10" s="12">
        <f>IF('Données projet'!$A$88&gt;35,BD9+BC10-BL9,IF(A10&lt;'Données projet'!$A$88,$BA$205^A10,IF(A10='Données projet'!$A$88,'Données projet'!$B$88,BD9+BC10-BL9)))</f>
        <v>3.067053897654088</v>
      </c>
      <c r="BE10" s="13">
        <f>BD10*VLOOKUP('Données projet'!$B$11,Paramètres!$A$1:$I$89,3,0)*VLOOKUP('Données projet'!$B$11,Paramètres!$A$1:$I$89,5,0)</f>
        <v>2.775070366597419</v>
      </c>
      <c r="BF10" s="13">
        <f t="shared" si="37"/>
        <v>1.1356093801659046</v>
      </c>
      <c r="BG10" s="20">
        <f t="shared" si="7"/>
        <v>6.811100558946122</v>
      </c>
      <c r="BH10" s="59">
        <f t="shared" si="8"/>
        <v>300.14443389227944</v>
      </c>
      <c r="BI10" s="59">
        <f ca="1">AVERAGE(OFFSET($BH$3,0,0,'Données projet'!$E$11+1,1))-AVERAGE(OFFSET($H$3,0,0,'Données projet'!$E$11+1,1))</f>
        <v>270.87836509222456</v>
      </c>
      <c r="BJ10" s="59">
        <f t="shared" si="38"/>
        <v>205.24998237949734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4.0628205128205126</v>
      </c>
      <c r="BY10" s="12">
        <f>IF('Données projet'!$A$114&gt;35,BY9+BX10-CG9,IF(A10&lt;'Données projet'!$A$114,$BV$205^A10,IF(A10='Données projet'!$A$114,'Données projet'!$B$114,BY9+BX10-CG9)))</f>
        <v>3.067053897654088</v>
      </c>
      <c r="BZ10" s="13">
        <f>BY10*VLOOKUP('Données projet'!$B$12,Paramètres!$A$1:$I$89,3,0)*VLOOKUP('Données projet'!$B$12,Paramètres!$A$1:$I$89,5,0)</f>
        <v>3.1099926522212455</v>
      </c>
      <c r="CA10" s="13">
        <f t="shared" si="39"/>
        <v>1.2558976215767859</v>
      </c>
      <c r="CB10" s="20">
        <f t="shared" si="10"/>
        <v>7.6039255601982383</v>
      </c>
      <c r="CC10" s="59">
        <f t="shared" si="11"/>
        <v>300.93725889353158</v>
      </c>
      <c r="CD10" s="59">
        <f ca="1">AVERAGE(OFFSET($CC$3,0,0,'Données projet'!$E$12+1,1))-AVERAGE(OFFSET($H$3,0,0,'Données projet'!$E$12+1,1))</f>
        <v>312.29056285877169</v>
      </c>
      <c r="CE10" s="59">
        <f t="shared" si="40"/>
        <v>233.85454224241693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2.9235042735042733</v>
      </c>
      <c r="CT10" s="12">
        <f>IF('Données projet'!$A$140&gt;35,CT9+CS10-DB9,IF(A10&lt;'Données projet'!$A$140,$CQ$205^A10,IF(A10='Données projet'!$A$140,'Données projet'!$B$140,CT9+CS10-DB9)))</f>
        <v>2.8403541738035183</v>
      </c>
      <c r="CU10" s="17">
        <f>CT10*VLOOKUP('Données projet'!$B$13,Paramètres!$A$1:$I$89,3,0)*VLOOKUP('Données projet'!$B$13,Paramètres!$A$1:$I$89,5,0)</f>
        <v>3.2345953331274471</v>
      </c>
      <c r="CV10" s="13">
        <f t="shared" si="41"/>
        <v>1.300256332796033</v>
      </c>
      <c r="CW10" s="20">
        <f t="shared" si="13"/>
        <v>7.8981999848167277</v>
      </c>
      <c r="CX10" s="59">
        <f t="shared" si="14"/>
        <v>301.23153331815001</v>
      </c>
      <c r="CY10" s="59">
        <f ca="1">AVERAGE(OFFSET($CX$3,0,0,'Données projet'!$E$13+1,1))-AVERAGE(OFFSET($H$3,0,0,'Données projet'!$E$13+1,1))</f>
        <v>292.22737648725354</v>
      </c>
      <c r="CZ10" s="59">
        <f t="shared" si="42"/>
        <v>182.84038581199871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2.9235042735042733</v>
      </c>
      <c r="DO10" s="12">
        <f>IF('Données projet'!$A$166&gt;35,DO9+DN10-DW9,IF(A10&lt;'Données projet'!$A$166,$DL$205^A10,IF(A10='Données projet'!$A$166,'Données projet'!$B$166,DO9+DN10-DW9)))</f>
        <v>2.8403541738035183</v>
      </c>
      <c r="DP10" s="17">
        <f>DO10*VLOOKUP('Données projet'!$B$14,Paramètres!$A$1:$I$89,3,0)*VLOOKUP('Données projet'!$B$14,Paramètres!$A$1:$I$89,5,0)</f>
        <v>3.101666757793442</v>
      </c>
      <c r="DQ10" s="13">
        <f t="shared" si="43"/>
        <v>1.2529263030458386</v>
      </c>
      <c r="DR10" s="20">
        <f t="shared" si="16"/>
        <v>7.584249580961747</v>
      </c>
      <c r="DS10" s="59">
        <f t="shared" si="17"/>
        <v>300.91758291429505</v>
      </c>
      <c r="DT10" s="59">
        <f ca="1">AVERAGE(OFFSET($DS$3,0,0,'Données projet'!$E$14+1,1))-AVERAGE(OFFSET($H$3,0,0,'Données projet'!$E$14+1,1))</f>
        <v>276.52126514622455</v>
      </c>
      <c r="DU10" s="59">
        <f t="shared" si="44"/>
        <v>173.98404849503186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2.9235042735042733</v>
      </c>
      <c r="EJ10" s="12">
        <f>IF('Données projet'!$A$192&gt;35,EJ9+EI10-ER9,IF(A10&lt;'Données projet'!$A$192,$EG$205^A10,IF(A10='Données projet'!$A$192,'Données projet'!$B$192,EJ9+EI10-ER9)))</f>
        <v>2.8403541738035183</v>
      </c>
      <c r="EK10" s="17">
        <f>EJ10*VLOOKUP('Données projet'!$B$15,Paramètres!$A$1:$I$89,3,0)*VLOOKUP('Données projet'!$B$15,Paramètres!$A$1:$I$89,5,0)</f>
        <v>2.7471905569027628</v>
      </c>
      <c r="EL10" s="13">
        <f t="shared" si="45"/>
        <v>1.1255225362996297</v>
      </c>
      <c r="EM10" s="20">
        <f t="shared" si="19"/>
        <v>6.7449753039941669</v>
      </c>
      <c r="EN10" s="59">
        <f t="shared" si="20"/>
        <v>300.0783086373275</v>
      </c>
      <c r="EO10" s="59">
        <f ca="1">AVERAGE(OFFSET($EN$3,0,0,'Données projet'!$E$15+1,1))-AVERAGE(OFFSET($H$3,0,0,'Données projet'!$E$15+1,1))</f>
        <v>234.56750794375012</v>
      </c>
      <c r="EP10" s="59">
        <f t="shared" si="46"/>
        <v>150.32420541314724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7.2264102564102561</v>
      </c>
      <c r="N11" s="13">
        <f>IF('Données projet'!$A$36&gt;35,N10+M11-V10,IF(A11&lt;'Données projet'!$A$36,$K$205^A11,IF(A11='Données projet'!$A$36,'Données projet'!$B$36,N10+M11-V10)))</f>
        <v>4.1970585866050225</v>
      </c>
      <c r="O11" s="13">
        <f>N11*VLOOKUP('Données projet'!$B$9,Paramètres!$A$1:$I$89,3,0)*VLOOKUP('Données projet'!$B$9,Paramètres!$A$1:$I$89,5,0)</f>
        <v>1.9642234185311505</v>
      </c>
      <c r="P11" s="13">
        <f t="shared" si="33"/>
        <v>0.83678816759654573</v>
      </c>
      <c r="Q11" s="20">
        <f t="shared" si="2"/>
        <v>4.8784285125057369</v>
      </c>
      <c r="R11" s="59">
        <f t="shared" si="0"/>
        <v>298.21176184583908</v>
      </c>
      <c r="S11" s="59">
        <f ca="1">AVERAGE(OFFSET($R$3,0,0,'Données projet'!$E$9+1,1))-AVERAGE(OFFSET($H$3,0,0,'Données projet'!$E$9+1,1))</f>
        <v>198.17898804494365</v>
      </c>
      <c r="T11" s="59">
        <f t="shared" si="34"/>
        <v>186.24772922797723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304.46514237932377</v>
      </c>
      <c r="AN11" s="59">
        <f ca="1">AVERAGE(OFFSET($AM$3,0,0,'Données projet'!$E$10+1,1))-AVERAGE(OFFSET($H$3,0,0,'Données projet'!$E$10+1,1))</f>
        <v>278.21846622758881</v>
      </c>
      <c r="AO11" s="59">
        <f t="shared" si="36"/>
        <v>245.37578316242906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4.0628205128205126</v>
      </c>
      <c r="BD11" s="12">
        <f>IF('Données projet'!$A$88&gt;35,BD10+BC11-BL10,IF(A11&lt;'Données projet'!$A$88,$BA$205^A11,IF(A11='Données projet'!$A$88,'Données projet'!$B$88,BD10+BC11-BL10)))</f>
        <v>3.5995900084872572</v>
      </c>
      <c r="BE11" s="13">
        <f>BD11*VLOOKUP('Données projet'!$B$11,Paramètres!$A$1:$I$89,3,0)*VLOOKUP('Données projet'!$B$11,Paramètres!$A$1:$I$89,5,0)</f>
        <v>3.2569090396792704</v>
      </c>
      <c r="BF11" s="13">
        <f t="shared" si="37"/>
        <v>1.3081788372653314</v>
      </c>
      <c r="BG11" s="20">
        <f t="shared" si="7"/>
        <v>7.9508613856785146</v>
      </c>
      <c r="BH11" s="59">
        <f t="shared" si="8"/>
        <v>301.28419471901185</v>
      </c>
      <c r="BI11" s="59">
        <f ca="1">AVERAGE(OFFSET($BH$3,0,0,'Données projet'!$E$11+1,1))-AVERAGE(OFFSET($H$3,0,0,'Données projet'!$E$11+1,1))</f>
        <v>270.87836509222456</v>
      </c>
      <c r="BJ11" s="59">
        <f t="shared" si="38"/>
        <v>205.24998237949734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4.0628205128205126</v>
      </c>
      <c r="BY11" s="12">
        <f>IF('Données projet'!$A$114&gt;35,BY10+BX11-CG10,IF(A11&lt;'Données projet'!$A$114,$BV$205^A11,IF(A11='Données projet'!$A$114,'Données projet'!$B$114,BY10+BX11-CG10)))</f>
        <v>3.5995900084872572</v>
      </c>
      <c r="BZ11" s="13">
        <f>BY11*VLOOKUP('Données projet'!$B$12,Paramètres!$A$1:$I$89,3,0)*VLOOKUP('Données projet'!$B$12,Paramètres!$A$1:$I$89,5,0)</f>
        <v>3.6499842686060791</v>
      </c>
      <c r="CA11" s="13">
        <f t="shared" si="39"/>
        <v>1.4467463187725633</v>
      </c>
      <c r="CB11" s="20">
        <f t="shared" si="10"/>
        <v>8.8768057730178018</v>
      </c>
      <c r="CC11" s="59">
        <f t="shared" si="11"/>
        <v>302.21013910635111</v>
      </c>
      <c r="CD11" s="59">
        <f ca="1">AVERAGE(OFFSET($CC$3,0,0,'Données projet'!$E$12+1,1))-AVERAGE(OFFSET($H$3,0,0,'Données projet'!$E$12+1,1))</f>
        <v>312.29056285877169</v>
      </c>
      <c r="CE11" s="59">
        <f t="shared" si="40"/>
        <v>233.85454224241693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2.9235042735042733</v>
      </c>
      <c r="CT11" s="12">
        <f>IF('Données projet'!$A$140&gt;35,CT10+CS11-DB10,IF(A11&lt;'Données projet'!$A$140,$CQ$205^A11,IF(A11='Données projet'!$A$140,'Données projet'!$B$140,CT10+CS11-DB10)))</f>
        <v>3.2971598043944974</v>
      </c>
      <c r="CU11" s="17">
        <f>CT11*VLOOKUP('Données projet'!$B$13,Paramètres!$A$1:$I$89,3,0)*VLOOKUP('Données projet'!$B$13,Paramètres!$A$1:$I$89,5,0)</f>
        <v>3.7548055852444535</v>
      </c>
      <c r="CV11" s="13">
        <f t="shared" si="41"/>
        <v>1.4833974915863877</v>
      </c>
      <c r="CW11" s="20">
        <f t="shared" si="13"/>
        <v>9.1232036921470456</v>
      </c>
      <c r="CX11" s="59">
        <f t="shared" si="14"/>
        <v>302.45653702548037</v>
      </c>
      <c r="CY11" s="59">
        <f ca="1">AVERAGE(OFFSET($CX$3,0,0,'Données projet'!$E$13+1,1))-AVERAGE(OFFSET($H$3,0,0,'Données projet'!$E$13+1,1))</f>
        <v>292.22737648725354</v>
      </c>
      <c r="CZ11" s="59">
        <f t="shared" si="42"/>
        <v>182.84038581199871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2.9235042735042733</v>
      </c>
      <c r="DO11" s="12">
        <f>IF('Données projet'!$A$166&gt;35,DO10+DN11-DW10,IF(A11&lt;'Données projet'!$A$166,$DL$205^A11,IF(A11='Données projet'!$A$166,'Données projet'!$B$166,DO10+DN11-DW10)))</f>
        <v>3.2971598043944974</v>
      </c>
      <c r="DP11" s="17">
        <f>DO11*VLOOKUP('Données projet'!$B$14,Paramètres!$A$1:$I$89,3,0)*VLOOKUP('Données projet'!$B$14,Paramètres!$A$1:$I$89,5,0)</f>
        <v>3.6004985063987909</v>
      </c>
      <c r="DQ11" s="13">
        <f t="shared" si="43"/>
        <v>1.4294010251687455</v>
      </c>
      <c r="DR11" s="20">
        <f t="shared" si="16"/>
        <v>8.7604083508134583</v>
      </c>
      <c r="DS11" s="59">
        <f t="shared" si="17"/>
        <v>302.09374168414678</v>
      </c>
      <c r="DT11" s="59">
        <f ca="1">AVERAGE(OFFSET($DS$3,0,0,'Données projet'!$E$14+1,1))-AVERAGE(OFFSET($H$3,0,0,'Données projet'!$E$14+1,1))</f>
        <v>276.52126514622455</v>
      </c>
      <c r="DU11" s="59">
        <f t="shared" si="44"/>
        <v>173.98404849503186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2.9235042735042733</v>
      </c>
      <c r="EJ11" s="12">
        <f>IF('Données projet'!$A$192&gt;35,EJ10+EI11-ER10,IF(A11&lt;'Données projet'!$A$192,$EG$205^A11,IF(A11='Données projet'!$A$192,'Données projet'!$B$192,EJ10+EI11-ER10)))</f>
        <v>3.2971598043944974</v>
      </c>
      <c r="EK11" s="17">
        <f>EJ11*VLOOKUP('Données projet'!$B$15,Paramètres!$A$1:$I$89,3,0)*VLOOKUP('Données projet'!$B$15,Paramètres!$A$1:$I$89,5,0)</f>
        <v>3.1890129628103581</v>
      </c>
      <c r="EL11" s="13">
        <f t="shared" si="45"/>
        <v>1.2840524325542542</v>
      </c>
      <c r="EM11" s="20">
        <f t="shared" si="19"/>
        <v>7.7905888969266996</v>
      </c>
      <c r="EN11" s="59">
        <f t="shared" si="20"/>
        <v>301.12392223026001</v>
      </c>
      <c r="EO11" s="59">
        <f ca="1">AVERAGE(OFFSET($EN$3,0,0,'Données projet'!$E$15+1,1))-AVERAGE(OFFSET($H$3,0,0,'Données projet'!$E$15+1,1))</f>
        <v>234.56750794375012</v>
      </c>
      <c r="EP11" s="59">
        <f t="shared" si="46"/>
        <v>150.32420541314724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7.2264102564102561</v>
      </c>
      <c r="N12" s="13">
        <f>IF('Données projet'!$A$36&gt;35,N11+M12-V11,IF(A12&lt;'Données projet'!$A$36,$K$205^A12,IF(A12='Données projet'!$A$36,'Données projet'!$B$36,N11+M12-V11)))</f>
        <v>5.0212652126643498</v>
      </c>
      <c r="O12" s="13">
        <f>N12*VLOOKUP('Données projet'!$B$9,Paramètres!$A$1:$I$89,3,0)*VLOOKUP('Données projet'!$B$9,Paramètres!$A$1:$I$89,5,0)</f>
        <v>2.349952119526916</v>
      </c>
      <c r="P12" s="13">
        <f t="shared" si="33"/>
        <v>0.98043726379605944</v>
      </c>
      <c r="Q12" s="20">
        <f t="shared" si="2"/>
        <v>5.8004281759541811</v>
      </c>
      <c r="R12" s="59">
        <f t="shared" si="0"/>
        <v>299.13376150928752</v>
      </c>
      <c r="S12" s="59">
        <f ca="1">AVERAGE(OFFSET($R$3,0,0,'Données projet'!$E$9+1,1))-AVERAGE(OFFSET($H$3,0,0,'Données projet'!$E$9+1,1))</f>
        <v>198.17898804494365</v>
      </c>
      <c r="T12" s="59">
        <f t="shared" si="34"/>
        <v>186.24772922797723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307.5865821468015</v>
      </c>
      <c r="AN12" s="59">
        <f ca="1">AVERAGE(OFFSET($AM$3,0,0,'Données projet'!$E$10+1,1))-AVERAGE(OFFSET($H$3,0,0,'Données projet'!$E$10+1,1))</f>
        <v>278.21846622758881</v>
      </c>
      <c r="AO12" s="59">
        <f t="shared" si="36"/>
        <v>245.37578316242906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4.0628205128205126</v>
      </c>
      <c r="BD12" s="12">
        <f>IF('Données projet'!$A$88&gt;35,BD11+BC12-BL11,IF(A12&lt;'Données projet'!$A$88,$BA$205^A12,IF(A12='Données projet'!$A$88,'Données projet'!$B$88,BD11+BC12-BL11)))</f>
        <v>4.2245909793472531</v>
      </c>
      <c r="BE12" s="13">
        <f>BD12*VLOOKUP('Données projet'!$B$11,Paramètres!$A$1:$I$89,3,0)*VLOOKUP('Données projet'!$B$11,Paramètres!$A$1:$I$89,5,0)</f>
        <v>3.822409918113395</v>
      </c>
      <c r="BF12" s="13">
        <f t="shared" si="37"/>
        <v>1.5069722918446318</v>
      </c>
      <c r="BG12" s="20">
        <f t="shared" si="7"/>
        <v>9.2820073490102306</v>
      </c>
      <c r="BH12" s="59">
        <f t="shared" si="8"/>
        <v>302.61534068234357</v>
      </c>
      <c r="BI12" s="59">
        <f ca="1">AVERAGE(OFFSET($BH$3,0,0,'Données projet'!$E$11+1,1))-AVERAGE(OFFSET($H$3,0,0,'Données projet'!$E$11+1,1))</f>
        <v>270.87836509222456</v>
      </c>
      <c r="BJ12" s="59">
        <f t="shared" si="38"/>
        <v>205.24998237949734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4.0628205128205126</v>
      </c>
      <c r="BY12" s="12">
        <f>IF('Données projet'!$A$114&gt;35,BY11+BX12-CG11,IF(A12&lt;'Données projet'!$A$114,$BV$205^A12,IF(A12='Données projet'!$A$114,'Données projet'!$B$114,BY11+BX12-CG11)))</f>
        <v>4.2245909793472531</v>
      </c>
      <c r="BZ12" s="13">
        <f>BY12*VLOOKUP('Données projet'!$B$12,Paramètres!$A$1:$I$89,3,0)*VLOOKUP('Données projet'!$B$12,Paramètres!$A$1:$I$89,5,0)</f>
        <v>4.283735253058115</v>
      </c>
      <c r="CA12" s="13">
        <f t="shared" si="39"/>
        <v>1.6665967630817691</v>
      </c>
      <c r="CB12" s="20">
        <f t="shared" si="10"/>
        <v>10.363494928110297</v>
      </c>
      <c r="CC12" s="59">
        <f t="shared" si="11"/>
        <v>303.69682826144361</v>
      </c>
      <c r="CD12" s="59">
        <f ca="1">AVERAGE(OFFSET($CC$3,0,0,'Données projet'!$E$12+1,1))-AVERAGE(OFFSET($H$3,0,0,'Données projet'!$E$12+1,1))</f>
        <v>312.29056285877169</v>
      </c>
      <c r="CE12" s="59">
        <f t="shared" si="40"/>
        <v>233.85454224241693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2.9235042735042733</v>
      </c>
      <c r="CT12" s="12">
        <f>IF('Données projet'!$A$140&gt;35,CT11+CS12-DB11,IF(A12&lt;'Données projet'!$A$140,$CQ$205^A12,IF(A12='Données projet'!$A$140,'Données projet'!$B$140,CT11+CS12-DB11)))</f>
        <v>3.8274321125090722</v>
      </c>
      <c r="CU12" s="17">
        <f>CT12*VLOOKUP('Données projet'!$B$13,Paramètres!$A$1:$I$89,3,0)*VLOOKUP('Données projet'!$B$13,Paramètres!$A$1:$I$89,5,0)</f>
        <v>4.3586796897253315</v>
      </c>
      <c r="CV12" s="13">
        <f t="shared" si="41"/>
        <v>1.6923340902427797</v>
      </c>
      <c r="CW12" s="20">
        <f t="shared" si="13"/>
        <v>10.538849000111126</v>
      </c>
      <c r="CX12" s="59">
        <f t="shared" si="14"/>
        <v>303.87218233344441</v>
      </c>
      <c r="CY12" s="59">
        <f ca="1">AVERAGE(OFFSET($CX$3,0,0,'Données projet'!$E$13+1,1))-AVERAGE(OFFSET($H$3,0,0,'Données projet'!$E$13+1,1))</f>
        <v>292.22737648725354</v>
      </c>
      <c r="CZ12" s="59">
        <f t="shared" si="42"/>
        <v>182.84038581199871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2.9235042735042733</v>
      </c>
      <c r="DO12" s="12">
        <f>IF('Données projet'!$A$166&gt;35,DO11+DN12-DW11,IF(A12&lt;'Données projet'!$A$166,$DL$205^A12,IF(A12='Données projet'!$A$166,'Données projet'!$B$166,DO11+DN12-DW11)))</f>
        <v>3.8274321125090722</v>
      </c>
      <c r="DP12" s="17">
        <f>DO12*VLOOKUP('Données projet'!$B$14,Paramètres!$A$1:$I$89,3,0)*VLOOKUP('Données projet'!$B$14,Paramètres!$A$1:$I$89,5,0)</f>
        <v>4.1795558668599062</v>
      </c>
      <c r="DQ12" s="13">
        <f t="shared" si="43"/>
        <v>1.6307322192746001</v>
      </c>
      <c r="DR12" s="20">
        <f t="shared" si="16"/>
        <v>10.119585083350932</v>
      </c>
      <c r="DS12" s="59">
        <f t="shared" si="17"/>
        <v>303.45291841668427</v>
      </c>
      <c r="DT12" s="59">
        <f ca="1">AVERAGE(OFFSET($DS$3,0,0,'Données projet'!$E$14+1,1))-AVERAGE(OFFSET($H$3,0,0,'Données projet'!$E$14+1,1))</f>
        <v>276.52126514622455</v>
      </c>
      <c r="DU12" s="59">
        <f t="shared" si="44"/>
        <v>173.98404849503186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2.9235042735042733</v>
      </c>
      <c r="EJ12" s="12">
        <f>IF('Données projet'!$A$192&gt;35,EJ11+EI12-ER11,IF(A12&lt;'Données projet'!$A$192,$EG$205^A12,IF(A12='Données projet'!$A$192,'Données projet'!$B$192,EJ11+EI12-ER11)))</f>
        <v>3.8274321125090722</v>
      </c>
      <c r="EK12" s="17">
        <f>EJ12*VLOOKUP('Données projet'!$B$15,Paramètres!$A$1:$I$89,3,0)*VLOOKUP('Données projet'!$B$15,Paramètres!$A$1:$I$89,5,0)</f>
        <v>3.7018923392187748</v>
      </c>
      <c r="EL12" s="13">
        <f t="shared" si="45"/>
        <v>1.4649112713186636</v>
      </c>
      <c r="EM12" s="20">
        <f t="shared" si="19"/>
        <v>8.9988496216860376</v>
      </c>
      <c r="EN12" s="59">
        <f t="shared" si="20"/>
        <v>302.33218295501933</v>
      </c>
      <c r="EO12" s="59">
        <f ca="1">AVERAGE(OFFSET($EN$3,0,0,'Données projet'!$E$15+1,1))-AVERAGE(OFFSET($H$3,0,0,'Données projet'!$E$15+1,1))</f>
        <v>234.56750794375012</v>
      </c>
      <c r="EP12" s="59">
        <f t="shared" si="46"/>
        <v>150.32420541314724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7.2264102564102561</v>
      </c>
      <c r="N13" s="13">
        <f>IF('Données projet'!$A$36&gt;35,N12+M13-V12,IF(A13&lt;'Données projet'!$A$36,$K$205^A13,IF(A13='Données projet'!$A$36,'Données projet'!$B$36,N12+M13-V12)))</f>
        <v>6.0073272306422343</v>
      </c>
      <c r="O13" s="13">
        <f>N13*VLOOKUP('Données projet'!$B$9,Paramètres!$A$1:$I$89,3,0)*VLOOKUP('Données projet'!$B$9,Paramètres!$A$1:$I$89,5,0)</f>
        <v>2.8114291439405656</v>
      </c>
      <c r="P13" s="13">
        <f t="shared" si="33"/>
        <v>1.1487462006075717</v>
      </c>
      <c r="Q13" s="20">
        <f t="shared" si="2"/>
        <v>6.8973053917546716</v>
      </c>
      <c r="R13" s="59">
        <f t="shared" si="0"/>
        <v>300.230638725088</v>
      </c>
      <c r="S13" s="59">
        <f ca="1">AVERAGE(OFFSET($R$3,0,0,'Données projet'!$E$9+1,1))-AVERAGE(OFFSET($H$3,0,0,'Données projet'!$E$9+1,1))</f>
        <v>198.17898804494365</v>
      </c>
      <c r="T13" s="59">
        <f t="shared" si="34"/>
        <v>186.24772922797723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311.5864924430474</v>
      </c>
      <c r="AN13" s="59">
        <f ca="1">AVERAGE(OFFSET($AM$3,0,0,'Données projet'!$E$10+1,1))-AVERAGE(OFFSET($H$3,0,0,'Données projet'!$E$10+1,1))</f>
        <v>278.21846622758881</v>
      </c>
      <c r="AO13" s="59">
        <f t="shared" si="36"/>
        <v>245.37578316242906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4.0628205128205126</v>
      </c>
      <c r="BD13" s="12">
        <f>IF('Données projet'!$A$88&gt;35,BD12+BC13-BL12,IF(A13&lt;'Données projet'!$A$88,$BA$205^A13,IF(A13='Données projet'!$A$88,'Données projet'!$B$88,BD12+BC13-BL12)))</f>
        <v>4.9581115906815549</v>
      </c>
      <c r="BE13" s="13">
        <f>BD13*VLOOKUP('Données projet'!$B$11,Paramètres!$A$1:$I$89,3,0)*VLOOKUP('Données projet'!$B$11,Paramètres!$A$1:$I$89,5,0)</f>
        <v>4.4860993672486709</v>
      </c>
      <c r="BF13" s="13">
        <f t="shared" si="37"/>
        <v>1.7359747946502311</v>
      </c>
      <c r="BG13" s="20">
        <f t="shared" si="7"/>
        <v>10.836779165307254</v>
      </c>
      <c r="BH13" s="59">
        <f t="shared" si="8"/>
        <v>304.17011249864055</v>
      </c>
      <c r="BI13" s="59">
        <f ca="1">AVERAGE(OFFSET($BH$3,0,0,'Données projet'!$E$11+1,1))-AVERAGE(OFFSET($H$3,0,0,'Données projet'!$E$11+1,1))</f>
        <v>270.87836509222456</v>
      </c>
      <c r="BJ13" s="59">
        <f t="shared" si="38"/>
        <v>205.24998237949734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4.0628205128205126</v>
      </c>
      <c r="BY13" s="12">
        <f>IF('Données projet'!$A$114&gt;35,BY12+BX13-CG12,IF(A13&lt;'Données projet'!$A$114,$BV$205^A13,IF(A13='Données projet'!$A$114,'Données projet'!$B$114,BY12+BX13-CG12)))</f>
        <v>4.9581115906815549</v>
      </c>
      <c r="BZ13" s="13">
        <f>BY13*VLOOKUP('Données projet'!$B$12,Paramètres!$A$1:$I$89,3,0)*VLOOKUP('Données projet'!$B$12,Paramètres!$A$1:$I$89,5,0)</f>
        <v>5.0275251529510969</v>
      </c>
      <c r="CA13" s="13">
        <f t="shared" si="39"/>
        <v>1.9198561176026576</v>
      </c>
      <c r="CB13" s="20">
        <f t="shared" si="10"/>
        <v>12.10002237954779</v>
      </c>
      <c r="CC13" s="59">
        <f t="shared" si="11"/>
        <v>305.43335571288111</v>
      </c>
      <c r="CD13" s="59">
        <f ca="1">AVERAGE(OFFSET($CC$3,0,0,'Données projet'!$E$12+1,1))-AVERAGE(OFFSET($H$3,0,0,'Données projet'!$E$12+1,1))</f>
        <v>312.29056285877169</v>
      </c>
      <c r="CE13" s="59">
        <f t="shared" si="40"/>
        <v>233.85454224241693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2.9235042735042733</v>
      </c>
      <c r="CT13" s="12">
        <f>IF('Données projet'!$A$140&gt;35,CT12+CS13-DB12,IF(A13&lt;'Données projet'!$A$140,$CQ$205^A13,IF(A13='Données projet'!$A$140,'Données projet'!$B$140,CT12+CS13-DB12)))</f>
        <v>4.4429865232315908</v>
      </c>
      <c r="CU13" s="17">
        <f>CT13*VLOOKUP('Données projet'!$B$13,Paramètres!$A$1:$I$89,3,0)*VLOOKUP('Données projet'!$B$13,Paramètres!$A$1:$I$89,5,0)</f>
        <v>5.0596730526561364</v>
      </c>
      <c r="CV13" s="13">
        <f t="shared" si="41"/>
        <v>1.9306994175479015</v>
      </c>
      <c r="CW13" s="20">
        <f t="shared" si="13"/>
        <v>12.174898718938699</v>
      </c>
      <c r="CX13" s="59">
        <f t="shared" si="14"/>
        <v>305.50823205227204</v>
      </c>
      <c r="CY13" s="59">
        <f ca="1">AVERAGE(OFFSET($CX$3,0,0,'Données projet'!$E$13+1,1))-AVERAGE(OFFSET($H$3,0,0,'Données projet'!$E$13+1,1))</f>
        <v>292.22737648725354</v>
      </c>
      <c r="CZ13" s="59">
        <f t="shared" si="42"/>
        <v>182.84038581199871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2.9235042735042733</v>
      </c>
      <c r="DO13" s="12">
        <f>IF('Données projet'!$A$166&gt;35,DO12+DN13-DW12,IF(A13&lt;'Données projet'!$A$166,$DL$205^A13,IF(A13='Données projet'!$A$166,'Données projet'!$B$166,DO12+DN13-DW12)))</f>
        <v>4.4429865232315908</v>
      </c>
      <c r="DP13" s="17">
        <f>DO13*VLOOKUP('Données projet'!$B$14,Paramètres!$A$1:$I$89,3,0)*VLOOKUP('Données projet'!$B$14,Paramètres!$A$1:$I$89,5,0)</f>
        <v>4.8517412833688969</v>
      </c>
      <c r="DQ13" s="13">
        <f t="shared" si="43"/>
        <v>1.8604209204805393</v>
      </c>
      <c r="DR13" s="20">
        <f t="shared" si="16"/>
        <v>11.690349171704435</v>
      </c>
      <c r="DS13" s="59">
        <f t="shared" si="17"/>
        <v>305.02368250503775</v>
      </c>
      <c r="DT13" s="59">
        <f ca="1">AVERAGE(OFFSET($DS$3,0,0,'Données projet'!$E$14+1,1))-AVERAGE(OFFSET($H$3,0,0,'Données projet'!$E$14+1,1))</f>
        <v>276.52126514622455</v>
      </c>
      <c r="DU13" s="59">
        <f t="shared" si="44"/>
        <v>173.98404849503186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2.9235042735042733</v>
      </c>
      <c r="EJ13" s="12">
        <f>IF('Données projet'!$A$192&gt;35,EJ12+EI13-ER12,IF(A13&lt;'Données projet'!$A$192,$EG$205^A13,IF(A13='Données projet'!$A$192,'Données projet'!$B$192,EJ12+EI13-ER12)))</f>
        <v>4.4429865232315908</v>
      </c>
      <c r="EK13" s="17">
        <f>EJ13*VLOOKUP('Données projet'!$B$15,Paramètres!$A$1:$I$89,3,0)*VLOOKUP('Données projet'!$B$15,Paramètres!$A$1:$I$89,5,0)</f>
        <v>4.2972565652695947</v>
      </c>
      <c r="EL13" s="13">
        <f t="shared" si="45"/>
        <v>1.6712440850781161</v>
      </c>
      <c r="EM13" s="20">
        <f t="shared" si="19"/>
        <v>10.395138632688928</v>
      </c>
      <c r="EN13" s="59">
        <f t="shared" si="20"/>
        <v>303.72847196602225</v>
      </c>
      <c r="EO13" s="59">
        <f ca="1">AVERAGE(OFFSET($EN$3,0,0,'Données projet'!$E$15+1,1))-AVERAGE(OFFSET($H$3,0,0,'Données projet'!$E$15+1,1))</f>
        <v>234.56750794375012</v>
      </c>
      <c r="EP13" s="59">
        <f t="shared" si="46"/>
        <v>150.32420541314724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7.2264102564102561</v>
      </c>
      <c r="N14" s="13">
        <f>IF('Données projet'!$A$36&gt;35,N13+M14-V13,IF(A14&lt;'Données projet'!$A$36,$K$205^A14,IF(A14='Données projet'!$A$36,'Données projet'!$B$36,N13+M14-V13)))</f>
        <v>7.1870293496939057</v>
      </c>
      <c r="O14" s="13">
        <f>N14*VLOOKUP('Données projet'!$B$9,Paramètres!$A$1:$I$89,3,0)*VLOOKUP('Données projet'!$B$9,Paramètres!$A$1:$I$89,5,0)</f>
        <v>3.3635297356567477</v>
      </c>
      <c r="P14" s="13">
        <f t="shared" si="33"/>
        <v>1.3459482642479659</v>
      </c>
      <c r="Q14" s="20">
        <f t="shared" si="2"/>
        <v>8.2023408498340427</v>
      </c>
      <c r="R14" s="59">
        <f t="shared" si="0"/>
        <v>301.53567418316737</v>
      </c>
      <c r="S14" s="59">
        <f ca="1">AVERAGE(OFFSET($R$3,0,0,'Données projet'!$E$9+1,1))-AVERAGE(OFFSET($H$3,0,0,'Données projet'!$E$9+1,1))</f>
        <v>198.17898804494365</v>
      </c>
      <c r="T14" s="59">
        <f t="shared" si="34"/>
        <v>186.24772922797723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316.71294168836005</v>
      </c>
      <c r="AN14" s="59">
        <f ca="1">AVERAGE(OFFSET($AM$3,0,0,'Données projet'!$E$10+1,1))-AVERAGE(OFFSET($H$3,0,0,'Données projet'!$E$10+1,1))</f>
        <v>278.21846622758881</v>
      </c>
      <c r="AO14" s="59">
        <f t="shared" si="36"/>
        <v>245.37578316242906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4.0628205128205126</v>
      </c>
      <c r="BD14" s="12">
        <f>IF('Données projet'!$A$88&gt;35,BD13+BC14-BL13,IF(A14&lt;'Données projet'!$A$88,$BA$205^A14,IF(A14='Données projet'!$A$88,'Données projet'!$B$88,BD13+BC14-BL13)))</f>
        <v>5.8189942330107201</v>
      </c>
      <c r="BE14" s="13">
        <f>BD14*VLOOKUP('Données projet'!$B$11,Paramètres!$A$1:$I$89,3,0)*VLOOKUP('Données projet'!$B$11,Paramètres!$A$1:$I$89,5,0)</f>
        <v>5.2650259820280993</v>
      </c>
      <c r="BF14" s="13">
        <f t="shared" si="37"/>
        <v>1.9997769726555885</v>
      </c>
      <c r="BG14" s="20">
        <f t="shared" si="7"/>
        <v>12.65286514607409</v>
      </c>
      <c r="BH14" s="59">
        <f t="shared" si="8"/>
        <v>305.98619847940739</v>
      </c>
      <c r="BI14" s="59">
        <f ca="1">AVERAGE(OFFSET($BH$3,0,0,'Données projet'!$E$11+1,1))-AVERAGE(OFFSET($H$3,0,0,'Données projet'!$E$11+1,1))</f>
        <v>270.87836509222456</v>
      </c>
      <c r="BJ14" s="59">
        <f t="shared" si="38"/>
        <v>205.24998237949734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4.0628205128205126</v>
      </c>
      <c r="BY14" s="12">
        <f>IF('Données projet'!$A$114&gt;35,BY13+BX14-CG13,IF(A14&lt;'Données projet'!$A$114,$BV$205^A14,IF(A14='Données projet'!$A$114,'Données projet'!$B$114,BY13+BX14-CG13)))</f>
        <v>5.8189942330107201</v>
      </c>
      <c r="BZ14" s="13">
        <f>BY14*VLOOKUP('Données projet'!$B$12,Paramètres!$A$1:$I$89,3,0)*VLOOKUP('Données projet'!$B$12,Paramètres!$A$1:$I$89,5,0)</f>
        <v>5.9004601522728706</v>
      </c>
      <c r="CA14" s="13">
        <f t="shared" si="39"/>
        <v>2.2116012666919538</v>
      </c>
      <c r="CB14" s="20">
        <f t="shared" si="10"/>
        <v>14.128506971363736</v>
      </c>
      <c r="CC14" s="59">
        <f t="shared" si="11"/>
        <v>307.46184030469703</v>
      </c>
      <c r="CD14" s="59">
        <f ca="1">AVERAGE(OFFSET($CC$3,0,0,'Données projet'!$E$12+1,1))-AVERAGE(OFFSET($H$3,0,0,'Données projet'!$E$12+1,1))</f>
        <v>312.29056285877169</v>
      </c>
      <c r="CE14" s="59">
        <f t="shared" si="40"/>
        <v>233.85454224241693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2.9235042735042733</v>
      </c>
      <c r="CT14" s="12">
        <f>IF('Données projet'!$A$140&gt;35,CT13+CS14-DB13,IF(A14&lt;'Données projet'!$A$140,$CQ$205^A14,IF(A14='Données projet'!$A$140,'Données projet'!$B$140,CT13+CS14-DB13)))</f>
        <v>5.1575387009743459</v>
      </c>
      <c r="CU14" s="17">
        <f>CT14*VLOOKUP('Données projet'!$B$13,Paramètres!$A$1:$I$89,3,0)*VLOOKUP('Données projet'!$B$13,Paramètres!$A$1:$I$89,5,0)</f>
        <v>5.873405072669585</v>
      </c>
      <c r="CV14" s="13">
        <f t="shared" si="41"/>
        <v>2.2026385111612621</v>
      </c>
      <c r="CW14" s="20">
        <f t="shared" si="13"/>
        <v>14.065775908505392</v>
      </c>
      <c r="CX14" s="59">
        <f t="shared" si="14"/>
        <v>307.39910924183869</v>
      </c>
      <c r="CY14" s="59">
        <f ca="1">AVERAGE(OFFSET($CX$3,0,0,'Données projet'!$E$13+1,1))-AVERAGE(OFFSET($H$3,0,0,'Données projet'!$E$13+1,1))</f>
        <v>292.22737648725354</v>
      </c>
      <c r="CZ14" s="59">
        <f t="shared" si="42"/>
        <v>182.84038581199871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2.9235042735042733</v>
      </c>
      <c r="DO14" s="12">
        <f>IF('Données projet'!$A$166&gt;35,DO13+DN14-DW13,IF(A14&lt;'Données projet'!$A$166,$DL$205^A14,IF(A14='Données projet'!$A$166,'Données projet'!$B$166,DO13+DN14-DW13)))</f>
        <v>5.1575387009743459</v>
      </c>
      <c r="DP14" s="17">
        <f>DO14*VLOOKUP('Données projet'!$B$14,Paramètres!$A$1:$I$89,3,0)*VLOOKUP('Données projet'!$B$14,Paramètres!$A$1:$I$89,5,0)</f>
        <v>5.6320322614639853</v>
      </c>
      <c r="DQ14" s="13">
        <f t="shared" si="43"/>
        <v>2.1224612848461955</v>
      </c>
      <c r="DR14" s="20">
        <f t="shared" si="16"/>
        <v>13.505742926490234</v>
      </c>
      <c r="DS14" s="59">
        <f t="shared" si="17"/>
        <v>306.83907625982357</v>
      </c>
      <c r="DT14" s="59">
        <f ca="1">AVERAGE(OFFSET($DS$3,0,0,'Données projet'!$E$14+1,1))-AVERAGE(OFFSET($H$3,0,0,'Données projet'!$E$14+1,1))</f>
        <v>276.52126514622455</v>
      </c>
      <c r="DU14" s="59">
        <f t="shared" si="44"/>
        <v>173.98404849503186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2.9235042735042733</v>
      </c>
      <c r="EJ14" s="12">
        <f>IF('Données projet'!$A$192&gt;35,EJ13+EI14-ER13,IF(A14&lt;'Données projet'!$A$192,$EG$205^A14,IF(A14='Données projet'!$A$192,'Données projet'!$B$192,EJ13+EI14-ER13)))</f>
        <v>5.1575387009743459</v>
      </c>
      <c r="EK14" s="17">
        <f>EJ14*VLOOKUP('Données projet'!$B$15,Paramètres!$A$1:$I$89,3,0)*VLOOKUP('Données projet'!$B$15,Paramètres!$A$1:$I$89,5,0)</f>
        <v>4.9883714315823875</v>
      </c>
      <c r="EL14" s="13">
        <f t="shared" si="45"/>
        <v>1.9066388842747952</v>
      </c>
      <c r="EM14" s="20">
        <f t="shared" si="19"/>
        <v>12.008809633451259</v>
      </c>
      <c r="EN14" s="59">
        <f t="shared" si="20"/>
        <v>305.34214296678459</v>
      </c>
      <c r="EO14" s="59">
        <f ca="1">AVERAGE(OFFSET($EN$3,0,0,'Données projet'!$E$15+1,1))-AVERAGE(OFFSET($H$3,0,0,'Données projet'!$E$15+1,1))</f>
        <v>234.56750794375012</v>
      </c>
      <c r="EP14" s="59">
        <f t="shared" si="46"/>
        <v>150.32420541314724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7.2264102564102561</v>
      </c>
      <c r="N15" s="13">
        <f>IF('Données projet'!$A$36&gt;35,N14+M15-V14,IF(A15&lt;'Données projet'!$A$36,$K$205^A15,IF(A15='Données projet'!$A$36,'Données projet'!$B$36,N14+M15-V14)))</f>
        <v>8.5983980712566286</v>
      </c>
      <c r="O15" s="13">
        <f>N15*VLOOKUP('Données projet'!$B$9,Paramètres!$A$1:$I$89,3,0)*VLOOKUP('Données projet'!$B$9,Paramètres!$A$1:$I$89,5,0)</f>
        <v>4.0240502973481025</v>
      </c>
      <c r="P15" s="13">
        <f t="shared" si="33"/>
        <v>1.5770034573990057</v>
      </c>
      <c r="Q15" s="20">
        <f t="shared" si="2"/>
        <v>9.7551686228512136</v>
      </c>
      <c r="R15" s="59">
        <f t="shared" si="0"/>
        <v>303.08850195618453</v>
      </c>
      <c r="S15" s="59">
        <f ca="1">AVERAGE(OFFSET($R$3,0,0,'Données projet'!$E$9+1,1))-AVERAGE(OFFSET($H$3,0,0,'Données projet'!$E$9+1,1))</f>
        <v>198.17898804494365</v>
      </c>
      <c r="T15" s="59">
        <f t="shared" si="34"/>
        <v>186.24772922797723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323.28426917937514</v>
      </c>
      <c r="AN15" s="59">
        <f ca="1">AVERAGE(OFFSET($AM$3,0,0,'Données projet'!$E$10+1,1))-AVERAGE(OFFSET($H$3,0,0,'Données projet'!$E$10+1,1))</f>
        <v>278.21846622758881</v>
      </c>
      <c r="AO15" s="59">
        <f t="shared" si="36"/>
        <v>245.37578316242906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4.0628205128205126</v>
      </c>
      <c r="BD15" s="12">
        <f>IF('Données projet'!$A$88&gt;35,BD14+BC15-BL14,IF(A15&lt;'Données projet'!$A$88,$BA$205^A15,IF(A15='Données projet'!$A$88,'Données projet'!$B$88,BD14+BC15-BL14)))</f>
        <v>6.8293529228851897</v>
      </c>
      <c r="BE15" s="13">
        <f>BD15*VLOOKUP('Données projet'!$B$11,Paramètres!$A$1:$I$89,3,0)*VLOOKUP('Données projet'!$B$11,Paramètres!$A$1:$I$89,5,0)</f>
        <v>6.1791985246265195</v>
      </c>
      <c r="BF15" s="13">
        <f t="shared" si="37"/>
        <v>2.3036670536275285</v>
      </c>
      <c r="BG15" s="20">
        <f t="shared" si="7"/>
        <v>14.774324215459131</v>
      </c>
      <c r="BH15" s="59">
        <f t="shared" si="8"/>
        <v>308.10765754879242</v>
      </c>
      <c r="BI15" s="59">
        <f ca="1">AVERAGE(OFFSET($BH$3,0,0,'Données projet'!$E$11+1,1))-AVERAGE(OFFSET($H$3,0,0,'Données projet'!$E$11+1,1))</f>
        <v>270.87836509222456</v>
      </c>
      <c r="BJ15" s="59">
        <f t="shared" si="38"/>
        <v>205.24998237949734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4.0628205128205126</v>
      </c>
      <c r="BY15" s="12">
        <f>IF('Données projet'!$A$114&gt;35,BY14+BX15-CG14,IF(A15&lt;'Données projet'!$A$114,$BV$205^A15,IF(A15='Données projet'!$A$114,'Données projet'!$B$114,BY14+BX15-CG14)))</f>
        <v>6.8293529228851897</v>
      </c>
      <c r="BZ15" s="13">
        <f>BY15*VLOOKUP('Données projet'!$B$12,Paramètres!$A$1:$I$89,3,0)*VLOOKUP('Données projet'!$B$12,Paramètres!$A$1:$I$89,5,0)</f>
        <v>6.9249638638055826</v>
      </c>
      <c r="CA15" s="13">
        <f t="shared" si="39"/>
        <v>2.5476805881375704</v>
      </c>
      <c r="CB15" s="20">
        <f t="shared" si="10"/>
        <v>16.498189087134325</v>
      </c>
      <c r="CC15" s="59">
        <f t="shared" si="11"/>
        <v>309.83152242046765</v>
      </c>
      <c r="CD15" s="59">
        <f ca="1">AVERAGE(OFFSET($CC$3,0,0,'Données projet'!$E$12+1,1))-AVERAGE(OFFSET($H$3,0,0,'Données projet'!$E$12+1,1))</f>
        <v>312.29056285877169</v>
      </c>
      <c r="CE15" s="59">
        <f t="shared" si="40"/>
        <v>233.85454224241693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2.9235042735042733</v>
      </c>
      <c r="CT15" s="12">
        <f>IF('Données projet'!$A$140&gt;35,CT14+CS15-DB14,IF(A15&lt;'Données projet'!$A$140,$CQ$205^A15,IF(A15='Données projet'!$A$140,'Données projet'!$B$140,CT14+CS15-DB14)))</f>
        <v>5.9870101592612031</v>
      </c>
      <c r="CU15" s="17">
        <f>CT15*VLOOKUP('Données projet'!$B$13,Paramètres!$A$1:$I$89,3,0)*VLOOKUP('Données projet'!$B$13,Paramètres!$A$1:$I$89,5,0)</f>
        <v>6.8180071693666582</v>
      </c>
      <c r="CV15" s="13">
        <f t="shared" si="41"/>
        <v>2.512880237469866</v>
      </c>
      <c r="CW15" s="20">
        <f t="shared" si="13"/>
        <v>16.251295566906943</v>
      </c>
      <c r="CX15" s="59">
        <f t="shared" si="14"/>
        <v>309.58462890024026</v>
      </c>
      <c r="CY15" s="59">
        <f ca="1">AVERAGE(OFFSET($CX$3,0,0,'Données projet'!$E$13+1,1))-AVERAGE(OFFSET($H$3,0,0,'Données projet'!$E$13+1,1))</f>
        <v>292.22737648725354</v>
      </c>
      <c r="CZ15" s="59">
        <f t="shared" si="42"/>
        <v>182.84038581199871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2.9235042735042733</v>
      </c>
      <c r="DO15" s="12">
        <f>IF('Données projet'!$A$166&gt;35,DO14+DN15-DW14,IF(A15&lt;'Données projet'!$A$166,$DL$205^A15,IF(A15='Données projet'!$A$166,'Données projet'!$B$166,DO14+DN15-DW14)))</f>
        <v>5.9870101592612031</v>
      </c>
      <c r="DP15" s="17">
        <f>DO15*VLOOKUP('Données projet'!$B$14,Paramètres!$A$1:$I$89,3,0)*VLOOKUP('Données projet'!$B$14,Paramètres!$A$1:$I$89,5,0)</f>
        <v>6.5378150939132338</v>
      </c>
      <c r="DQ15" s="13">
        <f t="shared" si="43"/>
        <v>2.4214100454790524</v>
      </c>
      <c r="DR15" s="20">
        <f t="shared" si="16"/>
        <v>15.603983784441565</v>
      </c>
      <c r="DS15" s="59">
        <f t="shared" si="17"/>
        <v>308.93731711777485</v>
      </c>
      <c r="DT15" s="59">
        <f ca="1">AVERAGE(OFFSET($DS$3,0,0,'Données projet'!$E$14+1,1))-AVERAGE(OFFSET($H$3,0,0,'Données projet'!$E$14+1,1))</f>
        <v>276.52126514622455</v>
      </c>
      <c r="DU15" s="59">
        <f t="shared" si="44"/>
        <v>173.98404849503186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2.9235042735042733</v>
      </c>
      <c r="EJ15" s="12">
        <f>IF('Données projet'!$A$192&gt;35,EJ14+EI15-ER14,IF(A15&lt;'Données projet'!$A$192,$EG$205^A15,IF(A15='Données projet'!$A$192,'Données projet'!$B$192,EJ14+EI15-ER14)))</f>
        <v>5.9870101592612031</v>
      </c>
      <c r="EK15" s="17">
        <f>EJ15*VLOOKUP('Données projet'!$B$15,Paramètres!$A$1:$I$89,3,0)*VLOOKUP('Données projet'!$B$15,Paramètres!$A$1:$I$89,5,0)</f>
        <v>5.790636226037436</v>
      </c>
      <c r="EL15" s="13">
        <f t="shared" si="45"/>
        <v>2.175189050771551</v>
      </c>
      <c r="EM15" s="20">
        <f t="shared" si="19"/>
        <v>13.873812357108987</v>
      </c>
      <c r="EN15" s="59">
        <f t="shared" si="20"/>
        <v>307.2071456904423</v>
      </c>
      <c r="EO15" s="59">
        <f ca="1">AVERAGE(OFFSET($EN$3,0,0,'Données projet'!$E$15+1,1))-AVERAGE(OFFSET($H$3,0,0,'Données projet'!$E$15+1,1))</f>
        <v>234.56750794375012</v>
      </c>
      <c r="EP15" s="59">
        <f t="shared" si="46"/>
        <v>150.32420541314724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7.2264102564102561</v>
      </c>
      <c r="N16" s="13">
        <f>IF('Données projet'!$A$36&gt;35,N15+M16-V15,IF(A16&lt;'Données projet'!$A$36,$K$205^A16,IF(A16='Données projet'!$A$36,'Données projet'!$B$36,N15+M16-V15)))</f>
        <v>10.286927434759741</v>
      </c>
      <c r="O16" s="13">
        <f>N16*VLOOKUP('Données projet'!$B$9,Paramètres!$A$1:$I$89,3,0)*VLOOKUP('Données projet'!$B$9,Paramètres!$A$1:$I$89,5,0)</f>
        <v>4.8142820394675585</v>
      </c>
      <c r="P16" s="13">
        <f t="shared" si="33"/>
        <v>1.8477232526006253</v>
      </c>
      <c r="Q16" s="20">
        <f t="shared" si="2"/>
        <v>11.602992550352086</v>
      </c>
      <c r="R16" s="59">
        <f t="shared" si="0"/>
        <v>304.93632588368541</v>
      </c>
      <c r="S16" s="59">
        <f ca="1">AVERAGE(OFFSET($R$3,0,0,'Données projet'!$E$9+1,1))-AVERAGE(OFFSET($H$3,0,0,'Données projet'!$E$9+1,1))</f>
        <v>198.17898804494365</v>
      </c>
      <c r="T16" s="59">
        <f t="shared" si="34"/>
        <v>186.24772922797723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331.70904815163294</v>
      </c>
      <c r="AN16" s="59">
        <f ca="1">AVERAGE(OFFSET($AM$3,0,0,'Données projet'!$E$10+1,1))-AVERAGE(OFFSET($H$3,0,0,'Données projet'!$E$10+1,1))</f>
        <v>278.21846622758881</v>
      </c>
      <c r="AO16" s="59">
        <f t="shared" si="36"/>
        <v>245.37578316242906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4.0628205128205126</v>
      </c>
      <c r="BD16" s="12">
        <f>IF('Données projet'!$A$88&gt;35,BD15+BC16-BL15,IF(A16&lt;'Données projet'!$A$88,$BA$205^A16,IF(A16='Données projet'!$A$88,'Données projet'!$B$88,BD15+BC16-BL15)))</f>
        <v>8.0151413590917304</v>
      </c>
      <c r="BE16" s="13">
        <f>BD16*VLOOKUP('Données projet'!$B$11,Paramètres!$A$1:$I$89,3,0)*VLOOKUP('Données projet'!$B$11,Paramètres!$A$1:$I$89,5,0)</f>
        <v>7.2520999017061971</v>
      </c>
      <c r="BF16" s="13">
        <f t="shared" si="37"/>
        <v>2.6537368749284589</v>
      </c>
      <c r="BG16" s="20">
        <f t="shared" si="7"/>
        <v>17.252665719305359</v>
      </c>
      <c r="BH16" s="59">
        <f t="shared" si="8"/>
        <v>310.58599905263867</v>
      </c>
      <c r="BI16" s="59">
        <f ca="1">AVERAGE(OFFSET($BH$3,0,0,'Données projet'!$E$11+1,1))-AVERAGE(OFFSET($H$3,0,0,'Données projet'!$E$11+1,1))</f>
        <v>270.87836509222456</v>
      </c>
      <c r="BJ16" s="59">
        <f t="shared" si="38"/>
        <v>205.24998237949734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4.0628205128205126</v>
      </c>
      <c r="BY16" s="12">
        <f>IF('Données projet'!$A$114&gt;35,BY15+BX16-CG15,IF(A16&lt;'Données projet'!$A$114,$BV$205^A16,IF(A16='Données projet'!$A$114,'Données projet'!$B$114,BY15+BX16-CG15)))</f>
        <v>8.0151413590917304</v>
      </c>
      <c r="BZ16" s="13">
        <f>BY16*VLOOKUP('Données projet'!$B$12,Paramètres!$A$1:$I$89,3,0)*VLOOKUP('Données projet'!$B$12,Paramètres!$A$1:$I$89,5,0)</f>
        <v>8.1273533381190166</v>
      </c>
      <c r="CA16" s="13">
        <f t="shared" si="39"/>
        <v>2.9348311908328566</v>
      </c>
      <c r="CB16" s="20">
        <f t="shared" si="10"/>
        <v>19.26663805459118</v>
      </c>
      <c r="CC16" s="59">
        <f t="shared" si="11"/>
        <v>312.59997138792448</v>
      </c>
      <c r="CD16" s="59">
        <f ca="1">AVERAGE(OFFSET($CC$3,0,0,'Données projet'!$E$12+1,1))-AVERAGE(OFFSET($H$3,0,0,'Données projet'!$E$12+1,1))</f>
        <v>312.29056285877169</v>
      </c>
      <c r="CE16" s="59">
        <f t="shared" si="40"/>
        <v>233.85454224241693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2.9235042735042733</v>
      </c>
      <c r="CT16" s="12">
        <f>IF('Données projet'!$A$140&gt;35,CT15+CS16-DB15,IF(A16&lt;'Données projet'!$A$140,$CQ$205^A16,IF(A16='Données projet'!$A$140,'Données projet'!$B$140,CT15+CS16-DB15)))</f>
        <v>6.9498830208148057</v>
      </c>
      <c r="CU16" s="17">
        <f>CT16*VLOOKUP('Données projet'!$B$13,Paramètres!$A$1:$I$89,3,0)*VLOOKUP('Données projet'!$B$13,Paramètres!$A$1:$I$89,5,0)</f>
        <v>7.9145267841039004</v>
      </c>
      <c r="CV16" s="13">
        <f t="shared" si="41"/>
        <v>2.8668195238888661</v>
      </c>
      <c r="CW16" s="20">
        <f t="shared" si="13"/>
        <v>18.777511486420735</v>
      </c>
      <c r="CX16" s="59">
        <f t="shared" si="14"/>
        <v>312.11084481975405</v>
      </c>
      <c r="CY16" s="59">
        <f ca="1">AVERAGE(OFFSET($CX$3,0,0,'Données projet'!$E$13+1,1))-AVERAGE(OFFSET($H$3,0,0,'Données projet'!$E$13+1,1))</f>
        <v>292.22737648725354</v>
      </c>
      <c r="CZ16" s="59">
        <f t="shared" si="42"/>
        <v>182.84038581199871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2.9235042735042733</v>
      </c>
      <c r="DO16" s="12">
        <f>IF('Données projet'!$A$166&gt;35,DO15+DN16-DW15,IF(A16&lt;'Données projet'!$A$166,$DL$205^A16,IF(A16='Données projet'!$A$166,'Données projet'!$B$166,DO15+DN16-DW15)))</f>
        <v>6.9498830208148057</v>
      </c>
      <c r="DP16" s="17">
        <f>DO16*VLOOKUP('Données projet'!$B$14,Paramètres!$A$1:$I$89,3,0)*VLOOKUP('Données projet'!$B$14,Paramètres!$A$1:$I$89,5,0)</f>
        <v>7.5892722587297667</v>
      </c>
      <c r="DQ16" s="13">
        <f t="shared" si="43"/>
        <v>2.7624657515351312</v>
      </c>
      <c r="DR16" s="20">
        <f t="shared" si="16"/>
        <v>18.029277034544695</v>
      </c>
      <c r="DS16" s="59">
        <f t="shared" si="17"/>
        <v>311.36261036787801</v>
      </c>
      <c r="DT16" s="59">
        <f ca="1">AVERAGE(OFFSET($DS$3,0,0,'Données projet'!$E$14+1,1))-AVERAGE(OFFSET($H$3,0,0,'Données projet'!$E$14+1,1))</f>
        <v>276.52126514622455</v>
      </c>
      <c r="DU16" s="59">
        <f t="shared" si="44"/>
        <v>173.98404849503186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2.9235042735042733</v>
      </c>
      <c r="EJ16" s="12">
        <f>IF('Données projet'!$A$192&gt;35,EJ15+EI16-ER15,IF(A16&lt;'Données projet'!$A$192,$EG$205^A16,IF(A16='Données projet'!$A$192,'Données projet'!$B$192,EJ15+EI16-ER15)))</f>
        <v>6.9498830208148057</v>
      </c>
      <c r="EK16" s="17">
        <f>EJ16*VLOOKUP('Données projet'!$B$15,Paramètres!$A$1:$I$89,3,0)*VLOOKUP('Données projet'!$B$15,Paramètres!$A$1:$I$89,5,0)</f>
        <v>6.7219268577320808</v>
      </c>
      <c r="EL16" s="13">
        <f t="shared" si="45"/>
        <v>2.4815645194376086</v>
      </c>
      <c r="EM16" s="20">
        <f t="shared" si="19"/>
        <v>16.029414148570542</v>
      </c>
      <c r="EN16" s="59">
        <f t="shared" si="20"/>
        <v>309.36274748190385</v>
      </c>
      <c r="EO16" s="59">
        <f ca="1">AVERAGE(OFFSET($EN$3,0,0,'Données projet'!$E$15+1,1))-AVERAGE(OFFSET($H$3,0,0,'Données projet'!$E$15+1,1))</f>
        <v>234.56750794375012</v>
      </c>
      <c r="EP16" s="59">
        <f t="shared" si="46"/>
        <v>150.32420541314724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7.2264102564102561</v>
      </c>
      <c r="N17" s="13">
        <f>IF('Données projet'!$A$36&gt;35,N16+M17-V16,IF(A17&lt;'Données projet'!$A$36,$K$205^A17,IF(A17='Données projet'!$A$36,'Données projet'!$B$36,N16+M17-V16)))</f>
        <v>12.307045471848836</v>
      </c>
      <c r="O17" s="13">
        <f>N17*VLOOKUP('Données projet'!$B$9,Paramètres!$A$1:$I$89,3,0)*VLOOKUP('Données projet'!$B$9,Paramètres!$A$1:$I$89,5,0)</f>
        <v>5.7596972808252556</v>
      </c>
      <c r="P17" s="13">
        <f t="shared" si="33"/>
        <v>2.1649167617120959</v>
      </c>
      <c r="Q17" s="20">
        <f t="shared" si="2"/>
        <v>13.802036124085888</v>
      </c>
      <c r="R17" s="59">
        <f t="shared" si="0"/>
        <v>307.13536945741919</v>
      </c>
      <c r="S17" s="59">
        <f ca="1">AVERAGE(OFFSET($R$3,0,0,'Données projet'!$E$9+1,1))-AVERAGE(OFFSET($H$3,0,0,'Données projet'!$E$9+1,1))</f>
        <v>198.17898804494365</v>
      </c>
      <c r="T17" s="59">
        <f t="shared" si="34"/>
        <v>186.24772922797723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342.51173498532353</v>
      </c>
      <c r="AN17" s="59">
        <f ca="1">AVERAGE(OFFSET($AM$3,0,0,'Données projet'!$E$10+1,1))-AVERAGE(OFFSET($H$3,0,0,'Données projet'!$E$10+1,1))</f>
        <v>278.21846622758881</v>
      </c>
      <c r="AO17" s="59">
        <f t="shared" si="36"/>
        <v>245.37578316242906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4.0628205128205126</v>
      </c>
      <c r="BD17" s="12">
        <f>IF('Données projet'!$A$88&gt;35,BD16+BC17-BL16,IF(A17&lt;'Données projet'!$A$88,$BA$205^A17,IF(A17='Données projet'!$A$88,'Données projet'!$B$88,BD16+BC17-BL16)))</f>
        <v>9.4068196111151305</v>
      </c>
      <c r="BE17" s="13">
        <f>BD17*VLOOKUP('Données projet'!$B$11,Paramètres!$A$1:$I$89,3,0)*VLOOKUP('Données projet'!$B$11,Paramètres!$A$1:$I$89,5,0)</f>
        <v>8.51129038413697</v>
      </c>
      <c r="BF17" s="13">
        <f t="shared" si="37"/>
        <v>3.0570040016267526</v>
      </c>
      <c r="BG17" s="20">
        <f t="shared" si="7"/>
        <v>20.148112721871815</v>
      </c>
      <c r="BH17" s="59">
        <f t="shared" si="8"/>
        <v>313.48144605520514</v>
      </c>
      <c r="BI17" s="59">
        <f ca="1">AVERAGE(OFFSET($BH$3,0,0,'Données projet'!$E$11+1,1))-AVERAGE(OFFSET($H$3,0,0,'Données projet'!$E$11+1,1))</f>
        <v>270.87836509222456</v>
      </c>
      <c r="BJ17" s="59">
        <f t="shared" si="38"/>
        <v>205.24998237949734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4.0628205128205126</v>
      </c>
      <c r="BY17" s="12">
        <f>IF('Données projet'!$A$114&gt;35,BY16+BX17-CG16,IF(A17&lt;'Données projet'!$A$114,$BV$205^A17,IF(A17='Données projet'!$A$114,'Données projet'!$B$114,BY16+BX17-CG16)))</f>
        <v>9.4068196111151305</v>
      </c>
      <c r="BZ17" s="13">
        <f>BY17*VLOOKUP('Données projet'!$B$12,Paramètres!$A$1:$I$89,3,0)*VLOOKUP('Données projet'!$B$12,Paramètres!$A$1:$I$89,5,0)</f>
        <v>9.5385150856707419</v>
      </c>
      <c r="CA17" s="13">
        <f t="shared" si="39"/>
        <v>3.3808139681206768</v>
      </c>
      <c r="CB17" s="20">
        <f t="shared" si="10"/>
        <v>22.501164768686721</v>
      </c>
      <c r="CC17" s="59">
        <f t="shared" si="11"/>
        <v>315.83449810202001</v>
      </c>
      <c r="CD17" s="59">
        <f ca="1">AVERAGE(OFFSET($CC$3,0,0,'Données projet'!$E$12+1,1))-AVERAGE(OFFSET($H$3,0,0,'Données projet'!$E$12+1,1))</f>
        <v>312.29056285877169</v>
      </c>
      <c r="CE17" s="59">
        <f t="shared" si="40"/>
        <v>233.85454224241693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2.9235042735042733</v>
      </c>
      <c r="CT17" s="12">
        <f>IF('Données projet'!$A$140&gt;35,CT16+CS17-DB16,IF(A17&lt;'Données projet'!$A$140,$CQ$205^A17,IF(A17='Données projet'!$A$140,'Données projet'!$B$140,CT16+CS17-DB16)))</f>
        <v>8.0676118326430668</v>
      </c>
      <c r="CU17" s="17">
        <f>CT17*VLOOKUP('Données projet'!$B$13,Paramètres!$A$1:$I$89,3,0)*VLOOKUP('Données projet'!$B$13,Paramètres!$A$1:$I$89,5,0)</f>
        <v>9.1873963550139237</v>
      </c>
      <c r="CV17" s="13">
        <f t="shared" si="41"/>
        <v>3.2706111735852037</v>
      </c>
      <c r="CW17" s="20">
        <f t="shared" si="13"/>
        <v>21.697696445643476</v>
      </c>
      <c r="CX17" s="59">
        <f t="shared" si="14"/>
        <v>315.0310297789768</v>
      </c>
      <c r="CY17" s="59">
        <f ca="1">AVERAGE(OFFSET($CX$3,0,0,'Données projet'!$E$13+1,1))-AVERAGE(OFFSET($H$3,0,0,'Données projet'!$E$13+1,1))</f>
        <v>292.22737648725354</v>
      </c>
      <c r="CZ17" s="59">
        <f t="shared" si="42"/>
        <v>182.84038581199871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2.9235042735042733</v>
      </c>
      <c r="DO17" s="12">
        <f>IF('Données projet'!$A$166&gt;35,DO16+DN17-DW16,IF(A17&lt;'Données projet'!$A$166,$DL$205^A17,IF(A17='Données projet'!$A$166,'Données projet'!$B$166,DO16+DN17-DW16)))</f>
        <v>8.0676118326430668</v>
      </c>
      <c r="DP17" s="17">
        <f>DO17*VLOOKUP('Données projet'!$B$14,Paramètres!$A$1:$I$89,3,0)*VLOOKUP('Données projet'!$B$14,Paramètres!$A$1:$I$89,5,0)</f>
        <v>8.8098321212462292</v>
      </c>
      <c r="DQ17" s="13">
        <f t="shared" si="43"/>
        <v>3.1515591680362425</v>
      </c>
      <c r="DR17" s="20">
        <f t="shared" si="16"/>
        <v>20.832756495500302</v>
      </c>
      <c r="DS17" s="59">
        <f t="shared" si="17"/>
        <v>314.16608982883361</v>
      </c>
      <c r="DT17" s="59">
        <f ca="1">AVERAGE(OFFSET($DS$3,0,0,'Données projet'!$E$14+1,1))-AVERAGE(OFFSET($H$3,0,0,'Données projet'!$E$14+1,1))</f>
        <v>276.52126514622455</v>
      </c>
      <c r="DU17" s="59">
        <f t="shared" si="44"/>
        <v>173.98404849503186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2.9235042735042733</v>
      </c>
      <c r="EJ17" s="12">
        <f>IF('Données projet'!$A$192&gt;35,EJ16+EI17-ER16,IF(A17&lt;'Données projet'!$A$192,$EG$205^A17,IF(A17='Données projet'!$A$192,'Données projet'!$B$192,EJ16+EI17-ER16)))</f>
        <v>8.0676118326430668</v>
      </c>
      <c r="EK17" s="17">
        <f>EJ17*VLOOKUP('Données projet'!$B$15,Paramètres!$A$1:$I$89,3,0)*VLOOKUP('Données projet'!$B$15,Paramètres!$A$1:$I$89,5,0)</f>
        <v>7.8029941645323753</v>
      </c>
      <c r="EL17" s="13">
        <f t="shared" si="45"/>
        <v>2.8310929856636031</v>
      </c>
      <c r="EM17" s="20">
        <f t="shared" si="19"/>
        <v>18.521035119924662</v>
      </c>
      <c r="EN17" s="59">
        <f t="shared" si="20"/>
        <v>311.85436845325796</v>
      </c>
      <c r="EO17" s="59">
        <f ca="1">AVERAGE(OFFSET($EN$3,0,0,'Données projet'!$E$15+1,1))-AVERAGE(OFFSET($H$3,0,0,'Données projet'!$E$15+1,1))</f>
        <v>234.56750794375012</v>
      </c>
      <c r="EP17" s="59">
        <f t="shared" si="46"/>
        <v>150.32420541314724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7.2264102564102561</v>
      </c>
      <c r="N18" s="13">
        <f>IF('Données projet'!$A$36&gt;35,N17+M18-V17,IF(A18&lt;'Données projet'!$A$36,$K$205^A18,IF(A18='Données projet'!$A$36,'Données projet'!$B$36,N17+M18-V17)))</f>
        <v>14.723868638788783</v>
      </c>
      <c r="O18" s="13">
        <f>N18*VLOOKUP('Données projet'!$B$9,Paramètres!$A$1:$I$89,3,0)*VLOOKUP('Données projet'!$B$9,Paramètres!$A$1:$I$89,5,0)</f>
        <v>6.89077052295315</v>
      </c>
      <c r="P18" s="13">
        <f t="shared" si="33"/>
        <v>2.5365619978778424</v>
      </c>
      <c r="Q18" s="20">
        <f t="shared" si="2"/>
        <v>16.419270807113978</v>
      </c>
      <c r="R18" s="59">
        <f t="shared" si="0"/>
        <v>309.75260414044732</v>
      </c>
      <c r="S18" s="59">
        <f ca="1">AVERAGE(OFFSET($R$3,0,0,'Données projet'!$E$9+1,1))-AVERAGE(OFFSET($H$3,0,0,'Données projet'!$E$9+1,1))</f>
        <v>198.17898804494365</v>
      </c>
      <c r="T18" s="59">
        <f t="shared" si="34"/>
        <v>186.24772922797723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356.36562801666247</v>
      </c>
      <c r="AN18" s="59">
        <f ca="1">AVERAGE(OFFSET($AM$3,0,0,'Données projet'!$E$10+1,1))-AVERAGE(OFFSET($H$3,0,0,'Données projet'!$E$10+1,1))</f>
        <v>278.21846622758881</v>
      </c>
      <c r="AO18" s="59">
        <f t="shared" si="36"/>
        <v>245.37578316242906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4.0628205128205126</v>
      </c>
      <c r="BD18" s="12">
        <f>IF('Données projet'!$A$88&gt;35,BD17+BC18-BL17,IF(A18&lt;'Données projet'!$A$88,$BA$205^A18,IF(A18='Données projet'!$A$88,'Données projet'!$B$88,BD17+BC18-BL17)))</f>
        <v>11.040136565487554</v>
      </c>
      <c r="BE18" s="13">
        <f>BD18*VLOOKUP('Données projet'!$B$11,Paramètres!$A$1:$I$89,3,0)*VLOOKUP('Données projet'!$B$11,Paramètres!$A$1:$I$89,5,0)</f>
        <v>9.9891155644531384</v>
      </c>
      <c r="BF18" s="13">
        <f t="shared" si="37"/>
        <v>3.5215524019177353</v>
      </c>
      <c r="BG18" s="20">
        <f t="shared" si="7"/>
        <v>23.531080041429274</v>
      </c>
      <c r="BH18" s="59">
        <f t="shared" si="8"/>
        <v>316.86441337476259</v>
      </c>
      <c r="BI18" s="59">
        <f ca="1">AVERAGE(OFFSET($BH$3,0,0,'Données projet'!$E$11+1,1))-AVERAGE(OFFSET($H$3,0,0,'Données projet'!$E$11+1,1))</f>
        <v>270.87836509222456</v>
      </c>
      <c r="BJ18" s="59">
        <f t="shared" si="38"/>
        <v>205.24998237949734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4.0628205128205126</v>
      </c>
      <c r="BY18" s="12">
        <f>IF('Données projet'!$A$114&gt;35,BY17+BX18-CG17,IF(A18&lt;'Données projet'!$A$114,$BV$205^A18,IF(A18='Données projet'!$A$114,'Données projet'!$B$114,BY17+BX18-CG17)))</f>
        <v>11.040136565487554</v>
      </c>
      <c r="BZ18" s="13">
        <f>BY18*VLOOKUP('Données projet'!$B$12,Paramètres!$A$1:$I$89,3,0)*VLOOKUP('Données projet'!$B$12,Paramètres!$A$1:$I$89,5,0)</f>
        <v>11.194698477404382</v>
      </c>
      <c r="CA18" s="13">
        <f t="shared" si="39"/>
        <v>3.8945691741119406</v>
      </c>
      <c r="CB18" s="20">
        <f t="shared" si="10"/>
        <v>26.280474493057593</v>
      </c>
      <c r="CC18" s="59">
        <f t="shared" si="11"/>
        <v>319.61380782639088</v>
      </c>
      <c r="CD18" s="59">
        <f ca="1">AVERAGE(OFFSET($CC$3,0,0,'Données projet'!$E$12+1,1))-AVERAGE(OFFSET($H$3,0,0,'Données projet'!$E$12+1,1))</f>
        <v>312.29056285877169</v>
      </c>
      <c r="CE18" s="59">
        <f t="shared" si="40"/>
        <v>233.85454224241693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2.9235042735042733</v>
      </c>
      <c r="CT18" s="12">
        <f>IF('Données projet'!$A$140&gt;35,CT17+CS18-DB17,IF(A18&lt;'Données projet'!$A$140,$CQ$205^A18,IF(A18='Données projet'!$A$140,'Données projet'!$B$140,CT17+CS18-DB17)))</f>
        <v>9.3651016121091022</v>
      </c>
      <c r="CU18" s="17">
        <f>CT18*VLOOKUP('Données projet'!$B$13,Paramètres!$A$1:$I$89,3,0)*VLOOKUP('Données projet'!$B$13,Paramètres!$A$1:$I$89,5,0)</f>
        <v>10.664977715869846</v>
      </c>
      <c r="CV18" s="13">
        <f t="shared" si="41"/>
        <v>3.7312768940089907</v>
      </c>
      <c r="CW18" s="20">
        <f t="shared" si="13"/>
        <v>25.073476778872305</v>
      </c>
      <c r="CX18" s="59">
        <f t="shared" si="14"/>
        <v>318.40681011220562</v>
      </c>
      <c r="CY18" s="59">
        <f ca="1">AVERAGE(OFFSET($CX$3,0,0,'Données projet'!$E$13+1,1))-AVERAGE(OFFSET($H$3,0,0,'Données projet'!$E$13+1,1))</f>
        <v>292.22737648725354</v>
      </c>
      <c r="CZ18" s="59">
        <f t="shared" si="42"/>
        <v>182.84038581199871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2.9235042735042733</v>
      </c>
      <c r="DO18" s="12">
        <f>IF('Données projet'!$A$166&gt;35,DO17+DN18-DW17,IF(A18&lt;'Données projet'!$A$166,$DL$205^A18,IF(A18='Données projet'!$A$166,'Données projet'!$B$166,DO17+DN18-DW17)))</f>
        <v>9.3651016121091022</v>
      </c>
      <c r="DP18" s="17">
        <f>DO18*VLOOKUP('Données projet'!$B$14,Paramètres!$A$1:$I$89,3,0)*VLOOKUP('Données projet'!$B$14,Paramètres!$A$1:$I$89,5,0)</f>
        <v>10.22669096042314</v>
      </c>
      <c r="DQ18" s="13">
        <f t="shared" si="43"/>
        <v>3.5954564085052594</v>
      </c>
      <c r="DR18" s="20">
        <f t="shared" si="16"/>
        <v>24.07357333421696</v>
      </c>
      <c r="DS18" s="59">
        <f t="shared" si="17"/>
        <v>317.40690666755029</v>
      </c>
      <c r="DT18" s="59">
        <f ca="1">AVERAGE(OFFSET($DS$3,0,0,'Données projet'!$E$14+1,1))-AVERAGE(OFFSET($H$3,0,0,'Données projet'!$E$14+1,1))</f>
        <v>276.52126514622455</v>
      </c>
      <c r="DU18" s="59">
        <f t="shared" si="44"/>
        <v>173.98404849503186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2.9235042735042733</v>
      </c>
      <c r="EJ18" s="12">
        <f>IF('Données projet'!$A$192&gt;35,EJ17+EI18-ER17,IF(A18&lt;'Données projet'!$A$192,$EG$205^A18,IF(A18='Données projet'!$A$192,'Données projet'!$B$192,EJ17+EI18-ER17)))</f>
        <v>9.3651016121091022</v>
      </c>
      <c r="EK18" s="17">
        <f>EJ18*VLOOKUP('Données projet'!$B$15,Paramètres!$A$1:$I$89,3,0)*VLOOKUP('Données projet'!$B$15,Paramètres!$A$1:$I$89,5,0)</f>
        <v>9.0579262792319231</v>
      </c>
      <c r="EL18" s="13">
        <f t="shared" si="45"/>
        <v>3.2298525509584954</v>
      </c>
      <c r="EM18" s="20">
        <f t="shared" si="19"/>
        <v>21.401214795914981</v>
      </c>
      <c r="EN18" s="59">
        <f t="shared" si="20"/>
        <v>314.73454812924831</v>
      </c>
      <c r="EO18" s="59">
        <f ca="1">AVERAGE(OFFSET($EN$3,0,0,'Données projet'!$E$15+1,1))-AVERAGE(OFFSET($H$3,0,0,'Données projet'!$E$15+1,1))</f>
        <v>234.56750794375012</v>
      </c>
      <c r="EP18" s="59">
        <f t="shared" si="46"/>
        <v>150.32420541314724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7.2264102564102561</v>
      </c>
      <c r="N19" s="13">
        <f>IF('Données projet'!$A$36&gt;35,N18+M19-V18,IF(A19&lt;'Données projet'!$A$36,$K$205^A19,IF(A19='Données projet'!$A$36,'Données projet'!$B$36,N18+M19-V18)))</f>
        <v>17.61530077939495</v>
      </c>
      <c r="O19" s="13">
        <f>N19*VLOOKUP('Données projet'!$B$9,Paramètres!$A$1:$I$89,3,0)*VLOOKUP('Données projet'!$B$9,Paramètres!$A$1:$I$89,5,0)</f>
        <v>8.2439607647568369</v>
      </c>
      <c r="P19" s="13">
        <f t="shared" si="33"/>
        <v>2.972006537558364</v>
      </c>
      <c r="Q19" s="20">
        <f t="shared" si="2"/>
        <v>19.534476384865641</v>
      </c>
      <c r="R19" s="59">
        <f t="shared" si="0"/>
        <v>312.86780971819894</v>
      </c>
      <c r="S19" s="59">
        <f ca="1">AVERAGE(OFFSET($R$3,0,0,'Données projet'!$E$9+1,1))-AVERAGE(OFFSET($H$3,0,0,'Données projet'!$E$9+1,1))</f>
        <v>198.17898804494365</v>
      </c>
      <c r="T19" s="59">
        <f t="shared" si="34"/>
        <v>186.24772922797723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374.13522393344454</v>
      </c>
      <c r="AN19" s="59">
        <f ca="1">AVERAGE(OFFSET($AM$3,0,0,'Données projet'!$E$10+1,1))-AVERAGE(OFFSET($H$3,0,0,'Données projet'!$E$10+1,1))</f>
        <v>278.21846622758881</v>
      </c>
      <c r="AO19" s="59">
        <f t="shared" si="36"/>
        <v>245.37578316242906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4.0628205128205126</v>
      </c>
      <c r="BD19" s="12">
        <f>IF('Données projet'!$A$88&gt;35,BD18+BC19-BL18,IF(A19&lt;'Données projet'!$A$88,$BA$205^A19,IF(A19='Données projet'!$A$88,'Données projet'!$B$88,BD18+BC19-BL18)))</f>
        <v>12.957048229201293</v>
      </c>
      <c r="BE19" s="13">
        <f>BD19*VLOOKUP('Données projet'!$B$11,Paramètres!$A$1:$I$89,3,0)*VLOOKUP('Données projet'!$B$11,Paramètres!$A$1:$I$89,5,0)</f>
        <v>11.723537237781329</v>
      </c>
      <c r="BF19" s="13">
        <f t="shared" si="37"/>
        <v>4.0566944998610817</v>
      </c>
      <c r="BG19" s="20">
        <f t="shared" si="7"/>
        <v>27.483903609727193</v>
      </c>
      <c r="BH19" s="59">
        <f t="shared" si="8"/>
        <v>320.81723694306049</v>
      </c>
      <c r="BI19" s="59">
        <f ca="1">AVERAGE(OFFSET($BH$3,0,0,'Données projet'!$E$11+1,1))-AVERAGE(OFFSET($H$3,0,0,'Données projet'!$E$11+1,1))</f>
        <v>270.87836509222456</v>
      </c>
      <c r="BJ19" s="59">
        <f t="shared" si="38"/>
        <v>205.24998237949734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4.0628205128205126</v>
      </c>
      <c r="BY19" s="12">
        <f>IF('Données projet'!$A$114&gt;35,BY18+BX19-CG18,IF(A19&lt;'Données projet'!$A$114,$BV$205^A19,IF(A19='Données projet'!$A$114,'Données projet'!$B$114,BY18+BX19-CG18)))</f>
        <v>12.957048229201293</v>
      </c>
      <c r="BZ19" s="13">
        <f>BY19*VLOOKUP('Données projet'!$B$12,Paramètres!$A$1:$I$89,3,0)*VLOOKUP('Données projet'!$B$12,Paramètres!$A$1:$I$89,5,0)</f>
        <v>13.138446904410113</v>
      </c>
      <c r="CA19" s="13">
        <f t="shared" si="39"/>
        <v>4.486395641690498</v>
      </c>
      <c r="CB19" s="20">
        <f t="shared" si="10"/>
        <v>30.696600767791892</v>
      </c>
      <c r="CC19" s="59">
        <f t="shared" si="11"/>
        <v>324.02993410112521</v>
      </c>
      <c r="CD19" s="59">
        <f ca="1">AVERAGE(OFFSET($CC$3,0,0,'Données projet'!$E$12+1,1))-AVERAGE(OFFSET($H$3,0,0,'Données projet'!$E$12+1,1))</f>
        <v>312.29056285877169</v>
      </c>
      <c r="CE19" s="59">
        <f t="shared" si="40"/>
        <v>233.85454224241693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2.9235042735042733</v>
      </c>
      <c r="CT19" s="12">
        <f>IF('Données projet'!$A$140&gt;35,CT18+CS19-DB18,IF(A19&lt;'Données projet'!$A$140,$CQ$205^A19,IF(A19='Données projet'!$A$140,'Données projet'!$B$140,CT18+CS19-DB18)))</f>
        <v>10.87126277571476</v>
      </c>
      <c r="CU19" s="17">
        <f>CT19*VLOOKUP('Données projet'!$B$13,Paramètres!$A$1:$I$89,3,0)*VLOOKUP('Données projet'!$B$13,Paramètres!$A$1:$I$89,5,0)</f>
        <v>12.380194048983968</v>
      </c>
      <c r="CV19" s="13">
        <f t="shared" si="41"/>
        <v>4.2568274003980093</v>
      </c>
      <c r="CW19" s="20">
        <f t="shared" si="13"/>
        <v>28.976145691006938</v>
      </c>
      <c r="CX19" s="59">
        <f t="shared" si="14"/>
        <v>322.30947902434025</v>
      </c>
      <c r="CY19" s="59">
        <f ca="1">AVERAGE(OFFSET($CX$3,0,0,'Données projet'!$E$13+1,1))-AVERAGE(OFFSET($H$3,0,0,'Données projet'!$E$13+1,1))</f>
        <v>292.22737648725354</v>
      </c>
      <c r="CZ19" s="59">
        <f t="shared" si="42"/>
        <v>182.84038581199871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2.9235042735042733</v>
      </c>
      <c r="DO19" s="12">
        <f>IF('Données projet'!$A$166&gt;35,DO18+DN19-DW18,IF(A19&lt;'Données projet'!$A$166,$DL$205^A19,IF(A19='Données projet'!$A$166,'Données projet'!$B$166,DO18+DN19-DW18)))</f>
        <v>10.87126277571476</v>
      </c>
      <c r="DP19" s="17">
        <f>DO19*VLOOKUP('Données projet'!$B$14,Paramètres!$A$1:$I$89,3,0)*VLOOKUP('Données projet'!$B$14,Paramètres!$A$1:$I$89,5,0)</f>
        <v>11.871418951080518</v>
      </c>
      <c r="DQ19" s="13">
        <f t="shared" si="43"/>
        <v>4.1018765938374031</v>
      </c>
      <c r="DR19" s="20">
        <f t="shared" si="16"/>
        <v>27.820156407398713</v>
      </c>
      <c r="DS19" s="59">
        <f t="shared" si="17"/>
        <v>321.15348974073203</v>
      </c>
      <c r="DT19" s="59">
        <f ca="1">AVERAGE(OFFSET($DS$3,0,0,'Données projet'!$E$14+1,1))-AVERAGE(OFFSET($H$3,0,0,'Données projet'!$E$14+1,1))</f>
        <v>276.52126514622455</v>
      </c>
      <c r="DU19" s="59">
        <f t="shared" si="44"/>
        <v>173.98404849503186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2.9235042735042733</v>
      </c>
      <c r="EJ19" s="12">
        <f>IF('Données projet'!$A$192&gt;35,EJ18+EI19-ER18,IF(A19&lt;'Données projet'!$A$192,$EG$205^A19,IF(A19='Données projet'!$A$192,'Données projet'!$B$192,EJ18+EI19-ER18)))</f>
        <v>10.87126277571476</v>
      </c>
      <c r="EK19" s="17">
        <f>EJ19*VLOOKUP('Données projet'!$B$15,Paramètres!$A$1:$I$89,3,0)*VLOOKUP('Données projet'!$B$15,Paramètres!$A$1:$I$89,5,0)</f>
        <v>10.514685356671317</v>
      </c>
      <c r="EL19" s="13">
        <f t="shared" si="45"/>
        <v>3.6847774176826884</v>
      </c>
      <c r="EM19" s="20">
        <f t="shared" si="19"/>
        <v>24.730730998666559</v>
      </c>
      <c r="EN19" s="59">
        <f t="shared" si="20"/>
        <v>318.06406433199987</v>
      </c>
      <c r="EO19" s="59">
        <f ca="1">AVERAGE(OFFSET($EN$3,0,0,'Données projet'!$E$15+1,1))-AVERAGE(OFFSET($H$3,0,0,'Données projet'!$E$15+1,1))</f>
        <v>234.56750794375012</v>
      </c>
      <c r="EP19" s="59">
        <f t="shared" si="46"/>
        <v>150.32420541314724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7.2264102564102561</v>
      </c>
      <c r="N20" s="13">
        <f>IF('Données projet'!$A$36&gt;35,N19+M20-V19,IF(A20&lt;'Données projet'!$A$36,$K$205^A20,IF(A20='Données projet'!$A$36,'Données projet'!$B$36,N19+M20-V19)))</f>
        <v>21.074544276434004</v>
      </c>
      <c r="O20" s="13">
        <f>N20*VLOOKUP('Données projet'!$B$9,Paramètres!$A$1:$I$89,3,0)*VLOOKUP('Données projet'!$B$9,Paramètres!$A$1:$I$89,5,0)</f>
        <v>9.8628867213711136</v>
      </c>
      <c r="P20" s="13">
        <f t="shared" si="33"/>
        <v>3.4822026296536168</v>
      </c>
      <c r="Q20" s="20">
        <f t="shared" si="2"/>
        <v>23.24269728636807</v>
      </c>
      <c r="R20" s="59">
        <f t="shared" si="0"/>
        <v>316.57603061970138</v>
      </c>
      <c r="S20" s="59">
        <f ca="1">AVERAGE(OFFSET($R$3,0,0,'Données projet'!$E$9+1,1))-AVERAGE(OFFSET($H$3,0,0,'Données projet'!$E$9+1,1))</f>
        <v>198.17898804494365</v>
      </c>
      <c r="T20" s="59">
        <f t="shared" si="34"/>
        <v>186.24772922797723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396.93065741732249</v>
      </c>
      <c r="AN20" s="59">
        <f ca="1">AVERAGE(OFFSET($AM$3,0,0,'Données projet'!$E$10+1,1))-AVERAGE(OFFSET($H$3,0,0,'Données projet'!$E$10+1,1))</f>
        <v>278.21846622758881</v>
      </c>
      <c r="AO20" s="59">
        <f t="shared" si="36"/>
        <v>245.37578316242906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4.0628205128205126</v>
      </c>
      <c r="BD20" s="12">
        <f>IF('Données projet'!$A$88&gt;35,BD19+BC20-BL19,IF(A20&lt;'Données projet'!$A$88,$BA$205^A20,IF(A20='Données projet'!$A$88,'Données projet'!$B$88,BD19+BC20-BL19)))</f>
        <v>15.206795479203771</v>
      </c>
      <c r="BE20" s="13">
        <f>BD20*VLOOKUP('Données projet'!$B$11,Paramètres!$A$1:$I$89,3,0)*VLOOKUP('Données projet'!$B$11,Paramètres!$A$1:$I$89,5,0)</f>
        <v>13.759108549583573</v>
      </c>
      <c r="BF20" s="13">
        <f t="shared" si="37"/>
        <v>4.6731578539740832</v>
      </c>
      <c r="BG20" s="20">
        <f t="shared" si="7"/>
        <v>32.102863986196247</v>
      </c>
      <c r="BH20" s="59">
        <f t="shared" si="8"/>
        <v>325.43619731952958</v>
      </c>
      <c r="BI20" s="59">
        <f ca="1">AVERAGE(OFFSET($BH$3,0,0,'Données projet'!$E$11+1,1))-AVERAGE(OFFSET($H$3,0,0,'Données projet'!$E$11+1,1))</f>
        <v>270.87836509222456</v>
      </c>
      <c r="BJ20" s="59">
        <f t="shared" si="38"/>
        <v>205.24998237949734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4.0628205128205126</v>
      </c>
      <c r="BY20" s="12">
        <f>IF('Données projet'!$A$114&gt;35,BY19+BX20-CG19,IF(A20&lt;'Données projet'!$A$114,$BV$205^A20,IF(A20='Données projet'!$A$114,'Données projet'!$B$114,BY19+BX20-CG19)))</f>
        <v>15.206795479203771</v>
      </c>
      <c r="BZ20" s="13">
        <f>BY20*VLOOKUP('Données projet'!$B$12,Paramètres!$A$1:$I$89,3,0)*VLOOKUP('Données projet'!$B$12,Paramètres!$A$1:$I$89,5,0)</f>
        <v>15.419690615912625</v>
      </c>
      <c r="CA20" s="13">
        <f t="shared" si="39"/>
        <v>5.1681572348420586</v>
      </c>
      <c r="CB20" s="20">
        <f t="shared" si="10"/>
        <v>35.857168340064412</v>
      </c>
      <c r="CC20" s="59">
        <f t="shared" si="11"/>
        <v>329.1905016733977</v>
      </c>
      <c r="CD20" s="59">
        <f ca="1">AVERAGE(OFFSET($CC$3,0,0,'Données projet'!$E$12+1,1))-AVERAGE(OFFSET($H$3,0,0,'Données projet'!$E$12+1,1))</f>
        <v>312.29056285877169</v>
      </c>
      <c r="CE20" s="59">
        <f t="shared" si="40"/>
        <v>233.85454224241693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2.9235042735042733</v>
      </c>
      <c r="CT20" s="12">
        <f>IF('Données projet'!$A$140&gt;35,CT19+CS20-DB19,IF(A20&lt;'Données projet'!$A$140,$CQ$205^A20,IF(A20='Données projet'!$A$140,'Données projet'!$B$140,CT19+CS20-DB19)))</f>
        <v>12.619655315413629</v>
      </c>
      <c r="CU20" s="17">
        <f>CT20*VLOOKUP('Données projet'!$B$13,Paramètres!$A$1:$I$89,3,0)*VLOOKUP('Données projet'!$B$13,Paramètres!$A$1:$I$89,5,0)</f>
        <v>14.371263473193041</v>
      </c>
      <c r="CV20" s="13">
        <f t="shared" si="41"/>
        <v>4.8564017175659142</v>
      </c>
      <c r="CW20" s="20">
        <f t="shared" si="13"/>
        <v>33.488183540571846</v>
      </c>
      <c r="CX20" s="59">
        <f t="shared" si="14"/>
        <v>326.82151687390518</v>
      </c>
      <c r="CY20" s="59">
        <f ca="1">AVERAGE(OFFSET($CX$3,0,0,'Données projet'!$E$13+1,1))-AVERAGE(OFFSET($H$3,0,0,'Données projet'!$E$13+1,1))</f>
        <v>292.22737648725354</v>
      </c>
      <c r="CZ20" s="59">
        <f t="shared" si="42"/>
        <v>182.84038581199871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2.9235042735042733</v>
      </c>
      <c r="DO20" s="12">
        <f>IF('Données projet'!$A$166&gt;35,DO19+DN20-DW19,IF(A20&lt;'Données projet'!$A$166,$DL$205^A20,IF(A20='Données projet'!$A$166,'Données projet'!$B$166,DO19+DN20-DW19)))</f>
        <v>12.619655315413629</v>
      </c>
      <c r="DP20" s="17">
        <f>DO20*VLOOKUP('Données projet'!$B$14,Paramètres!$A$1:$I$89,3,0)*VLOOKUP('Données projet'!$B$14,Paramètres!$A$1:$I$89,5,0)</f>
        <v>13.780663604431682</v>
      </c>
      <c r="DQ20" s="13">
        <f t="shared" si="43"/>
        <v>4.6796260834284364</v>
      </c>
      <c r="DR20" s="20">
        <f t="shared" si="16"/>
        <v>32.151671206356369</v>
      </c>
      <c r="DS20" s="59">
        <f t="shared" si="17"/>
        <v>325.48500453968967</v>
      </c>
      <c r="DT20" s="59">
        <f ca="1">AVERAGE(OFFSET($DS$3,0,0,'Données projet'!$E$14+1,1))-AVERAGE(OFFSET($H$3,0,0,'Données projet'!$E$14+1,1))</f>
        <v>276.52126514622455</v>
      </c>
      <c r="DU20" s="59">
        <f t="shared" si="44"/>
        <v>173.98404849503186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2.9235042735042733</v>
      </c>
      <c r="EJ20" s="12">
        <f>IF('Données projet'!$A$192&gt;35,EJ19+EI20-ER19,IF(A20&lt;'Données projet'!$A$192,$EG$205^A20,IF(A20='Données projet'!$A$192,'Données projet'!$B$192,EJ19+EI20-ER19)))</f>
        <v>12.619655315413629</v>
      </c>
      <c r="EK20" s="17">
        <f>EJ20*VLOOKUP('Données projet'!$B$15,Paramètres!$A$1:$I$89,3,0)*VLOOKUP('Données projet'!$B$15,Paramètres!$A$1:$I$89,5,0)</f>
        <v>12.205730621068064</v>
      </c>
      <c r="EL20" s="13">
        <f t="shared" si="45"/>
        <v>4.2037784708887092</v>
      </c>
      <c r="EM20" s="20">
        <f t="shared" si="19"/>
        <v>28.57989500182471</v>
      </c>
      <c r="EN20" s="59">
        <f t="shared" si="20"/>
        <v>321.91322833515801</v>
      </c>
      <c r="EO20" s="59">
        <f ca="1">AVERAGE(OFFSET($EN$3,0,0,'Données projet'!$E$15+1,1))-AVERAGE(OFFSET($H$3,0,0,'Données projet'!$E$15+1,1))</f>
        <v>234.56750794375012</v>
      </c>
      <c r="EP20" s="59">
        <f t="shared" si="46"/>
        <v>150.32420541314724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7.2264102564102561</v>
      </c>
      <c r="N21" s="13">
        <f>IF('Données projet'!$A$36&gt;35,N20+M21-V20,IF(A21&lt;'Données projet'!$A$36,$K$205^A21,IF(A21='Données projet'!$A$36,'Données projet'!$B$36,N20+M21-V20)))</f>
        <v>25.213104335913162</v>
      </c>
      <c r="O21" s="13">
        <f>N21*VLOOKUP('Données projet'!$B$9,Paramètres!$A$1:$I$89,3,0)*VLOOKUP('Données projet'!$B$9,Paramètres!$A$1:$I$89,5,0)</f>
        <v>11.799732829207361</v>
      </c>
      <c r="P21" s="13">
        <f t="shared" si="33"/>
        <v>4.079982665155371</v>
      </c>
      <c r="Q21" s="20">
        <f t="shared" si="2"/>
        <v>27.657171152681755</v>
      </c>
      <c r="R21" s="59">
        <f t="shared" si="0"/>
        <v>320.99050448601508</v>
      </c>
      <c r="S21" s="59">
        <f ca="1">AVERAGE(OFFSET($R$3,0,0,'Données projet'!$E$9+1,1))-AVERAGE(OFFSET($H$3,0,0,'Données projet'!$E$9+1,1))</f>
        <v>198.17898804494365</v>
      </c>
      <c r="T21" s="59">
        <f t="shared" si="34"/>
        <v>186.24772922797723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426.17767879021477</v>
      </c>
      <c r="AN21" s="59">
        <f ca="1">AVERAGE(OFFSET($AM$3,0,0,'Données projet'!$E$10+1,1))-AVERAGE(OFFSET($H$3,0,0,'Données projet'!$E$10+1,1))</f>
        <v>278.21846622758881</v>
      </c>
      <c r="AO21" s="59">
        <f t="shared" si="36"/>
        <v>245.37578316242906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4.0628205128205126</v>
      </c>
      <c r="BD21" s="12">
        <f>IF('Données projet'!$A$88&gt;35,BD20+BC21-BL20,IF(A21&lt;'Données projet'!$A$88,$BA$205^A21,IF(A21='Données projet'!$A$88,'Données projet'!$B$88,BD20+BC21-BL20)))</f>
        <v>17.847168942782186</v>
      </c>
      <c r="BE21" s="13">
        <f>BD21*VLOOKUP('Données projet'!$B$11,Paramètres!$A$1:$I$89,3,0)*VLOOKUP('Données projet'!$B$11,Paramètres!$A$1:$I$89,5,0)</f>
        <v>16.148118459429323</v>
      </c>
      <c r="BF21" s="13">
        <f t="shared" si="37"/>
        <v>5.3833002038747271</v>
      </c>
      <c r="BG21" s="20">
        <f t="shared" si="7"/>
        <v>37.500554171921223</v>
      </c>
      <c r="BH21" s="59">
        <f t="shared" si="8"/>
        <v>330.83388750525455</v>
      </c>
      <c r="BI21" s="59">
        <f ca="1">AVERAGE(OFFSET($BH$3,0,0,'Données projet'!$E$11+1,1))-AVERAGE(OFFSET($H$3,0,0,'Données projet'!$E$11+1,1))</f>
        <v>270.87836509222456</v>
      </c>
      <c r="BJ21" s="59">
        <f t="shared" si="38"/>
        <v>205.24998237949734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4.0628205128205126</v>
      </c>
      <c r="BY21" s="12">
        <f>IF('Données projet'!$A$114&gt;35,BY20+BX21-CG20,IF(A21&lt;'Données projet'!$A$114,$BV$205^A21,IF(A21='Données projet'!$A$114,'Données projet'!$B$114,BY20+BX21-CG20)))</f>
        <v>17.847168942782186</v>
      </c>
      <c r="BZ21" s="13">
        <f>BY21*VLOOKUP('Données projet'!$B$12,Paramètres!$A$1:$I$89,3,0)*VLOOKUP('Données projet'!$B$12,Paramètres!$A$1:$I$89,5,0)</f>
        <v>18.097029307981138</v>
      </c>
      <c r="CA21" s="13">
        <f t="shared" si="39"/>
        <v>5.9535206738890976</v>
      </c>
      <c r="CB21" s="20">
        <f t="shared" si="10"/>
        <v>41.888041218423993</v>
      </c>
      <c r="CC21" s="59">
        <f t="shared" si="11"/>
        <v>335.22137455175732</v>
      </c>
      <c r="CD21" s="59">
        <f ca="1">AVERAGE(OFFSET($CC$3,0,0,'Données projet'!$E$12+1,1))-AVERAGE(OFFSET($H$3,0,0,'Données projet'!$E$12+1,1))</f>
        <v>312.29056285877169</v>
      </c>
      <c r="CE21" s="59">
        <f t="shared" si="40"/>
        <v>233.85454224241693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2.9235042735042733</v>
      </c>
      <c r="CT21" s="12">
        <f>IF('Données projet'!$A$140&gt;35,CT20+CS21-DB20,IF(A21&lt;'Données projet'!$A$140,$CQ$205^A21,IF(A21='Données projet'!$A$140,'Données projet'!$B$140,CT20+CS21-DB20)))</f>
        <v>14.649236575865659</v>
      </c>
      <c r="CU21" s="17">
        <f>CT21*VLOOKUP('Données projet'!$B$13,Paramètres!$A$1:$I$89,3,0)*VLOOKUP('Données projet'!$B$13,Paramètres!$A$1:$I$89,5,0)</f>
        <v>16.682550612595815</v>
      </c>
      <c r="CV21" s="13">
        <f t="shared" si="41"/>
        <v>5.5404261023531323</v>
      </c>
      <c r="CW21" s="20">
        <f t="shared" si="13"/>
        <v>38.705017778536082</v>
      </c>
      <c r="CX21" s="59">
        <f t="shared" si="14"/>
        <v>332.03835111186942</v>
      </c>
      <c r="CY21" s="59">
        <f ca="1">AVERAGE(OFFSET($CX$3,0,0,'Données projet'!$E$13+1,1))-AVERAGE(OFFSET($H$3,0,0,'Données projet'!$E$13+1,1))</f>
        <v>292.22737648725354</v>
      </c>
      <c r="CZ21" s="59">
        <f t="shared" si="42"/>
        <v>182.84038581199871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2.9235042735042733</v>
      </c>
      <c r="DO21" s="12">
        <f>IF('Données projet'!$A$166&gt;35,DO20+DN21-DW20,IF(A21&lt;'Données projet'!$A$166,$DL$205^A21,IF(A21='Données projet'!$A$166,'Données projet'!$B$166,DO20+DN21-DW20)))</f>
        <v>14.649236575865659</v>
      </c>
      <c r="DP21" s="17">
        <f>DO21*VLOOKUP('Données projet'!$B$14,Paramètres!$A$1:$I$89,3,0)*VLOOKUP('Données projet'!$B$14,Paramètres!$A$1:$I$89,5,0)</f>
        <v>15.996966340845301</v>
      </c>
      <c r="DQ21" s="13">
        <f t="shared" si="43"/>
        <v>5.3387516127628842</v>
      </c>
      <c r="DR21" s="20">
        <f t="shared" si="16"/>
        <v>37.159708769200918</v>
      </c>
      <c r="DS21" s="59">
        <f t="shared" si="17"/>
        <v>330.49304210253422</v>
      </c>
      <c r="DT21" s="59">
        <f ca="1">AVERAGE(OFFSET($DS$3,0,0,'Données projet'!$E$14+1,1))-AVERAGE(OFFSET($H$3,0,0,'Données projet'!$E$14+1,1))</f>
        <v>276.52126514622455</v>
      </c>
      <c r="DU21" s="59">
        <f t="shared" si="44"/>
        <v>173.98404849503186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2.9235042735042733</v>
      </c>
      <c r="EJ21" s="12">
        <f>IF('Données projet'!$A$192&gt;35,EJ20+EI21-ER20,IF(A21&lt;'Données projet'!$A$192,$EG$205^A21,IF(A21='Données projet'!$A$192,'Données projet'!$B$192,EJ20+EI21-ER20)))</f>
        <v>14.649236575865659</v>
      </c>
      <c r="EK21" s="17">
        <f>EJ21*VLOOKUP('Données projet'!$B$15,Paramètres!$A$1:$I$89,3,0)*VLOOKUP('Données projet'!$B$15,Paramètres!$A$1:$I$89,5,0)</f>
        <v>14.168741616177266</v>
      </c>
      <c r="EL21" s="13">
        <f t="shared" si="45"/>
        <v>4.7958808441191989</v>
      </c>
      <c r="EM21" s="20">
        <f t="shared" si="19"/>
        <v>33.030050785016336</v>
      </c>
      <c r="EN21" s="59">
        <f t="shared" si="20"/>
        <v>326.36338411834964</v>
      </c>
      <c r="EO21" s="59">
        <f ca="1">AVERAGE(OFFSET($EN$3,0,0,'Données projet'!$E$15+1,1))-AVERAGE(OFFSET($H$3,0,0,'Données projet'!$E$15+1,1))</f>
        <v>234.56750794375012</v>
      </c>
      <c r="EP21" s="59">
        <f t="shared" si="46"/>
        <v>150.32420541314724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7.2264102564102561</v>
      </c>
      <c r="N22" s="13">
        <f>IF('Données projet'!$A$36&gt;35,N21+M22-V21,IF(A22&lt;'Données projet'!$A$36,$K$205^A22,IF(A22='Données projet'!$A$36,'Données projet'!$B$36,N21+M22-V21)))</f>
        <v>30.164383244315122</v>
      </c>
      <c r="O22" s="13">
        <f>N22*VLOOKUP('Données projet'!$B$9,Paramètres!$A$1:$I$89,3,0)*VLOOKUP('Données projet'!$B$9,Paramètres!$A$1:$I$89,5,0)</f>
        <v>14.116931358339476</v>
      </c>
      <c r="P22" s="13">
        <f t="shared" si="33"/>
        <v>4.7803819359082427</v>
      </c>
      <c r="Q22" s="20">
        <f t="shared" si="2"/>
        <v>32.912820654148106</v>
      </c>
      <c r="R22" s="59">
        <f t="shared" si="0"/>
        <v>326.24615398748142</v>
      </c>
      <c r="S22" s="59">
        <f ca="1">AVERAGE(OFFSET($R$3,0,0,'Données projet'!$E$9+1,1))-AVERAGE(OFFSET($H$3,0,0,'Données projet'!$E$9+1,1))</f>
        <v>198.17898804494365</v>
      </c>
      <c r="T22" s="59">
        <f t="shared" si="34"/>
        <v>186.24772922797723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463.70761417047311</v>
      </c>
      <c r="AN22" s="59">
        <f ca="1">AVERAGE(OFFSET($AM$3,0,0,'Données projet'!$E$10+1,1))-AVERAGE(OFFSET($H$3,0,0,'Données projet'!$E$10+1,1))</f>
        <v>278.21846622758881</v>
      </c>
      <c r="AO22" s="59">
        <f t="shared" si="36"/>
        <v>245.37578316242906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4.0628205128205126</v>
      </c>
      <c r="BD22" s="12">
        <f>IF('Données projet'!$A$88&gt;35,BD21+BC22-BL21,IF(A22&lt;'Données projet'!$A$88,$BA$205^A22,IF(A22='Données projet'!$A$88,'Données projet'!$B$88,BD21+BC22-BL21)))</f>
        <v>20.945993500590358</v>
      </c>
      <c r="BE22" s="13">
        <f>BD22*VLOOKUP('Données projet'!$B$11,Paramètres!$A$1:$I$89,3,0)*VLOOKUP('Données projet'!$B$11,Paramètres!$A$1:$I$89,5,0)</f>
        <v>18.951934919334153</v>
      </c>
      <c r="BF22" s="13">
        <f t="shared" si="37"/>
        <v>6.2013571958398481</v>
      </c>
      <c r="BG22" s="20">
        <f t="shared" si="7"/>
        <v>43.808650433928051</v>
      </c>
      <c r="BH22" s="59">
        <f t="shared" si="8"/>
        <v>337.14198376726137</v>
      </c>
      <c r="BI22" s="59">
        <f ca="1">AVERAGE(OFFSET($BH$3,0,0,'Données projet'!$E$11+1,1))-AVERAGE(OFFSET($H$3,0,0,'Données projet'!$E$11+1,1))</f>
        <v>270.87836509222456</v>
      </c>
      <c r="BJ22" s="59">
        <f t="shared" si="38"/>
        <v>205.24998237949734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4.0628205128205126</v>
      </c>
      <c r="BY22" s="12">
        <f>IF('Données projet'!$A$114&gt;35,BY21+BX22-CG21,IF(A22&lt;'Données projet'!$A$114,$BV$205^A22,IF(A22='Données projet'!$A$114,'Données projet'!$B$114,BY21+BX22-CG21)))</f>
        <v>20.945993500590358</v>
      </c>
      <c r="BZ22" s="13">
        <f>BY22*VLOOKUP('Données projet'!$B$12,Paramètres!$A$1:$I$89,3,0)*VLOOKUP('Données projet'!$B$12,Paramètres!$A$1:$I$89,5,0)</f>
        <v>21.239237409598623</v>
      </c>
      <c r="CA22" s="13">
        <f t="shared" si="39"/>
        <v>6.8582295011208343</v>
      </c>
      <c r="CB22" s="20">
        <f t="shared" si="10"/>
        <v>48.936421536169718</v>
      </c>
      <c r="CC22" s="59">
        <f t="shared" si="11"/>
        <v>342.269754869503</v>
      </c>
      <c r="CD22" s="59">
        <f ca="1">AVERAGE(OFFSET($CC$3,0,0,'Données projet'!$E$12+1,1))-AVERAGE(OFFSET($H$3,0,0,'Données projet'!$E$12+1,1))</f>
        <v>312.29056285877169</v>
      </c>
      <c r="CE22" s="59">
        <f t="shared" si="40"/>
        <v>233.85454224241693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2.9235042735042733</v>
      </c>
      <c r="CT22" s="12">
        <f>IF('Données projet'!$A$140&gt;35,CT21+CS22-DB21,IF(A22&lt;'Données projet'!$A$140,$CQ$205^A22,IF(A22='Données projet'!$A$140,'Données projet'!$B$140,CT21+CS22-DB21)))</f>
        <v>17.005229294461625</v>
      </c>
      <c r="CU22" s="17">
        <f>CT22*VLOOKUP('Données projet'!$B$13,Paramètres!$A$1:$I$89,3,0)*VLOOKUP('Données projet'!$B$13,Paramètres!$A$1:$I$89,5,0)</f>
        <v>19.365555120532896</v>
      </c>
      <c r="CV22" s="13">
        <f t="shared" si="41"/>
        <v>6.3207953503116059</v>
      </c>
      <c r="CW22" s="20">
        <f t="shared" si="13"/>
        <v>44.73706040338751</v>
      </c>
      <c r="CX22" s="59">
        <f t="shared" si="14"/>
        <v>338.0703937367208</v>
      </c>
      <c r="CY22" s="59">
        <f ca="1">AVERAGE(OFFSET($CX$3,0,0,'Données projet'!$E$13+1,1))-AVERAGE(OFFSET($H$3,0,0,'Données projet'!$E$13+1,1))</f>
        <v>292.22737648725354</v>
      </c>
      <c r="CZ22" s="59">
        <f t="shared" si="42"/>
        <v>182.84038581199871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2.9235042735042733</v>
      </c>
      <c r="DO22" s="12">
        <f>IF('Données projet'!$A$166&gt;35,DO21+DN22-DW21,IF(A22&lt;'Données projet'!$A$166,$DL$205^A22,IF(A22='Données projet'!$A$166,'Données projet'!$B$166,DO21+DN22-DW21)))</f>
        <v>17.005229294461625</v>
      </c>
      <c r="DP22" s="17">
        <f>DO22*VLOOKUP('Données projet'!$B$14,Paramètres!$A$1:$I$89,3,0)*VLOOKUP('Données projet'!$B$14,Paramètres!$A$1:$I$89,5,0)</f>
        <v>18.569710389552093</v>
      </c>
      <c r="DQ22" s="13">
        <f t="shared" si="43"/>
        <v>6.0907150004379567</v>
      </c>
      <c r="DR22" s="20">
        <f t="shared" si="16"/>
        <v>42.950240887566004</v>
      </c>
      <c r="DS22" s="59">
        <f t="shared" si="17"/>
        <v>336.28357422089931</v>
      </c>
      <c r="DT22" s="59">
        <f ca="1">AVERAGE(OFFSET($DS$3,0,0,'Données projet'!$E$14+1,1))-AVERAGE(OFFSET($H$3,0,0,'Données projet'!$E$14+1,1))</f>
        <v>276.52126514622455</v>
      </c>
      <c r="DU22" s="59">
        <f t="shared" si="44"/>
        <v>173.98404849503186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2.9235042735042733</v>
      </c>
      <c r="EJ22" s="12">
        <f>IF('Données projet'!$A$192&gt;35,EJ21+EI22-ER21,IF(A22&lt;'Données projet'!$A$192,$EG$205^A22,IF(A22='Données projet'!$A$192,'Données projet'!$B$192,EJ21+EI22-ER21)))</f>
        <v>17.005229294461625</v>
      </c>
      <c r="EK22" s="17">
        <f>EJ22*VLOOKUP('Données projet'!$B$15,Paramètres!$A$1:$I$89,3,0)*VLOOKUP('Données projet'!$B$15,Paramètres!$A$1:$I$89,5,0)</f>
        <v>16.447457773603283</v>
      </c>
      <c r="EL22" s="13">
        <f t="shared" si="45"/>
        <v>5.4713808613532873</v>
      </c>
      <c r="EM22" s="20">
        <f t="shared" si="19"/>
        <v>38.175310622549354</v>
      </c>
      <c r="EN22" s="59">
        <f t="shared" si="20"/>
        <v>331.50864395588269</v>
      </c>
      <c r="EO22" s="59">
        <f ca="1">AVERAGE(OFFSET($EN$3,0,0,'Données projet'!$E$15+1,1))-AVERAGE(OFFSET($H$3,0,0,'Données projet'!$E$15+1,1))</f>
        <v>234.56750794375012</v>
      </c>
      <c r="EP22" s="59">
        <f t="shared" si="46"/>
        <v>150.32420541314724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7.2264102564102561</v>
      </c>
      <c r="N23" s="13">
        <f>IF('Données projet'!$A$36&gt;35,N22+M23-V22,IF(A23&lt;'Données projet'!$A$36,$K$205^A23,IF(A23='Données projet'!$A$36,'Données projet'!$B$36,N22+M23-V22)))</f>
        <v>36.0879804560157</v>
      </c>
      <c r="O23" s="13">
        <f>N23*VLOOKUP('Données projet'!$B$9,Paramètres!$A$1:$I$89,3,0)*VLOOKUP('Données projet'!$B$9,Paramètres!$A$1:$I$89,5,0)</f>
        <v>16.889174853415348</v>
      </c>
      <c r="P23" s="13">
        <f t="shared" si="33"/>
        <v>5.6010168004690764</v>
      </c>
      <c r="Q23" s="20">
        <f t="shared" si="2"/>
        <v>39.170417130515368</v>
      </c>
      <c r="R23" s="59">
        <f t="shared" si="0"/>
        <v>332.50375046384869</v>
      </c>
      <c r="S23" s="59">
        <f ca="1">AVERAGE(OFFSET($R$3,0,0,'Données projet'!$E$9+1,1))-AVERAGE(OFFSET($H$3,0,0,'Données projet'!$E$9+1,1))</f>
        <v>198.17898804494365</v>
      </c>
      <c r="T23" s="59">
        <f t="shared" si="34"/>
        <v>186.24772922797723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423.57293470145942</v>
      </c>
      <c r="AN23" s="59">
        <f ca="1">AVERAGE(OFFSET($AM$3,0,0,'Données projet'!$E$10+1,1))-AVERAGE(OFFSET($H$3,0,0,'Données projet'!$E$10+1,1))</f>
        <v>278.21846622758881</v>
      </c>
      <c r="AO23" s="59">
        <f t="shared" si="36"/>
        <v>245.37578316242906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4.0628205128205126</v>
      </c>
      <c r="BD23" s="12">
        <f>IF('Données projet'!$A$88&gt;35,BD22+BC23-BL22,IF(A23&lt;'Données projet'!$A$88,$BA$205^A23,IF(A23='Données projet'!$A$88,'Données projet'!$B$88,BD22+BC23-BL22)))</f>
        <v>24.582870545650774</v>
      </c>
      <c r="BE23" s="13">
        <f>BD23*VLOOKUP('Données projet'!$B$11,Paramètres!$A$1:$I$89,3,0)*VLOOKUP('Données projet'!$B$11,Paramètres!$A$1:$I$89,5,0)</f>
        <v>22.242581269704818</v>
      </c>
      <c r="BF23" s="13">
        <f t="shared" si="37"/>
        <v>7.1437277532311274</v>
      </c>
      <c r="BG23" s="20">
        <f t="shared" si="7"/>
        <v>51.181154881613445</v>
      </c>
      <c r="BH23" s="59">
        <f t="shared" si="8"/>
        <v>344.51448821494677</v>
      </c>
      <c r="BI23" s="59">
        <f ca="1">AVERAGE(OFFSET($BH$3,0,0,'Données projet'!$E$11+1,1))-AVERAGE(OFFSET($H$3,0,0,'Données projet'!$E$11+1,1))</f>
        <v>270.87836509222456</v>
      </c>
      <c r="BJ23" s="59">
        <f t="shared" si="38"/>
        <v>205.24998237949734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4.0628205128205126</v>
      </c>
      <c r="BY23" s="12">
        <f>IF('Données projet'!$A$114&gt;35,BY22+BX23-CG22,IF(A23&lt;'Données projet'!$A$114,$BV$205^A23,IF(A23='Données projet'!$A$114,'Données projet'!$B$114,BY22+BX23-CG22)))</f>
        <v>24.582870545650774</v>
      </c>
      <c r="BZ23" s="13">
        <f>BY23*VLOOKUP('Données projet'!$B$12,Paramètres!$A$1:$I$89,3,0)*VLOOKUP('Données projet'!$B$12,Paramètres!$A$1:$I$89,5,0)</f>
        <v>24.927030733289886</v>
      </c>
      <c r="CA23" s="13">
        <f t="shared" si="39"/>
        <v>7.900419678784556</v>
      </c>
      <c r="CB23" s="20">
        <f t="shared" si="10"/>
        <v>57.174476134362976</v>
      </c>
      <c r="CC23" s="59">
        <f t="shared" si="11"/>
        <v>350.50780946769629</v>
      </c>
      <c r="CD23" s="59">
        <f ca="1">AVERAGE(OFFSET($CC$3,0,0,'Données projet'!$E$12+1,1))-AVERAGE(OFFSET($H$3,0,0,'Données projet'!$E$12+1,1))</f>
        <v>312.29056285877169</v>
      </c>
      <c r="CE23" s="59">
        <f t="shared" si="40"/>
        <v>233.85454224241693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2.9235042735042733</v>
      </c>
      <c r="CT23" s="12">
        <f>IF('Données projet'!$A$140&gt;35,CT22+CS23-DB22,IF(A23&lt;'Données projet'!$A$140,$CQ$205^A23,IF(A23='Données projet'!$A$140,'Données projet'!$B$140,CT22+CS23-DB22)))</f>
        <v>19.740129245617538</v>
      </c>
      <c r="CU23" s="17">
        <f>CT23*VLOOKUP('Données projet'!$B$13,Paramètres!$A$1:$I$89,3,0)*VLOOKUP('Données projet'!$B$13,Paramètres!$A$1:$I$89,5,0)</f>
        <v>22.480059184909251</v>
      </c>
      <c r="CV23" s="13">
        <f t="shared" si="41"/>
        <v>7.2110796394436498</v>
      </c>
      <c r="CW23" s="20">
        <f t="shared" si="13"/>
        <v>51.712066785747965</v>
      </c>
      <c r="CX23" s="59">
        <f t="shared" si="14"/>
        <v>345.04540011908125</v>
      </c>
      <c r="CY23" s="59">
        <f ca="1">AVERAGE(OFFSET($CX$3,0,0,'Données projet'!$E$13+1,1))-AVERAGE(OFFSET($H$3,0,0,'Données projet'!$E$13+1,1))</f>
        <v>292.22737648725354</v>
      </c>
      <c r="CZ23" s="59">
        <f t="shared" si="42"/>
        <v>182.84038581199871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2.9235042735042733</v>
      </c>
      <c r="DO23" s="12">
        <f>IF('Données projet'!$A$166&gt;35,DO22+DN23-DW22,IF(A23&lt;'Données projet'!$A$166,$DL$205^A23,IF(A23='Données projet'!$A$166,'Données projet'!$B$166,DO22+DN23-DW22)))</f>
        <v>19.740129245617538</v>
      </c>
      <c r="DP23" s="17">
        <f>DO23*VLOOKUP('Données projet'!$B$14,Paramètres!$A$1:$I$89,3,0)*VLOOKUP('Données projet'!$B$14,Paramètres!$A$1:$I$89,5,0)</f>
        <v>21.556221136214351</v>
      </c>
      <c r="DQ23" s="13">
        <f t="shared" si="43"/>
        <v>6.948592462679076</v>
      </c>
      <c r="DR23" s="20">
        <f t="shared" si="16"/>
        <v>49.645883684739381</v>
      </c>
      <c r="DS23" s="59">
        <f t="shared" si="17"/>
        <v>342.97921701807269</v>
      </c>
      <c r="DT23" s="59">
        <f ca="1">AVERAGE(OFFSET($DS$3,0,0,'Données projet'!$E$14+1,1))-AVERAGE(OFFSET($H$3,0,0,'Données projet'!$E$14+1,1))</f>
        <v>276.52126514622455</v>
      </c>
      <c r="DU23" s="59">
        <f t="shared" si="44"/>
        <v>173.98404849503186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2.9235042735042733</v>
      </c>
      <c r="EJ23" s="12">
        <f>IF('Données projet'!$A$192&gt;35,EJ22+EI23-ER22,IF(A23&lt;'Données projet'!$A$192,$EG$205^A23,IF(A23='Données projet'!$A$192,'Données projet'!$B$192,EJ22+EI23-ER22)))</f>
        <v>19.740129245617538</v>
      </c>
      <c r="EK23" s="17">
        <f>EJ23*VLOOKUP('Données projet'!$B$15,Paramètres!$A$1:$I$89,3,0)*VLOOKUP('Données projet'!$B$15,Paramètres!$A$1:$I$89,5,0)</f>
        <v>19.092653006361285</v>
      </c>
      <c r="EL23" s="13">
        <f t="shared" si="45"/>
        <v>6.2420250842326848</v>
      </c>
      <c r="EM23" s="20">
        <f t="shared" si="19"/>
        <v>44.124564341117825</v>
      </c>
      <c r="EN23" s="59">
        <f t="shared" si="20"/>
        <v>337.45789767445115</v>
      </c>
      <c r="EO23" s="59">
        <f ca="1">AVERAGE(OFFSET($EN$3,0,0,'Données projet'!$E$15+1,1))-AVERAGE(OFFSET($H$3,0,0,'Données projet'!$E$15+1,1))</f>
        <v>234.56750794375012</v>
      </c>
      <c r="EP23" s="59">
        <f t="shared" si="46"/>
        <v>150.32420541314724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7.2264102564102561</v>
      </c>
      <c r="N24" s="13">
        <f>IF('Données projet'!$A$36&gt;35,N23+M24-V23,IF(A24&lt;'Données projet'!$A$36,$K$205^A24,IF(A24='Données projet'!$A$36,'Données projet'!$B$36,N23+M24-V23)))</f>
        <v>43.17483711984115</v>
      </c>
      <c r="O24" s="13">
        <f>N24*VLOOKUP('Données projet'!$B$9,Paramètres!$A$1:$I$89,3,0)*VLOOKUP('Données projet'!$B$9,Paramètres!$A$1:$I$89,5,0)</f>
        <v>20.205823772085658</v>
      </c>
      <c r="P24" s="13">
        <f t="shared" si="33"/>
        <v>6.5625277686471071</v>
      </c>
      <c r="Q24" s="20">
        <f t="shared" si="2"/>
        <v>46.621545600109563</v>
      </c>
      <c r="R24" s="59">
        <f t="shared" si="0"/>
        <v>339.9548789334429</v>
      </c>
      <c r="S24" s="59">
        <f ca="1">AVERAGE(OFFSET($R$3,0,0,'Données projet'!$E$9+1,1))-AVERAGE(OFFSET($H$3,0,0,'Données projet'!$E$9+1,1))</f>
        <v>198.17898804494365</v>
      </c>
      <c r="T24" s="59">
        <f t="shared" si="34"/>
        <v>186.24772922797723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444.03769910908363</v>
      </c>
      <c r="AN24" s="59">
        <f ca="1">AVERAGE(OFFSET($AM$3,0,0,'Données projet'!$E$10+1,1))-AVERAGE(OFFSET($H$3,0,0,'Données projet'!$E$10+1,1))</f>
        <v>278.21846622758881</v>
      </c>
      <c r="AO24" s="59">
        <f t="shared" si="36"/>
        <v>245.37578316242906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4.0628205128205126</v>
      </c>
      <c r="BD24" s="12">
        <f>IF('Données projet'!$A$88&gt;35,BD23+BC24-BL23,IF(A24&lt;'Données projet'!$A$88,$BA$205^A24,IF(A24='Données projet'!$A$88,'Données projet'!$B$88,BD23+BC24-BL23)))</f>
        <v>28.851222752799568</v>
      </c>
      <c r="BE24" s="13">
        <f>BD24*VLOOKUP('Données projet'!$B$11,Paramètres!$A$1:$I$89,3,0)*VLOOKUP('Données projet'!$B$11,Paramètres!$A$1:$I$89,5,0)</f>
        <v>26.104586346733051</v>
      </c>
      <c r="BF24" s="13">
        <f t="shared" si="37"/>
        <v>8.2293028123778775</v>
      </c>
      <c r="BG24" s="20">
        <f t="shared" si="7"/>
        <v>59.798190285451518</v>
      </c>
      <c r="BH24" s="59">
        <f t="shared" si="8"/>
        <v>353.13152361878485</v>
      </c>
      <c r="BI24" s="59">
        <f ca="1">AVERAGE(OFFSET($BH$3,0,0,'Données projet'!$E$11+1,1))-AVERAGE(OFFSET($H$3,0,0,'Données projet'!$E$11+1,1))</f>
        <v>270.87836509222456</v>
      </c>
      <c r="BJ24" s="59">
        <f t="shared" si="38"/>
        <v>205.24998237949734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4.0628205128205126</v>
      </c>
      <c r="BY24" s="12">
        <f>IF('Données projet'!$A$114&gt;35,BY23+BX24-CG23,IF(A24&lt;'Données projet'!$A$114,$BV$205^A24,IF(A24='Données projet'!$A$114,'Données projet'!$B$114,BY23+BX24-CG23)))</f>
        <v>28.851222752799568</v>
      </c>
      <c r="BZ24" s="13">
        <f>BY24*VLOOKUP('Données projet'!$B$12,Paramètres!$A$1:$I$89,3,0)*VLOOKUP('Données projet'!$B$12,Paramètres!$A$1:$I$89,5,0)</f>
        <v>29.255139871338766</v>
      </c>
      <c r="CA24" s="13">
        <f t="shared" si="39"/>
        <v>9.1009831459745705</v>
      </c>
      <c r="CB24" s="20">
        <f t="shared" si="10"/>
        <v>66.803580921820739</v>
      </c>
      <c r="CC24" s="59">
        <f t="shared" si="11"/>
        <v>360.13691425515407</v>
      </c>
      <c r="CD24" s="59">
        <f ca="1">AVERAGE(OFFSET($CC$3,0,0,'Données projet'!$E$12+1,1))-AVERAGE(OFFSET($H$3,0,0,'Données projet'!$E$12+1,1))</f>
        <v>312.29056285877169</v>
      </c>
      <c r="CE24" s="59">
        <f t="shared" si="40"/>
        <v>233.85454224241693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2.9235042735042733</v>
      </c>
      <c r="CT24" s="12">
        <f>IF('Données projet'!$A$140&gt;35,CT23+CS24-DB23,IF(A24&lt;'Données projet'!$A$140,$CQ$205^A24,IF(A24='Données projet'!$A$140,'Données projet'!$B$140,CT23+CS24-DB23)))</f>
        <v>22.91487494147438</v>
      </c>
      <c r="CU24" s="17">
        <f>CT24*VLOOKUP('Données projet'!$B$13,Paramètres!$A$1:$I$89,3,0)*VLOOKUP('Données projet'!$B$13,Paramètres!$A$1:$I$89,5,0)</f>
        <v>26.095459583351026</v>
      </c>
      <c r="CV24" s="13">
        <f t="shared" si="41"/>
        <v>8.226760507890079</v>
      </c>
      <c r="CW24" s="20">
        <f t="shared" si="13"/>
        <v>59.777866658911591</v>
      </c>
      <c r="CX24" s="59">
        <f t="shared" si="14"/>
        <v>353.11119999224491</v>
      </c>
      <c r="CY24" s="59">
        <f ca="1">AVERAGE(OFFSET($CX$3,0,0,'Données projet'!$E$13+1,1))-AVERAGE(OFFSET($H$3,0,0,'Données projet'!$E$13+1,1))</f>
        <v>292.22737648725354</v>
      </c>
      <c r="CZ24" s="59">
        <f t="shared" si="42"/>
        <v>182.84038581199871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2.9235042735042733</v>
      </c>
      <c r="DO24" s="12">
        <f>IF('Données projet'!$A$166&gt;35,DO23+DN24-DW23,IF(A24&lt;'Données projet'!$A$166,$DL$205^A24,IF(A24='Données projet'!$A$166,'Données projet'!$B$166,DO23+DN24-DW23)))</f>
        <v>22.91487494147438</v>
      </c>
      <c r="DP24" s="17">
        <f>DO24*VLOOKUP('Données projet'!$B$14,Paramètres!$A$1:$I$89,3,0)*VLOOKUP('Données projet'!$B$14,Paramètres!$A$1:$I$89,5,0)</f>
        <v>25.023043436090024</v>
      </c>
      <c r="DQ24" s="13">
        <f t="shared" si="43"/>
        <v>7.9273020013132509</v>
      </c>
      <c r="DR24" s="20">
        <f t="shared" si="16"/>
        <v>57.388518303477362</v>
      </c>
      <c r="DS24" s="59">
        <f t="shared" si="17"/>
        <v>350.7218516368107</v>
      </c>
      <c r="DT24" s="59">
        <f ca="1">AVERAGE(OFFSET($DS$3,0,0,'Données projet'!$E$14+1,1))-AVERAGE(OFFSET($H$3,0,0,'Données projet'!$E$14+1,1))</f>
        <v>276.52126514622455</v>
      </c>
      <c r="DU24" s="59">
        <f t="shared" si="44"/>
        <v>173.98404849503186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2.9235042735042733</v>
      </c>
      <c r="EJ24" s="12">
        <f>IF('Données projet'!$A$192&gt;35,EJ23+EI24-ER23,IF(A24&lt;'Données projet'!$A$192,$EG$205^A24,IF(A24='Données projet'!$A$192,'Données projet'!$B$192,EJ23+EI24-ER23)))</f>
        <v>22.91487494147438</v>
      </c>
      <c r="EK24" s="17">
        <f>EJ24*VLOOKUP('Données projet'!$B$15,Paramètres!$A$1:$I$89,3,0)*VLOOKUP('Données projet'!$B$15,Paramètres!$A$1:$I$89,5,0)</f>
        <v>22.163267043394022</v>
      </c>
      <c r="EL24" s="13">
        <f t="shared" si="45"/>
        <v>7.121214578097014</v>
      </c>
      <c r="EM24" s="20">
        <f t="shared" si="19"/>
        <v>51.003805490763547</v>
      </c>
      <c r="EN24" s="59">
        <f t="shared" si="20"/>
        <v>344.33713882409688</v>
      </c>
      <c r="EO24" s="59">
        <f ca="1">AVERAGE(OFFSET($EN$3,0,0,'Données projet'!$E$15+1,1))-AVERAGE(OFFSET($H$3,0,0,'Données projet'!$E$15+1,1))</f>
        <v>234.56750794375012</v>
      </c>
      <c r="EP24" s="59">
        <f t="shared" si="46"/>
        <v>150.32420541314724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7.2264102564102561</v>
      </c>
      <c r="N25" s="13">
        <f>IF('Données projet'!$A$36&gt;35,N24+M25-V24,IF(A25&lt;'Données projet'!$A$36,$K$205^A25,IF(A25='Données projet'!$A$36,'Données projet'!$B$36,N24+M25-V24)))</f>
        <v>51.653390873361616</v>
      </c>
      <c r="O25" s="13">
        <f>N25*VLOOKUP('Données projet'!$B$9,Paramètres!$A$1:$I$89,3,0)*VLOOKUP('Données projet'!$B$9,Paramètres!$A$1:$I$89,5,0)</f>
        <v>24.173786928733236</v>
      </c>
      <c r="P25" s="13">
        <f t="shared" si="33"/>
        <v>7.6890986491341353</v>
      </c>
      <c r="Q25" s="20">
        <f t="shared" si="2"/>
        <v>55.494525714785674</v>
      </c>
      <c r="R25" s="59">
        <f t="shared" si="0"/>
        <v>348.82785904811897</v>
      </c>
      <c r="S25" s="59">
        <f ca="1">AVERAGE(OFFSET($R$3,0,0,'Données projet'!$E$9+1,1))-AVERAGE(OFFSET($H$3,0,0,'Données projet'!$E$9+1,1))</f>
        <v>198.17898804494365</v>
      </c>
      <c r="T25" s="59">
        <f t="shared" si="34"/>
        <v>186.24772922797723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464.43616743233019</v>
      </c>
      <c r="AN25" s="59">
        <f ca="1">AVERAGE(OFFSET($AM$3,0,0,'Données projet'!$E$10+1,1))-AVERAGE(OFFSET($H$3,0,0,'Données projet'!$E$10+1,1))</f>
        <v>278.21846622758881</v>
      </c>
      <c r="AO25" s="59">
        <f t="shared" si="36"/>
        <v>245.37578316242906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4.0628205128205126</v>
      </c>
      <c r="BD25" s="12">
        <f>IF('Données projet'!$A$88&gt;35,BD24+BC25-BL24,IF(A25&lt;'Données projet'!$A$88,$BA$205^A25,IF(A25='Données projet'!$A$88,'Données projet'!$B$88,BD24+BC25-BL24)))</f>
        <v>33.860693883812012</v>
      </c>
      <c r="BE25" s="13">
        <f>BD25*VLOOKUP('Données projet'!$B$11,Paramètres!$A$1:$I$89,3,0)*VLOOKUP('Données projet'!$B$11,Paramètres!$A$1:$I$89,5,0)</f>
        <v>30.637155826073108</v>
      </c>
      <c r="BF25" s="13">
        <f t="shared" si="37"/>
        <v>9.4798440138175533</v>
      </c>
      <c r="BG25" s="20">
        <f t="shared" si="7"/>
        <v>69.870441387809549</v>
      </c>
      <c r="BH25" s="59">
        <f t="shared" si="8"/>
        <v>363.20377472114285</v>
      </c>
      <c r="BI25" s="59">
        <f ca="1">AVERAGE(OFFSET($BH$3,0,0,'Données projet'!$E$11+1,1))-AVERAGE(OFFSET($H$3,0,0,'Données projet'!$E$11+1,1))</f>
        <v>270.87836509222456</v>
      </c>
      <c r="BJ25" s="59">
        <f t="shared" si="38"/>
        <v>205.24998237949734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4.0628205128205126</v>
      </c>
      <c r="BY25" s="12">
        <f>IF('Données projet'!$A$114&gt;35,BY24+BX25-CG24,IF(A25&lt;'Données projet'!$A$114,$BV$205^A25,IF(A25='Données projet'!$A$114,'Données projet'!$B$114,BY24+BX25-CG24)))</f>
        <v>33.860693883812012</v>
      </c>
      <c r="BZ25" s="13">
        <f>BY25*VLOOKUP('Données projet'!$B$12,Paramètres!$A$1:$I$89,3,0)*VLOOKUP('Données projet'!$B$12,Paramètres!$A$1:$I$89,5,0)</f>
        <v>34.334743598185383</v>
      </c>
      <c r="CA25" s="13">
        <f t="shared" si="39"/>
        <v>10.48398662234813</v>
      </c>
      <c r="CB25" s="20">
        <f t="shared" si="10"/>
        <v>78.059288467429198</v>
      </c>
      <c r="CC25" s="59">
        <f t="shared" si="11"/>
        <v>371.39262180076253</v>
      </c>
      <c r="CD25" s="59">
        <f ca="1">AVERAGE(OFFSET($CC$3,0,0,'Données projet'!$E$12+1,1))-AVERAGE(OFFSET($H$3,0,0,'Données projet'!$E$12+1,1))</f>
        <v>312.29056285877169</v>
      </c>
      <c r="CE25" s="59">
        <f t="shared" si="40"/>
        <v>233.85454224241693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2.9235042735042733</v>
      </c>
      <c r="CT25" s="12">
        <f>IF('Données projet'!$A$140&gt;35,CT24+CS25-DB24,IF(A25&lt;'Données projet'!$A$140,$CQ$205^A25,IF(A25='Données projet'!$A$140,'Données projet'!$B$140,CT24+CS25-DB24)))</f>
        <v>26.600205452048144</v>
      </c>
      <c r="CU25" s="17">
        <f>CT25*VLOOKUP('Données projet'!$B$13,Paramètres!$A$1:$I$89,3,0)*VLOOKUP('Données projet'!$B$13,Paramètres!$A$1:$I$89,5,0)</f>
        <v>30.292313968792428</v>
      </c>
      <c r="CV25" s="13">
        <f t="shared" si="41"/>
        <v>9.3855000690855572</v>
      </c>
      <c r="CW25" s="20">
        <f t="shared" si="13"/>
        <v>69.105526115970832</v>
      </c>
      <c r="CX25" s="59">
        <f t="shared" si="14"/>
        <v>362.43885944930412</v>
      </c>
      <c r="CY25" s="59">
        <f ca="1">AVERAGE(OFFSET($CX$3,0,0,'Données projet'!$E$13+1,1))-AVERAGE(OFFSET($H$3,0,0,'Données projet'!$E$13+1,1))</f>
        <v>292.22737648725354</v>
      </c>
      <c r="CZ25" s="59">
        <f t="shared" si="42"/>
        <v>182.84038581199871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2.9235042735042733</v>
      </c>
      <c r="DO25" s="12">
        <f>IF('Données projet'!$A$166&gt;35,DO24+DN25-DW24,IF(A25&lt;'Données projet'!$A$166,$DL$205^A25,IF(A25='Données projet'!$A$166,'Données projet'!$B$166,DO24+DN25-DW24)))</f>
        <v>26.600205452048144</v>
      </c>
      <c r="DP25" s="17">
        <f>DO25*VLOOKUP('Données projet'!$B$14,Paramètres!$A$1:$I$89,3,0)*VLOOKUP('Données projet'!$B$14,Paramètres!$A$1:$I$89,5,0)</f>
        <v>29.047424353636572</v>
      </c>
      <c r="DQ25" s="13">
        <f t="shared" si="43"/>
        <v>9.0438628193480053</v>
      </c>
      <c r="DR25" s="20">
        <f t="shared" si="16"/>
        <v>66.342325159614802</v>
      </c>
      <c r="DS25" s="59">
        <f t="shared" si="17"/>
        <v>359.67565849294812</v>
      </c>
      <c r="DT25" s="59">
        <f ca="1">AVERAGE(OFFSET($DS$3,0,0,'Données projet'!$E$14+1,1))-AVERAGE(OFFSET($H$3,0,0,'Données projet'!$E$14+1,1))</f>
        <v>276.52126514622455</v>
      </c>
      <c r="DU25" s="59">
        <f t="shared" si="44"/>
        <v>173.98404849503186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2.9235042735042733</v>
      </c>
      <c r="EJ25" s="12">
        <f>IF('Données projet'!$A$192&gt;35,EJ24+EI25-ER24,IF(A25&lt;'Données projet'!$A$192,$EG$205^A25,IF(A25='Données projet'!$A$192,'Données projet'!$B$192,EJ24+EI25-ER24)))</f>
        <v>26.600205452048144</v>
      </c>
      <c r="EK25" s="17">
        <f>EJ25*VLOOKUP('Données projet'!$B$15,Paramètres!$A$1:$I$89,3,0)*VLOOKUP('Données projet'!$B$15,Paramètres!$A$1:$I$89,5,0)</f>
        <v>25.727718713220966</v>
      </c>
      <c r="EL25" s="13">
        <f t="shared" si="45"/>
        <v>8.1242379488988057</v>
      </c>
      <c r="EM25" s="20">
        <f t="shared" si="19"/>
        <v>58.958824519858602</v>
      </c>
      <c r="EN25" s="59">
        <f t="shared" si="20"/>
        <v>352.2921578531919</v>
      </c>
      <c r="EO25" s="59">
        <f ca="1">AVERAGE(OFFSET($EN$3,0,0,'Données projet'!$E$15+1,1))-AVERAGE(OFFSET($H$3,0,0,'Données projet'!$E$15+1,1))</f>
        <v>234.56750794375012</v>
      </c>
      <c r="EP25" s="59">
        <f t="shared" si="46"/>
        <v>150.32420541314724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7.2264102564102561</v>
      </c>
      <c r="N26" s="13">
        <f>IF('Données projet'!$A$36&gt;35,N25+M26-V25,IF(A26&lt;'Données projet'!$A$36,$K$205^A26,IF(A26='Données projet'!$A$36,'Données projet'!$B$36,N25+M26-V25)))</f>
        <v>61.796939298472864</v>
      </c>
      <c r="O26" s="13">
        <f>N26*VLOOKUP('Données projet'!$B$9,Paramètres!$A$1:$I$89,3,0)*VLOOKUP('Données projet'!$B$9,Paramètres!$A$1:$I$89,5,0)</f>
        <v>28.920967591685301</v>
      </c>
      <c r="P26" s="13">
        <f t="shared" si="33"/>
        <v>9.0090648177637647</v>
      </c>
      <c r="Q26" s="20">
        <f t="shared" si="2"/>
        <v>66.061473113123796</v>
      </c>
      <c r="R26" s="59">
        <f t="shared" si="0"/>
        <v>359.3948064464571</v>
      </c>
      <c r="S26" s="59">
        <f ca="1">AVERAGE(OFFSET($R$3,0,0,'Données projet'!$E$9+1,1))-AVERAGE(OFFSET($H$3,0,0,'Données projet'!$E$9+1,1))</f>
        <v>198.17898804494365</v>
      </c>
      <c r="T26" s="59">
        <f t="shared" si="34"/>
        <v>186.24772922797723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484.77736319864221</v>
      </c>
      <c r="AN26" s="59">
        <f ca="1">AVERAGE(OFFSET($AM$3,0,0,'Données projet'!$E$10+1,1))-AVERAGE(OFFSET($H$3,0,0,'Données projet'!$E$10+1,1))</f>
        <v>278.21846622758881</v>
      </c>
      <c r="AO26" s="59">
        <f t="shared" si="36"/>
        <v>245.37578316242906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4.0628205128205126</v>
      </c>
      <c r="BD26" s="12">
        <f>IF('Données projet'!$A$88&gt;35,BD25+BC26-BL25,IF(A26&lt;'Données projet'!$A$88,$BA$205^A26,IF(A26='Données projet'!$A$88,'Données projet'!$B$88,BD25+BC26-BL25)))</f>
        <v>39.739965273463824</v>
      </c>
      <c r="BE26" s="13">
        <f>BD26*VLOOKUP('Données projet'!$B$11,Paramètres!$A$1:$I$89,3,0)*VLOOKUP('Données projet'!$B$11,Paramètres!$A$1:$I$89,5,0)</f>
        <v>35.956720579430062</v>
      </c>
      <c r="BF26" s="13">
        <f t="shared" si="37"/>
        <v>10.920419940209383</v>
      </c>
      <c r="BG26" s="20">
        <f t="shared" si="7"/>
        <v>81.644353071705368</v>
      </c>
      <c r="BH26" s="59">
        <f t="shared" si="8"/>
        <v>374.9776864050387</v>
      </c>
      <c r="BI26" s="59">
        <f ca="1">AVERAGE(OFFSET($BH$3,0,0,'Données projet'!$E$11+1,1))-AVERAGE(OFFSET($H$3,0,0,'Données projet'!$E$11+1,1))</f>
        <v>270.87836509222456</v>
      </c>
      <c r="BJ26" s="59">
        <f t="shared" si="38"/>
        <v>205.24998237949734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4.0628205128205126</v>
      </c>
      <c r="BY26" s="12">
        <f>IF('Données projet'!$A$114&gt;35,BY25+BX26-CG25,IF(A26&lt;'Données projet'!$A$114,$BV$205^A26,IF(A26='Données projet'!$A$114,'Données projet'!$B$114,BY25+BX26-CG25)))</f>
        <v>39.739965273463824</v>
      </c>
      <c r="BZ26" s="13">
        <f>BY26*VLOOKUP('Données projet'!$B$12,Paramètres!$A$1:$I$89,3,0)*VLOOKUP('Données projet'!$B$12,Paramètres!$A$1:$I$89,5,0)</f>
        <v>40.29632478729232</v>
      </c>
      <c r="CA26" s="13">
        <f t="shared" si="39"/>
        <v>12.077154054085931</v>
      </c>
      <c r="CB26" s="20">
        <f t="shared" si="10"/>
        <v>91.217142315400451</v>
      </c>
      <c r="CC26" s="59">
        <f t="shared" si="11"/>
        <v>384.55047564873377</v>
      </c>
      <c r="CD26" s="59">
        <f ca="1">AVERAGE(OFFSET($CC$3,0,0,'Données projet'!$E$12+1,1))-AVERAGE(OFFSET($H$3,0,0,'Données projet'!$E$12+1,1))</f>
        <v>312.29056285877169</v>
      </c>
      <c r="CE26" s="59">
        <f t="shared" si="40"/>
        <v>233.85454224241693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2.9235042735042733</v>
      </c>
      <c r="CT26" s="12">
        <f>IF('Données projet'!$A$140&gt;35,CT25+CS26-DB25,IF(A26&lt;'Données projet'!$A$140,$CQ$205^A26,IF(A26='Données projet'!$A$140,'Données projet'!$B$140,CT25+CS26-DB25)))</f>
        <v>30.878236599516239</v>
      </c>
      <c r="CU26" s="17">
        <f>CT26*VLOOKUP('Données projet'!$B$13,Paramètres!$A$1:$I$89,3,0)*VLOOKUP('Données projet'!$B$13,Paramètres!$A$1:$I$89,5,0)</f>
        <v>35.164135839529095</v>
      </c>
      <c r="CV26" s="13">
        <f t="shared" si="41"/>
        <v>10.707448145879827</v>
      </c>
      <c r="CW26" s="20">
        <f t="shared" si="13"/>
        <v>79.893008774587202</v>
      </c>
      <c r="CX26" s="59">
        <f t="shared" si="14"/>
        <v>373.22634210792052</v>
      </c>
      <c r="CY26" s="59">
        <f ca="1">AVERAGE(OFFSET($CX$3,0,0,'Données projet'!$E$13+1,1))-AVERAGE(OFFSET($H$3,0,0,'Données projet'!$E$13+1,1))</f>
        <v>292.22737648725354</v>
      </c>
      <c r="CZ26" s="59">
        <f t="shared" si="42"/>
        <v>182.84038581199871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2.9235042735042733</v>
      </c>
      <c r="DO26" s="12">
        <f>IF('Données projet'!$A$166&gt;35,DO25+DN26-DW25,IF(A26&lt;'Données projet'!$A$166,$DL$205^A26,IF(A26='Données projet'!$A$166,'Données projet'!$B$166,DO25+DN26-DW25)))</f>
        <v>30.878236599516239</v>
      </c>
      <c r="DP26" s="17">
        <f>DO26*VLOOKUP('Données projet'!$B$14,Paramètres!$A$1:$I$89,3,0)*VLOOKUP('Données projet'!$B$14,Paramètres!$A$1:$I$89,5,0)</f>
        <v>33.719034366671735</v>
      </c>
      <c r="DQ26" s="13">
        <f t="shared" si="43"/>
        <v>10.317691275245416</v>
      </c>
      <c r="DR26" s="20">
        <f t="shared" si="16"/>
        <v>76.69729715967236</v>
      </c>
      <c r="DS26" s="59">
        <f t="shared" si="17"/>
        <v>370.03063049300567</v>
      </c>
      <c r="DT26" s="59">
        <f ca="1">AVERAGE(OFFSET($DS$3,0,0,'Données projet'!$E$14+1,1))-AVERAGE(OFFSET($H$3,0,0,'Données projet'!$E$14+1,1))</f>
        <v>276.52126514622455</v>
      </c>
      <c r="DU26" s="59">
        <f t="shared" si="44"/>
        <v>173.98404849503186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2.9235042735042733</v>
      </c>
      <c r="EJ26" s="12">
        <f>IF('Données projet'!$A$192&gt;35,EJ25+EI26-ER25,IF(A26&lt;'Données projet'!$A$192,$EG$205^A26,IF(A26='Données projet'!$A$192,'Données projet'!$B$192,EJ25+EI26-ER25)))</f>
        <v>30.878236599516239</v>
      </c>
      <c r="EK26" s="17">
        <f>EJ26*VLOOKUP('Données projet'!$B$15,Paramètres!$A$1:$I$89,3,0)*VLOOKUP('Données projet'!$B$15,Paramètres!$A$1:$I$89,5,0)</f>
        <v>29.865430439052108</v>
      </c>
      <c r="EL26" s="13">
        <f t="shared" si="45"/>
        <v>9.2685372033776563</v>
      </c>
      <c r="EM26" s="20">
        <f t="shared" si="19"/>
        <v>68.158326977231852</v>
      </c>
      <c r="EN26" s="59">
        <f t="shared" si="20"/>
        <v>361.49166031056518</v>
      </c>
      <c r="EO26" s="59">
        <f ca="1">AVERAGE(OFFSET($EN$3,0,0,'Données projet'!$E$15+1,1))-AVERAGE(OFFSET($H$3,0,0,'Données projet'!$E$15+1,1))</f>
        <v>234.56750794375012</v>
      </c>
      <c r="EP26" s="59">
        <f t="shared" si="46"/>
        <v>150.32420541314724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7.2264102564102561</v>
      </c>
      <c r="N27" s="13">
        <f>IF('Données projet'!$A$36&gt;35,N26+M27-V26,IF(A27&lt;'Données projet'!$A$36,$K$205^A27,IF(A27='Données projet'!$A$36,'Données projet'!$B$36,N26+M27-V26)))</f>
        <v>73.932449391789717</v>
      </c>
      <c r="O27" s="13">
        <f>N27*VLOOKUP('Données projet'!$B$9,Paramètres!$A$1:$I$89,3,0)*VLOOKUP('Données projet'!$B$9,Paramètres!$A$1:$I$89,5,0)</f>
        <v>34.600386315357589</v>
      </c>
      <c r="P27" s="13">
        <f t="shared" si="33"/>
        <v>10.555625905490055</v>
      </c>
      <c r="Q27" s="20">
        <f t="shared" si="2"/>
        <v>78.646721284642979</v>
      </c>
      <c r="R27" s="59">
        <f t="shared" si="0"/>
        <v>371.98005461797629</v>
      </c>
      <c r="S27" s="59">
        <f ca="1">AVERAGE(OFFSET($R$3,0,0,'Données projet'!$E$9+1,1))-AVERAGE(OFFSET($H$3,0,0,'Données projet'!$E$9+1,1))</f>
        <v>198.17898804494365</v>
      </c>
      <c r="T27" s="59">
        <f t="shared" si="34"/>
        <v>186.24772922797723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505.06823078019431</v>
      </c>
      <c r="AN27" s="59">
        <f ca="1">AVERAGE(OFFSET($AM$3,0,0,'Données projet'!$E$10+1,1))-AVERAGE(OFFSET($H$3,0,0,'Données projet'!$E$10+1,1))</f>
        <v>278.21846622758881</v>
      </c>
      <c r="AO27" s="59">
        <f t="shared" si="36"/>
        <v>245.37578316242906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4.0628205128205126</v>
      </c>
      <c r="BD27" s="12">
        <f>IF('Données projet'!$A$88&gt;35,BD26+BC27-BL26,IF(A27&lt;'Données projet'!$A$88,$BA$205^A27,IF(A27='Données projet'!$A$88,'Données projet'!$B$88,BD26+BC27-BL26)))</f>
        <v>46.640061345320483</v>
      </c>
      <c r="BE27" s="13">
        <f>BD27*VLOOKUP('Données projet'!$B$11,Paramètres!$A$1:$I$89,3,0)*VLOOKUP('Données projet'!$B$11,Paramètres!$A$1:$I$89,5,0)</f>
        <v>42.199927505245967</v>
      </c>
      <c r="BF27" s="13">
        <f t="shared" si="37"/>
        <v>12.579908645827834</v>
      </c>
      <c r="BG27" s="20">
        <f t="shared" si="7"/>
        <v>95.408214629786869</v>
      </c>
      <c r="BH27" s="59">
        <f t="shared" si="8"/>
        <v>388.74154796312018</v>
      </c>
      <c r="BI27" s="59">
        <f ca="1">AVERAGE(OFFSET($BH$3,0,0,'Données projet'!$E$11+1,1))-AVERAGE(OFFSET($H$3,0,0,'Données projet'!$E$11+1,1))</f>
        <v>270.87836509222456</v>
      </c>
      <c r="BJ27" s="59">
        <f t="shared" si="38"/>
        <v>205.24998237949734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4.0628205128205126</v>
      </c>
      <c r="BY27" s="12">
        <f>IF('Données projet'!$A$114&gt;35,BY26+BX27-CG26,IF(A27&lt;'Données projet'!$A$114,$BV$205^A27,IF(A27='Données projet'!$A$114,'Données projet'!$B$114,BY26+BX27-CG26)))</f>
        <v>46.640061345320483</v>
      </c>
      <c r="BZ27" s="13">
        <f>BY27*VLOOKUP('Données projet'!$B$12,Paramètres!$A$1:$I$89,3,0)*VLOOKUP('Données projet'!$B$12,Paramètres!$A$1:$I$89,5,0)</f>
        <v>47.293022204154973</v>
      </c>
      <c r="CA27" s="13">
        <f t="shared" si="39"/>
        <v>13.912422373299071</v>
      </c>
      <c r="CB27" s="20">
        <f t="shared" si="10"/>
        <v>106.5994826390658</v>
      </c>
      <c r="CC27" s="59">
        <f t="shared" si="11"/>
        <v>399.93281597239911</v>
      </c>
      <c r="CD27" s="59">
        <f ca="1">AVERAGE(OFFSET($CC$3,0,0,'Données projet'!$E$12+1,1))-AVERAGE(OFFSET($H$3,0,0,'Données projet'!$E$12+1,1))</f>
        <v>312.29056285877169</v>
      </c>
      <c r="CE27" s="59">
        <f t="shared" si="40"/>
        <v>233.85454224241693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2.9235042735042733</v>
      </c>
      <c r="CT27" s="12">
        <f>IF('Données projet'!$A$140&gt;35,CT26+CS27-DB26,IF(A27&lt;'Données projet'!$A$140,$CQ$205^A27,IF(A27='Données projet'!$A$140,'Données projet'!$B$140,CT26+CS27-DB26)))</f>
        <v>35.844290647096855</v>
      </c>
      <c r="CU27" s="17">
        <f>CT27*VLOOKUP('Données projet'!$B$13,Paramètres!$A$1:$I$89,3,0)*VLOOKUP('Données projet'!$B$13,Paramètres!$A$1:$I$89,5,0)</f>
        <v>40.819478188913898</v>
      </c>
      <c r="CV27" s="13">
        <f t="shared" si="41"/>
        <v>12.215592664512734</v>
      </c>
      <c r="CW27" s="20">
        <f t="shared" si="13"/>
        <v>92.369415069718045</v>
      </c>
      <c r="CX27" s="59">
        <f t="shared" si="14"/>
        <v>385.70274840305137</v>
      </c>
      <c r="CY27" s="59">
        <f ca="1">AVERAGE(OFFSET($CX$3,0,0,'Données projet'!$E$13+1,1))-AVERAGE(OFFSET($H$3,0,0,'Données projet'!$E$13+1,1))</f>
        <v>292.22737648725354</v>
      </c>
      <c r="CZ27" s="59">
        <f t="shared" si="42"/>
        <v>182.84038581199871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2.9235042735042733</v>
      </c>
      <c r="DO27" s="12">
        <f>IF('Données projet'!$A$166&gt;35,DO26+DN27-DW26,IF(A27&lt;'Données projet'!$A$166,$DL$205^A27,IF(A27='Données projet'!$A$166,'Données projet'!$B$166,DO26+DN27-DW26)))</f>
        <v>35.844290647096855</v>
      </c>
      <c r="DP27" s="17">
        <f>DO27*VLOOKUP('Données projet'!$B$14,Paramètres!$A$1:$I$89,3,0)*VLOOKUP('Données projet'!$B$14,Paramètres!$A$1:$I$89,5,0)</f>
        <v>39.141965386629764</v>
      </c>
      <c r="DQ27" s="13">
        <f t="shared" si="43"/>
        <v>11.770938522368025</v>
      </c>
      <c r="DR27" s="20">
        <f t="shared" si="16"/>
        <v>88.673307641504479</v>
      </c>
      <c r="DS27" s="59">
        <f t="shared" si="17"/>
        <v>382.00664097483781</v>
      </c>
      <c r="DT27" s="59">
        <f ca="1">AVERAGE(OFFSET($DS$3,0,0,'Données projet'!$E$14+1,1))-AVERAGE(OFFSET($H$3,0,0,'Données projet'!$E$14+1,1))</f>
        <v>276.52126514622455</v>
      </c>
      <c r="DU27" s="59">
        <f t="shared" si="44"/>
        <v>173.98404849503186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2.9235042735042733</v>
      </c>
      <c r="EJ27" s="12">
        <f>IF('Données projet'!$A$192&gt;35,EJ26+EI27-ER26,IF(A27&lt;'Données projet'!$A$192,$EG$205^A27,IF(A27='Données projet'!$A$192,'Données projet'!$B$192,EJ26+EI27-ER26)))</f>
        <v>35.844290647096855</v>
      </c>
      <c r="EK27" s="17">
        <f>EJ27*VLOOKUP('Données projet'!$B$15,Paramètres!$A$1:$I$89,3,0)*VLOOKUP('Données projet'!$B$15,Paramètres!$A$1:$I$89,5,0)</f>
        <v>34.668597913872084</v>
      </c>
      <c r="EL27" s="13">
        <f t="shared" si="45"/>
        <v>10.57401105565104</v>
      </c>
      <c r="EM27" s="20">
        <f t="shared" si="19"/>
        <v>78.797543955252777</v>
      </c>
      <c r="EN27" s="59">
        <f t="shared" si="20"/>
        <v>372.13087728858608</v>
      </c>
      <c r="EO27" s="59">
        <f ca="1">AVERAGE(OFFSET($EN$3,0,0,'Données projet'!$E$15+1,1))-AVERAGE(OFFSET($H$3,0,0,'Données projet'!$E$15+1,1))</f>
        <v>234.56750794375012</v>
      </c>
      <c r="EP27" s="59">
        <f t="shared" si="46"/>
        <v>150.32420541314724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7.2264102564102561</v>
      </c>
      <c r="N28" s="13">
        <f>IF('Données projet'!$A$36&gt;35,N27+M28-V27,IF(A28&lt;'Données projet'!$A$36,$K$205^A28,IF(A28='Données projet'!$A$36,'Données projet'!$B$36,N27+M28-V27)))</f>
        <v>88.451097014195071</v>
      </c>
      <c r="O28" s="13">
        <f>N28*VLOOKUP('Données projet'!$B$9,Paramètres!$A$1:$I$89,3,0)*VLOOKUP('Données projet'!$B$9,Paramètres!$A$1:$I$89,5,0)</f>
        <v>41.39511340264329</v>
      </c>
      <c r="P28" s="13">
        <f t="shared" si="33"/>
        <v>12.367680831528276</v>
      </c>
      <c r="Q28" s="20">
        <f t="shared" si="2"/>
        <v>93.636866624515463</v>
      </c>
      <c r="R28" s="59">
        <f t="shared" si="0"/>
        <v>386.97019995784876</v>
      </c>
      <c r="S28" s="59">
        <f ca="1">AVERAGE(OFFSET($R$3,0,0,'Données projet'!$E$9+1,1))-AVERAGE(OFFSET($H$3,0,0,'Données projet'!$E$9+1,1))</f>
        <v>198.17898804494365</v>
      </c>
      <c r="T28" s="59">
        <f t="shared" si="34"/>
        <v>186.24772922797723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473.51875769401289</v>
      </c>
      <c r="AN28" s="59">
        <f ca="1">AVERAGE(OFFSET($AM$3,0,0,'Données projet'!$E$10+1,1))-AVERAGE(OFFSET($H$3,0,0,'Données projet'!$E$10+1,1))</f>
        <v>278.21846622758881</v>
      </c>
      <c r="AO28" s="59">
        <f t="shared" si="36"/>
        <v>245.37578316242906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4.0628205128205126</v>
      </c>
      <c r="BD28" s="12">
        <f>IF('Données projet'!$A$88&gt;35,BD27+BC28-BL27,IF(A28&lt;'Données projet'!$A$88,$BA$205^A28,IF(A28='Données projet'!$A$88,'Données projet'!$B$88,BD27+BC28-BL27)))</f>
        <v>54.738229068051083</v>
      </c>
      <c r="BE28" s="13">
        <f>BD28*VLOOKUP('Données projet'!$B$11,Paramètres!$A$1:$I$89,3,0)*VLOOKUP('Données projet'!$B$11,Paramètres!$A$1:$I$89,5,0)</f>
        <v>49.527149660772622</v>
      </c>
      <c r="BF28" s="13">
        <f t="shared" si="37"/>
        <v>14.49157655143614</v>
      </c>
      <c r="BG28" s="20">
        <f t="shared" si="7"/>
        <v>111.49928148626357</v>
      </c>
      <c r="BH28" s="59">
        <f t="shared" si="8"/>
        <v>404.83261481959687</v>
      </c>
      <c r="BI28" s="59">
        <f ca="1">AVERAGE(OFFSET($BH$3,0,0,'Données projet'!$E$11+1,1))-AVERAGE(OFFSET($H$3,0,0,'Données projet'!$E$11+1,1))</f>
        <v>270.87836509222456</v>
      </c>
      <c r="BJ28" s="59">
        <f t="shared" si="38"/>
        <v>205.24998237949734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4.0628205128205126</v>
      </c>
      <c r="BY28" s="12">
        <f>IF('Données projet'!$A$114&gt;35,BY27+BX28-CG27,IF(A28&lt;'Données projet'!$A$114,$BV$205^A28,IF(A28='Données projet'!$A$114,'Données projet'!$B$114,BY27+BX28-CG27)))</f>
        <v>54.738229068051083</v>
      </c>
      <c r="BZ28" s="13">
        <f>BY28*VLOOKUP('Données projet'!$B$12,Paramètres!$A$1:$I$89,3,0)*VLOOKUP('Données projet'!$B$12,Paramètres!$A$1:$I$89,5,0)</f>
        <v>55.504564275003808</v>
      </c>
      <c r="CA28" s="13">
        <f t="shared" si="39"/>
        <v>16.026581711739372</v>
      </c>
      <c r="CB28" s="20">
        <f t="shared" si="10"/>
        <v>124.58341259357769</v>
      </c>
      <c r="CC28" s="59">
        <f t="shared" si="11"/>
        <v>417.91674592691101</v>
      </c>
      <c r="CD28" s="59">
        <f ca="1">AVERAGE(OFFSET($CC$3,0,0,'Données projet'!$E$12+1,1))-AVERAGE(OFFSET($H$3,0,0,'Données projet'!$E$12+1,1))</f>
        <v>312.29056285877169</v>
      </c>
      <c r="CE28" s="59">
        <f t="shared" si="40"/>
        <v>233.85454224241693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2.9235042735042733</v>
      </c>
      <c r="CT28" s="12">
        <f>IF('Données projet'!$A$140&gt;35,CT27+CS28-DB27,IF(A28&lt;'Données projet'!$A$140,$CQ$205^A28,IF(A28='Données projet'!$A$140,'Données projet'!$B$140,CT27+CS28-DB27)))</f>
        <v>41.609020251295185</v>
      </c>
      <c r="CU28" s="17">
        <f>CT28*VLOOKUP('Données projet'!$B$13,Paramètres!$A$1:$I$89,3,0)*VLOOKUP('Données projet'!$B$13,Paramètres!$A$1:$I$89,5,0)</f>
        <v>47.384352262174957</v>
      </c>
      <c r="CV28" s="13">
        <f t="shared" si="41"/>
        <v>13.936159401595312</v>
      </c>
      <c r="CW28" s="20">
        <f t="shared" si="13"/>
        <v>106.79989114773321</v>
      </c>
      <c r="CX28" s="59">
        <f t="shared" si="14"/>
        <v>400.13322448106652</v>
      </c>
      <c r="CY28" s="59">
        <f ca="1">AVERAGE(OFFSET($CX$3,0,0,'Données projet'!$E$13+1,1))-AVERAGE(OFFSET($H$3,0,0,'Données projet'!$E$13+1,1))</f>
        <v>292.22737648725354</v>
      </c>
      <c r="CZ28" s="59">
        <f t="shared" si="42"/>
        <v>182.84038581199871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2.9235042735042733</v>
      </c>
      <c r="DO28" s="12">
        <f>IF('Données projet'!$A$166&gt;35,DO27+DN28-DW27,IF(A28&lt;'Données projet'!$A$166,$DL$205^A28,IF(A28='Données projet'!$A$166,'Données projet'!$B$166,DO27+DN28-DW27)))</f>
        <v>41.609020251295185</v>
      </c>
      <c r="DP28" s="17">
        <f>DO28*VLOOKUP('Données projet'!$B$14,Paramètres!$A$1:$I$89,3,0)*VLOOKUP('Données projet'!$B$14,Paramètres!$A$1:$I$89,5,0)</f>
        <v>45.43705011441434</v>
      </c>
      <c r="DQ28" s="13">
        <f t="shared" si="43"/>
        <v>13.428875704954832</v>
      </c>
      <c r="DR28" s="20">
        <f t="shared" si="16"/>
        <v>102.52482080206796</v>
      </c>
      <c r="DS28" s="59">
        <f t="shared" si="17"/>
        <v>395.85815413540126</v>
      </c>
      <c r="DT28" s="59">
        <f ca="1">AVERAGE(OFFSET($DS$3,0,0,'Données projet'!$E$14+1,1))-AVERAGE(OFFSET($H$3,0,0,'Données projet'!$E$14+1,1))</f>
        <v>276.52126514622455</v>
      </c>
      <c r="DU28" s="59">
        <f t="shared" si="44"/>
        <v>173.98404849503186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2.9235042735042733</v>
      </c>
      <c r="EJ28" s="12">
        <f>IF('Données projet'!$A$192&gt;35,EJ27+EI28-ER27,IF(A28&lt;'Données projet'!$A$192,$EG$205^A28,IF(A28='Données projet'!$A$192,'Données projet'!$B$192,EJ27+EI28-ER27)))</f>
        <v>41.609020251295185</v>
      </c>
      <c r="EK28" s="17">
        <f>EJ28*VLOOKUP('Données projet'!$B$15,Paramètres!$A$1:$I$89,3,0)*VLOOKUP('Données projet'!$B$15,Paramètres!$A$1:$I$89,5,0)</f>
        <v>40.244244387052703</v>
      </c>
      <c r="EL28" s="13">
        <f t="shared" si="45"/>
        <v>12.063360954551117</v>
      </c>
      <c r="EM28" s="20">
        <f t="shared" si="19"/>
        <v>91.102412636626653</v>
      </c>
      <c r="EN28" s="59">
        <f t="shared" si="20"/>
        <v>384.43574596995995</v>
      </c>
      <c r="EO28" s="59">
        <f ca="1">AVERAGE(OFFSET($EN$3,0,0,'Données projet'!$E$15+1,1))-AVERAGE(OFFSET($H$3,0,0,'Données projet'!$E$15+1,1))</f>
        <v>234.56750794375012</v>
      </c>
      <c r="EP28" s="59">
        <f t="shared" si="46"/>
        <v>150.32420541314724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7.2264102564102561</v>
      </c>
      <c r="N29" s="13">
        <f>IF('Données projet'!$A$36&gt;35,N28+M29-V28,IF(A29&lt;'Données projet'!$A$36,$K$205^A29,IF(A29='Données projet'!$A$36,'Données projet'!$B$36,N28+M29-V28)))</f>
        <v>105.82087604801265</v>
      </c>
      <c r="O29" s="13">
        <f>N29*VLOOKUP('Données projet'!$B$9,Paramètres!$A$1:$I$89,3,0)*VLOOKUP('Données projet'!$B$9,Paramètres!$A$1:$I$89,5,0)</f>
        <v>49.524169990469915</v>
      </c>
      <c r="P29" s="13">
        <f t="shared" si="33"/>
        <v>14.490806184311312</v>
      </c>
      <c r="Q29" s="20">
        <f t="shared" si="2"/>
        <v>111.4927501710773</v>
      </c>
      <c r="R29" s="59">
        <f t="shared" si="0"/>
        <v>404.82608350441063</v>
      </c>
      <c r="S29" s="59">
        <f ca="1">AVERAGE(OFFSET($R$3,0,0,'Données projet'!$E$9+1,1))-AVERAGE(OFFSET($H$3,0,0,'Données projet'!$E$9+1,1))</f>
        <v>198.17898804494365</v>
      </c>
      <c r="T29" s="59">
        <f t="shared" si="34"/>
        <v>186.24772922797723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494.25100923194668</v>
      </c>
      <c r="AN29" s="59">
        <f ca="1">AVERAGE(OFFSET($AM$3,0,0,'Données projet'!$E$10+1,1))-AVERAGE(OFFSET($H$3,0,0,'Données projet'!$E$10+1,1))</f>
        <v>278.21846622758881</v>
      </c>
      <c r="AO29" s="59">
        <f t="shared" si="36"/>
        <v>245.37578316242906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4.0628205128205126</v>
      </c>
      <c r="BD29" s="12">
        <f>IF('Données projet'!$A$88&gt;35,BD28+BC29-BL28,IF(A29&lt;'Données projet'!$A$88,$BA$205^A29,IF(A29='Données projet'!$A$88,'Données projet'!$B$88,BD28+BC29-BL28)))</f>
        <v>64.242491006222849</v>
      </c>
      <c r="BE29" s="13">
        <f>BD29*VLOOKUP('Données projet'!$B$11,Paramètres!$A$1:$I$89,3,0)*VLOOKUP('Données projet'!$B$11,Paramètres!$A$1:$I$89,5,0)</f>
        <v>58.126605862430431</v>
      </c>
      <c r="BF29" s="13">
        <f t="shared" si="37"/>
        <v>16.69374530917462</v>
      </c>
      <c r="BG29" s="20">
        <f t="shared" si="7"/>
        <v>130.31211162387879</v>
      </c>
      <c r="BH29" s="59">
        <f t="shared" si="8"/>
        <v>423.64544495721213</v>
      </c>
      <c r="BI29" s="59">
        <f ca="1">AVERAGE(OFFSET($BH$3,0,0,'Données projet'!$E$11+1,1))-AVERAGE(OFFSET($H$3,0,0,'Données projet'!$E$11+1,1))</f>
        <v>270.87836509222456</v>
      </c>
      <c r="BJ29" s="59">
        <f t="shared" si="38"/>
        <v>205.24998237949734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4.0628205128205126</v>
      </c>
      <c r="BY29" s="12">
        <f>IF('Données projet'!$A$114&gt;35,BY28+BX29-CG28,IF(A29&lt;'Données projet'!$A$114,$BV$205^A29,IF(A29='Données projet'!$A$114,'Données projet'!$B$114,BY28+BX29-CG28)))</f>
        <v>64.242491006222849</v>
      </c>
      <c r="BZ29" s="13">
        <f>BY29*VLOOKUP('Données projet'!$B$12,Paramètres!$A$1:$I$89,3,0)*VLOOKUP('Données projet'!$B$12,Paramètres!$A$1:$I$89,5,0)</f>
        <v>65.141885880309971</v>
      </c>
      <c r="CA29" s="13">
        <f t="shared" si="39"/>
        <v>18.462012902656809</v>
      </c>
      <c r="CB29" s="20">
        <f t="shared" si="10"/>
        <v>145.61012371366715</v>
      </c>
      <c r="CC29" s="59">
        <f t="shared" si="11"/>
        <v>438.94345704700049</v>
      </c>
      <c r="CD29" s="59">
        <f ca="1">AVERAGE(OFFSET($CC$3,0,0,'Données projet'!$E$12+1,1))-AVERAGE(OFFSET($H$3,0,0,'Données projet'!$E$12+1,1))</f>
        <v>312.29056285877169</v>
      </c>
      <c r="CE29" s="59">
        <f t="shared" si="40"/>
        <v>233.85454224241693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2.9235042735042733</v>
      </c>
      <c r="CT29" s="12">
        <f>IF('Données projet'!$A$140&gt;35,CT28+CS29-DB28,IF(A29&lt;'Données projet'!$A$140,$CQ$205^A29,IF(A29='Données projet'!$A$140,'Données projet'!$B$140,CT28+CS29-DB28)))</f>
        <v>48.30087400300993</v>
      </c>
      <c r="CU29" s="17">
        <f>CT29*VLOOKUP('Données projet'!$B$13,Paramètres!$A$1:$I$89,3,0)*VLOOKUP('Données projet'!$B$13,Paramètres!$A$1:$I$89,5,0)</f>
        <v>55.005035314627712</v>
      </c>
      <c r="CV29" s="13">
        <f t="shared" si="41"/>
        <v>15.899068035469764</v>
      </c>
      <c r="CW29" s="20">
        <f t="shared" si="13"/>
        <v>123.4913133347531</v>
      </c>
      <c r="CX29" s="59">
        <f t="shared" si="14"/>
        <v>416.82464666808642</v>
      </c>
      <c r="CY29" s="59">
        <f ca="1">AVERAGE(OFFSET($CX$3,0,0,'Données projet'!$E$13+1,1))-AVERAGE(OFFSET($H$3,0,0,'Données projet'!$E$13+1,1))</f>
        <v>292.22737648725354</v>
      </c>
      <c r="CZ29" s="59">
        <f t="shared" si="42"/>
        <v>182.84038581199871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2.9235042735042733</v>
      </c>
      <c r="DO29" s="12">
        <f>IF('Données projet'!$A$166&gt;35,DO28+DN29-DW28,IF(A29&lt;'Données projet'!$A$166,$DL$205^A29,IF(A29='Données projet'!$A$166,'Données projet'!$B$166,DO28+DN29-DW28)))</f>
        <v>48.30087400300993</v>
      </c>
      <c r="DP29" s="17">
        <f>DO29*VLOOKUP('Données projet'!$B$14,Paramètres!$A$1:$I$89,3,0)*VLOOKUP('Données projet'!$B$14,Paramètres!$A$1:$I$89,5,0)</f>
        <v>52.744554411286842</v>
      </c>
      <c r="DQ29" s="13">
        <f t="shared" si="43"/>
        <v>15.320333408966544</v>
      </c>
      <c r="DR29" s="20">
        <f t="shared" si="16"/>
        <v>118.5463462869413</v>
      </c>
      <c r="DS29" s="59">
        <f t="shared" si="17"/>
        <v>411.8796796202746</v>
      </c>
      <c r="DT29" s="59">
        <f ca="1">AVERAGE(OFFSET($DS$3,0,0,'Données projet'!$E$14+1,1))-AVERAGE(OFFSET($H$3,0,0,'Données projet'!$E$14+1,1))</f>
        <v>276.52126514622455</v>
      </c>
      <c r="DU29" s="59">
        <f t="shared" si="44"/>
        <v>173.98404849503186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2.9235042735042733</v>
      </c>
      <c r="EJ29" s="12">
        <f>IF('Données projet'!$A$192&gt;35,EJ28+EI29-ER28,IF(A29&lt;'Données projet'!$A$192,$EG$205^A29,IF(A29='Données projet'!$A$192,'Données projet'!$B$192,EJ28+EI29-ER28)))</f>
        <v>48.30087400300993</v>
      </c>
      <c r="EK29" s="17">
        <f>EJ29*VLOOKUP('Données projet'!$B$15,Paramètres!$A$1:$I$89,3,0)*VLOOKUP('Données projet'!$B$15,Paramètres!$A$1:$I$89,5,0)</f>
        <v>46.716605335711208</v>
      </c>
      <c r="EL29" s="13">
        <f t="shared" si="45"/>
        <v>13.762485848926369</v>
      </c>
      <c r="EM29" s="20">
        <f t="shared" si="19"/>
        <v>105.3344171465771</v>
      </c>
      <c r="EN29" s="59">
        <f t="shared" si="20"/>
        <v>398.66775047991041</v>
      </c>
      <c r="EO29" s="59">
        <f ca="1">AVERAGE(OFFSET($EN$3,0,0,'Données projet'!$E$15+1,1))-AVERAGE(OFFSET($H$3,0,0,'Données projet'!$E$15+1,1))</f>
        <v>234.56750794375012</v>
      </c>
      <c r="EP29" s="59">
        <f t="shared" si="46"/>
        <v>150.32420541314724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7.2264102564102561</v>
      </c>
      <c r="N30" s="13">
        <f>IF('Données projet'!$A$36&gt;35,N29+M30-V29,IF(A30&lt;'Données projet'!$A$36,$K$205^A30,IF(A30='Données projet'!$A$36,'Données projet'!$B$36,N29+M30-V29)))</f>
        <v>126.60168370519743</v>
      </c>
      <c r="O30" s="13">
        <f>N30*VLOOKUP('Données projet'!$B$9,Paramètres!$A$1:$I$89,3,0)*VLOOKUP('Données projet'!$B$9,Paramètres!$A$1:$I$89,5,0)</f>
        <v>59.249587974032401</v>
      </c>
      <c r="P30" s="13">
        <f t="shared" si="33"/>
        <v>16.97840255838226</v>
      </c>
      <c r="Q30" s="20">
        <f t="shared" si="2"/>
        <v>132.76375017728887</v>
      </c>
      <c r="R30" s="59">
        <f t="shared" si="0"/>
        <v>426.09708351062216</v>
      </c>
      <c r="S30" s="59">
        <f ca="1">AVERAGE(OFFSET($R$3,0,0,'Données projet'!$E$9+1,1))-AVERAGE(OFFSET($H$3,0,0,'Données projet'!$E$9+1,1))</f>
        <v>198.17898804494365</v>
      </c>
      <c r="T30" s="59">
        <f t="shared" si="34"/>
        <v>186.24772922797723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514.93368285721635</v>
      </c>
      <c r="AN30" s="59">
        <f ca="1">AVERAGE(OFFSET($AM$3,0,0,'Données projet'!$E$10+1,1))-AVERAGE(OFFSET($H$3,0,0,'Données projet'!$E$10+1,1))</f>
        <v>278.21846622758881</v>
      </c>
      <c r="AO30" s="59">
        <f t="shared" si="36"/>
        <v>245.37578316242906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4.0628205128205126</v>
      </c>
      <c r="BD30" s="12">
        <f>IF('Données projet'!$A$88&gt;35,BD29+BC30-BL29,IF(A30&lt;'Données projet'!$A$88,$BA$205^A30,IF(A30='Données projet'!$A$88,'Données projet'!$B$88,BD29+BC30-BL29)))</f>
        <v>75.396988922564091</v>
      </c>
      <c r="BE30" s="13">
        <f>BD30*VLOOKUP('Données projet'!$B$11,Paramètres!$A$1:$I$89,3,0)*VLOOKUP('Données projet'!$B$11,Paramètres!$A$1:$I$89,5,0)</f>
        <v>68.219195577135991</v>
      </c>
      <c r="BF30" s="13">
        <f t="shared" si="37"/>
        <v>19.230560005562129</v>
      </c>
      <c r="BG30" s="20">
        <f t="shared" si="7"/>
        <v>152.30832430653254</v>
      </c>
      <c r="BH30" s="59">
        <f t="shared" si="8"/>
        <v>445.64165763986585</v>
      </c>
      <c r="BI30" s="59">
        <f ca="1">AVERAGE(OFFSET($BH$3,0,0,'Données projet'!$E$11+1,1))-AVERAGE(OFFSET($H$3,0,0,'Données projet'!$E$11+1,1))</f>
        <v>270.87836509222456</v>
      </c>
      <c r="BJ30" s="59">
        <f t="shared" si="38"/>
        <v>205.24998237949734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4.0628205128205126</v>
      </c>
      <c r="BY30" s="12">
        <f>IF('Données projet'!$A$114&gt;35,BY29+BX30-CG29,IF(A30&lt;'Données projet'!$A$114,$BV$205^A30,IF(A30='Données projet'!$A$114,'Données projet'!$B$114,BY29+BX30-CG29)))</f>
        <v>75.396988922564091</v>
      </c>
      <c r="BZ30" s="13">
        <f>BY30*VLOOKUP('Données projet'!$B$12,Paramètres!$A$1:$I$89,3,0)*VLOOKUP('Données projet'!$B$12,Paramètres!$A$1:$I$89,5,0)</f>
        <v>76.452546767480001</v>
      </c>
      <c r="CA30" s="13">
        <f t="shared" si="39"/>
        <v>21.267537054904178</v>
      </c>
      <c r="CB30" s="20">
        <f t="shared" si="10"/>
        <v>170.19581265731912</v>
      </c>
      <c r="CC30" s="59">
        <f t="shared" si="11"/>
        <v>463.52914599065241</v>
      </c>
      <c r="CD30" s="59">
        <f ca="1">AVERAGE(OFFSET($CC$3,0,0,'Données projet'!$E$12+1,1))-AVERAGE(OFFSET($H$3,0,0,'Données projet'!$E$12+1,1))</f>
        <v>312.29056285877169</v>
      </c>
      <c r="CE30" s="59">
        <f t="shared" si="40"/>
        <v>233.85454224241693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2.9235042735042733</v>
      </c>
      <c r="CT30" s="12">
        <f>IF('Données projet'!$A$140&gt;35,CT29+CS30-DB29,IF(A30&lt;'Données projet'!$A$140,$CQ$205^A30,IF(A30='Données projet'!$A$140,'Données projet'!$B$140,CT29+CS30-DB29)))</f>
        <v>56.068958494210662</v>
      </c>
      <c r="CU30" s="17">
        <f>CT30*VLOOKUP('Données projet'!$B$13,Paramètres!$A$1:$I$89,3,0)*VLOOKUP('Données projet'!$B$13,Paramètres!$A$1:$I$89,5,0)</f>
        <v>63.851329933207111</v>
      </c>
      <c r="CV30" s="13">
        <f t="shared" si="41"/>
        <v>18.138452432422657</v>
      </c>
      <c r="CW30" s="20">
        <f t="shared" si="13"/>
        <v>142.79887095347183</v>
      </c>
      <c r="CX30" s="59">
        <f t="shared" si="14"/>
        <v>436.13220428680518</v>
      </c>
      <c r="CY30" s="59">
        <f ca="1">AVERAGE(OFFSET($CX$3,0,0,'Données projet'!$E$13+1,1))-AVERAGE(OFFSET($H$3,0,0,'Données projet'!$E$13+1,1))</f>
        <v>292.22737648725354</v>
      </c>
      <c r="CZ30" s="59">
        <f t="shared" si="42"/>
        <v>182.84038581199871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2.9235042735042733</v>
      </c>
      <c r="DO30" s="12">
        <f>IF('Données projet'!$A$166&gt;35,DO29+DN30-DW29,IF(A30&lt;'Données projet'!$A$166,$DL$205^A30,IF(A30='Données projet'!$A$166,'Données projet'!$B$166,DO29+DN30-DW29)))</f>
        <v>56.068958494210662</v>
      </c>
      <c r="DP30" s="17">
        <f>DO30*VLOOKUP('Données projet'!$B$14,Paramètres!$A$1:$I$89,3,0)*VLOOKUP('Données projet'!$B$14,Paramètres!$A$1:$I$89,5,0)</f>
        <v>61.22730267567804</v>
      </c>
      <c r="DQ30" s="13">
        <f t="shared" si="43"/>
        <v>17.478203009600787</v>
      </c>
      <c r="DR30" s="20">
        <f t="shared" si="16"/>
        <v>137.07875573519394</v>
      </c>
      <c r="DS30" s="59">
        <f t="shared" si="17"/>
        <v>430.41208906852728</v>
      </c>
      <c r="DT30" s="59">
        <f ca="1">AVERAGE(OFFSET($DS$3,0,0,'Données projet'!$E$14+1,1))-AVERAGE(OFFSET($H$3,0,0,'Données projet'!$E$14+1,1))</f>
        <v>276.52126514622455</v>
      </c>
      <c r="DU30" s="59">
        <f t="shared" si="44"/>
        <v>173.98404849503186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2.9235042735042733</v>
      </c>
      <c r="EJ30" s="12">
        <f>IF('Données projet'!$A$192&gt;35,EJ29+EI30-ER29,IF(A30&lt;'Données projet'!$A$192,$EG$205^A30,IF(A30='Données projet'!$A$192,'Données projet'!$B$192,EJ29+EI30-ER29)))</f>
        <v>56.068958494210662</v>
      </c>
      <c r="EK30" s="17">
        <f>EJ30*VLOOKUP('Données projet'!$B$15,Paramètres!$A$1:$I$89,3,0)*VLOOKUP('Données projet'!$B$15,Paramètres!$A$1:$I$89,5,0)</f>
        <v>54.229896655600555</v>
      </c>
      <c r="EL30" s="13">
        <f t="shared" si="45"/>
        <v>15.700932555652479</v>
      </c>
      <c r="EM30" s="20">
        <f t="shared" si="19"/>
        <v>121.79619420959904</v>
      </c>
      <c r="EN30" s="59">
        <f t="shared" si="20"/>
        <v>415.12952754293235</v>
      </c>
      <c r="EO30" s="59">
        <f ca="1">AVERAGE(OFFSET($EN$3,0,0,'Données projet'!$E$15+1,1))-AVERAGE(OFFSET($H$3,0,0,'Données projet'!$E$15+1,1))</f>
        <v>234.56750794375012</v>
      </c>
      <c r="EP30" s="59">
        <f t="shared" si="46"/>
        <v>150.32420541314724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7.2264102564102561</v>
      </c>
      <c r="N31" s="13">
        <f>IF('Données projet'!$A$36&gt;35,N30+M31-V30,IF(A31&lt;'Données projet'!$A$36,$K$205^A31,IF(A31='Données projet'!$A$36,'Données projet'!$B$36,N30+M31-V30)))</f>
        <v>151.46336824615491</v>
      </c>
      <c r="O31" s="13">
        <f>N31*VLOOKUP('Données projet'!$B$9,Paramètres!$A$1:$I$89,3,0)*VLOOKUP('Données projet'!$B$9,Paramètres!$A$1:$I$89,5,0)</f>
        <v>70.884856339200496</v>
      </c>
      <c r="P31" s="13">
        <f t="shared" si="33"/>
        <v>19.893037679751526</v>
      </c>
      <c r="Q31" s="20">
        <f t="shared" si="2"/>
        <v>158.10483208300809</v>
      </c>
      <c r="R31" s="59">
        <f t="shared" si="0"/>
        <v>451.43816541634141</v>
      </c>
      <c r="S31" s="59">
        <f ca="1">AVERAGE(OFFSET($R$3,0,0,'Données projet'!$E$9+1,1))-AVERAGE(OFFSET($H$3,0,0,'Données projet'!$E$9+1,1))</f>
        <v>198.17898804494365</v>
      </c>
      <c r="T31" s="59">
        <f t="shared" si="34"/>
        <v>186.24772922797723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535.5720570383387</v>
      </c>
      <c r="AN31" s="59">
        <f ca="1">AVERAGE(OFFSET($AM$3,0,0,'Données projet'!$E$10+1,1))-AVERAGE(OFFSET($H$3,0,0,'Données projet'!$E$10+1,1))</f>
        <v>278.21846622758881</v>
      </c>
      <c r="AO31" s="59">
        <f t="shared" si="36"/>
        <v>245.37578316242906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4.0628205128205126</v>
      </c>
      <c r="BD31" s="12">
        <f>IF('Données projet'!$A$88&gt;35,BD30+BC31-BL30,IF(A31&lt;'Données projet'!$A$88,$BA$205^A31,IF(A31='Données projet'!$A$88,'Données projet'!$B$88,BD30+BC31-BL30)))</f>
        <v>88.488255196060223</v>
      </c>
      <c r="BE31" s="13">
        <f>BD31*VLOOKUP('Données projet'!$B$11,Paramètres!$A$1:$I$89,3,0)*VLOOKUP('Données projet'!$B$11,Paramètres!$A$1:$I$89,5,0)</f>
        <v>80.064173301395286</v>
      </c>
      <c r="BF31" s="13">
        <f t="shared" si="37"/>
        <v>22.15287410215139</v>
      </c>
      <c r="BG31" s="20">
        <f t="shared" si="7"/>
        <v>178.02802422784376</v>
      </c>
      <c r="BH31" s="59">
        <f t="shared" si="8"/>
        <v>471.3613575611771</v>
      </c>
      <c r="BI31" s="59">
        <f ca="1">AVERAGE(OFFSET($BH$3,0,0,'Données projet'!$E$11+1,1))-AVERAGE(OFFSET($H$3,0,0,'Données projet'!$E$11+1,1))</f>
        <v>270.87836509222456</v>
      </c>
      <c r="BJ31" s="59">
        <f t="shared" si="38"/>
        <v>205.24998237949734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4.0628205128205126</v>
      </c>
      <c r="BY31" s="12">
        <f>IF('Données projet'!$A$114&gt;35,BY30+BX31-CG30,IF(A31&lt;'Données projet'!$A$114,$BV$205^A31,IF(A31='Données projet'!$A$114,'Données projet'!$B$114,BY30+BX31-CG30)))</f>
        <v>88.488255196060223</v>
      </c>
      <c r="BZ31" s="13">
        <f>BY31*VLOOKUP('Données projet'!$B$12,Paramètres!$A$1:$I$89,3,0)*VLOOKUP('Données projet'!$B$12,Paramètres!$A$1:$I$89,5,0)</f>
        <v>89.72709076880507</v>
      </c>
      <c r="CA31" s="13">
        <f t="shared" si="39"/>
        <v>24.499394230010086</v>
      </c>
      <c r="CB31" s="20">
        <f t="shared" si="10"/>
        <v>198.94446137293639</v>
      </c>
      <c r="CC31" s="59">
        <f t="shared" si="11"/>
        <v>492.27779470626967</v>
      </c>
      <c r="CD31" s="59">
        <f ca="1">AVERAGE(OFFSET($CC$3,0,0,'Données projet'!$E$12+1,1))-AVERAGE(OFFSET($H$3,0,0,'Données projet'!$E$12+1,1))</f>
        <v>312.29056285877169</v>
      </c>
      <c r="CE31" s="59">
        <f t="shared" si="40"/>
        <v>233.85454224241693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2.9235042735042733</v>
      </c>
      <c r="CT31" s="12">
        <f>IF('Données projet'!$A$140&gt;35,CT30+CS31-DB30,IF(A31&lt;'Données projet'!$A$140,$CQ$205^A31,IF(A31='Données projet'!$A$140,'Données projet'!$B$140,CT30+CS31-DB30)))</f>
        <v>65.086360682202411</v>
      </c>
      <c r="CU31" s="17">
        <f>CT31*VLOOKUP('Données projet'!$B$13,Paramètres!$A$1:$I$89,3,0)*VLOOKUP('Données projet'!$B$13,Paramètres!$A$1:$I$89,5,0)</f>
        <v>74.120347544892113</v>
      </c>
      <c r="CV31" s="13">
        <f t="shared" si="41"/>
        <v>20.693254215232905</v>
      </c>
      <c r="CW31" s="20">
        <f t="shared" si="13"/>
        <v>165.1336897322177</v>
      </c>
      <c r="CX31" s="59">
        <f t="shared" si="14"/>
        <v>458.46702306555102</v>
      </c>
      <c r="CY31" s="59">
        <f ca="1">AVERAGE(OFFSET($CX$3,0,0,'Données projet'!$E$13+1,1))-AVERAGE(OFFSET($H$3,0,0,'Données projet'!$E$13+1,1))</f>
        <v>292.22737648725354</v>
      </c>
      <c r="CZ31" s="59">
        <f t="shared" si="42"/>
        <v>182.84038581199871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2.9235042735042733</v>
      </c>
      <c r="DO31" s="12">
        <f>IF('Données projet'!$A$166&gt;35,DO30+DN31-DW30,IF(A31&lt;'Données projet'!$A$166,$DL$205^A31,IF(A31='Données projet'!$A$166,'Données projet'!$B$166,DO30+DN31-DW30)))</f>
        <v>65.086360682202411</v>
      </c>
      <c r="DP31" s="17">
        <f>DO31*VLOOKUP('Données projet'!$B$14,Paramètres!$A$1:$I$89,3,0)*VLOOKUP('Données projet'!$B$14,Paramètres!$A$1:$I$89,5,0)</f>
        <v>71.074305864965041</v>
      </c>
      <c r="DQ31" s="13">
        <f t="shared" si="43"/>
        <v>19.940008633625759</v>
      </c>
      <c r="DR31" s="20">
        <f t="shared" si="16"/>
        <v>158.51659775171231</v>
      </c>
      <c r="DS31" s="59">
        <f t="shared" si="17"/>
        <v>451.84993108504563</v>
      </c>
      <c r="DT31" s="59">
        <f ca="1">AVERAGE(OFFSET($DS$3,0,0,'Données projet'!$E$14+1,1))-AVERAGE(OFFSET($H$3,0,0,'Données projet'!$E$14+1,1))</f>
        <v>276.52126514622455</v>
      </c>
      <c r="DU31" s="59">
        <f t="shared" si="44"/>
        <v>173.98404849503186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2.9235042735042733</v>
      </c>
      <c r="EJ31" s="12">
        <f>IF('Données projet'!$A$192&gt;35,EJ30+EI31-ER30,IF(A31&lt;'Données projet'!$A$192,$EG$205^A31,IF(A31='Données projet'!$A$192,'Données projet'!$B$192,EJ30+EI31-ER30)))</f>
        <v>65.086360682202411</v>
      </c>
      <c r="EK31" s="17">
        <f>EJ31*VLOOKUP('Données projet'!$B$15,Paramètres!$A$1:$I$89,3,0)*VLOOKUP('Données projet'!$B$15,Paramètres!$A$1:$I$89,5,0)</f>
        <v>62.951528051826173</v>
      </c>
      <c r="EL31" s="13">
        <f t="shared" si="45"/>
        <v>17.91240956199632</v>
      </c>
      <c r="EM31" s="20">
        <f t="shared" si="19"/>
        <v>140.8380246774075</v>
      </c>
      <c r="EN31" s="59">
        <f t="shared" si="20"/>
        <v>434.17135801074085</v>
      </c>
      <c r="EO31" s="59">
        <f ca="1">AVERAGE(OFFSET($EN$3,0,0,'Données projet'!$E$15+1,1))-AVERAGE(OFFSET($H$3,0,0,'Données projet'!$E$15+1,1))</f>
        <v>234.56750794375012</v>
      </c>
      <c r="EP31" s="59">
        <f t="shared" si="46"/>
        <v>150.32420541314724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7.2264102564102561</v>
      </c>
      <c r="N32" s="13">
        <f>IF('Données projet'!$A$36&gt;35,N31+M32-V31,IF(A32&lt;'Données projet'!$A$36,$K$205^A32,IF(A32='Données projet'!$A$36,'Données projet'!$B$36,N31+M32-V31)))</f>
        <v>181.20732085910257</v>
      </c>
      <c r="O32" s="13">
        <f>N32*VLOOKUP('Données projet'!$B$9,Paramètres!$A$1:$I$89,3,0)*VLOOKUP('Données projet'!$B$9,Paramètres!$A$1:$I$89,5,0)</f>
        <v>84.805026162060003</v>
      </c>
      <c r="P32" s="13">
        <f t="shared" si="33"/>
        <v>23.308020101846395</v>
      </c>
      <c r="Q32" s="20">
        <f t="shared" si="2"/>
        <v>188.29688890963698</v>
      </c>
      <c r="R32" s="59">
        <f t="shared" si="0"/>
        <v>481.63022224297026</v>
      </c>
      <c r="S32" s="59">
        <f ca="1">AVERAGE(OFFSET($R$3,0,0,'Données projet'!$E$9+1,1))-AVERAGE(OFFSET($H$3,0,0,'Données projet'!$E$9+1,1))</f>
        <v>198.17898804494365</v>
      </c>
      <c r="T32" s="59">
        <f t="shared" si="34"/>
        <v>186.24772922797723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556.17043645971171</v>
      </c>
      <c r="AN32" s="59">
        <f ca="1">AVERAGE(OFFSET($AM$3,0,0,'Données projet'!$E$10+1,1))-AVERAGE(OFFSET($H$3,0,0,'Données projet'!$E$10+1,1))</f>
        <v>278.21846622758881</v>
      </c>
      <c r="AO32" s="59">
        <f t="shared" si="36"/>
        <v>245.37578316242906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4.0628205128205126</v>
      </c>
      <c r="BD32" s="12">
        <f>IF('Données projet'!$A$88&gt;35,BD31+BC32-BL31,IF(A32&lt;'Données projet'!$A$88,$BA$205^A32,IF(A32='Données projet'!$A$88,'Données projet'!$B$88,BD31+BC32-BL31)))</f>
        <v>103.85257315361756</v>
      </c>
      <c r="BE32" s="13">
        <f>BD32*VLOOKUP('Données projet'!$B$11,Paramètres!$A$1:$I$89,3,0)*VLOOKUP('Données projet'!$B$11,Paramètres!$A$1:$I$89,5,0)</f>
        <v>93.965808189393158</v>
      </c>
      <c r="BF32" s="13">
        <f t="shared" si="37"/>
        <v>25.519268853524185</v>
      </c>
      <c r="BG32" s="20">
        <f t="shared" si="7"/>
        <v>208.10317584974769</v>
      </c>
      <c r="BH32" s="59">
        <f t="shared" si="8"/>
        <v>501.436509183081</v>
      </c>
      <c r="BI32" s="59">
        <f ca="1">AVERAGE(OFFSET($BH$3,0,0,'Données projet'!$E$11+1,1))-AVERAGE(OFFSET($H$3,0,0,'Données projet'!$E$11+1,1))</f>
        <v>270.87836509222456</v>
      </c>
      <c r="BJ32" s="59">
        <f t="shared" si="38"/>
        <v>205.24998237949734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4.0628205128205126</v>
      </c>
      <c r="BY32" s="12">
        <f>IF('Données projet'!$A$114&gt;35,BY31+BX32-CG31,IF(A32&lt;'Données projet'!$A$114,$BV$205^A32,IF(A32='Données projet'!$A$114,'Données projet'!$B$114,BY31+BX32-CG31)))</f>
        <v>103.85257315361756</v>
      </c>
      <c r="BZ32" s="13">
        <f>BY32*VLOOKUP('Données projet'!$B$12,Paramètres!$A$1:$I$89,3,0)*VLOOKUP('Données projet'!$B$12,Paramètres!$A$1:$I$89,5,0)</f>
        <v>105.30650917776822</v>
      </c>
      <c r="CA32" s="13">
        <f t="shared" si="39"/>
        <v>28.222370840964146</v>
      </c>
      <c r="CB32" s="20">
        <f t="shared" si="10"/>
        <v>232.56279936595885</v>
      </c>
      <c r="CC32" s="59">
        <f t="shared" si="11"/>
        <v>525.89613269929214</v>
      </c>
      <c r="CD32" s="59">
        <f ca="1">AVERAGE(OFFSET($CC$3,0,0,'Données projet'!$E$12+1,1))-AVERAGE(OFFSET($H$3,0,0,'Données projet'!$E$12+1,1))</f>
        <v>312.29056285877169</v>
      </c>
      <c r="CE32" s="59">
        <f t="shared" si="40"/>
        <v>233.85454224241693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2.9235042735042733</v>
      </c>
      <c r="CT32" s="12">
        <f>IF('Données projet'!$A$140&gt;35,CT31+CS32-DB31,IF(A32&lt;'Données projet'!$A$140,$CQ$205^A32,IF(A32='Données projet'!$A$140,'Données projet'!$B$140,CT31+CS32-DB31)))</f>
        <v>75.55400457975604</v>
      </c>
      <c r="CU32" s="17">
        <f>CT32*VLOOKUP('Données projet'!$B$13,Paramètres!$A$1:$I$89,3,0)*VLOOKUP('Données projet'!$B$13,Paramètres!$A$1:$I$89,5,0)</f>
        <v>86.040900415426179</v>
      </c>
      <c r="CV32" s="13">
        <f t="shared" si="41"/>
        <v>23.607899935874524</v>
      </c>
      <c r="CW32" s="20">
        <f t="shared" si="13"/>
        <v>190.97166061184873</v>
      </c>
      <c r="CX32" s="59">
        <f t="shared" si="14"/>
        <v>484.30499394518205</v>
      </c>
      <c r="CY32" s="59">
        <f ca="1">AVERAGE(OFFSET($CX$3,0,0,'Données projet'!$E$13+1,1))-AVERAGE(OFFSET($H$3,0,0,'Données projet'!$E$13+1,1))</f>
        <v>292.22737648725354</v>
      </c>
      <c r="CZ32" s="59">
        <f t="shared" si="42"/>
        <v>182.84038581199871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2.9235042735042733</v>
      </c>
      <c r="DO32" s="12">
        <f>IF('Données projet'!$A$166&gt;35,DO31+DN32-DW31,IF(A32&lt;'Données projet'!$A$166,$DL$205^A32,IF(A32='Données projet'!$A$166,'Données projet'!$B$166,DO31+DN32-DW31)))</f>
        <v>75.55400457975604</v>
      </c>
      <c r="DP32" s="17">
        <f>DO32*VLOOKUP('Données projet'!$B$14,Paramètres!$A$1:$I$89,3,0)*VLOOKUP('Données projet'!$B$14,Paramètres!$A$1:$I$89,5,0)</f>
        <v>82.504973001093589</v>
      </c>
      <c r="DQ32" s="13">
        <f t="shared" si="43"/>
        <v>22.748559682632457</v>
      </c>
      <c r="DR32" s="20">
        <f t="shared" si="16"/>
        <v>183.3165694241562</v>
      </c>
      <c r="DS32" s="59">
        <f t="shared" si="17"/>
        <v>476.64990275748949</v>
      </c>
      <c r="DT32" s="59">
        <f ca="1">AVERAGE(OFFSET($DS$3,0,0,'Données projet'!$E$14+1,1))-AVERAGE(OFFSET($H$3,0,0,'Données projet'!$E$14+1,1))</f>
        <v>276.52126514622455</v>
      </c>
      <c r="DU32" s="59">
        <f t="shared" si="44"/>
        <v>173.98404849503186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2.9235042735042733</v>
      </c>
      <c r="EJ32" s="12">
        <f>IF('Données projet'!$A$192&gt;35,EJ31+EI32-ER31,IF(A32&lt;'Données projet'!$A$192,$EG$205^A32,IF(A32='Données projet'!$A$192,'Données projet'!$B$192,EJ31+EI32-ER31)))</f>
        <v>75.55400457975604</v>
      </c>
      <c r="EK32" s="17">
        <f>EJ32*VLOOKUP('Données projet'!$B$15,Paramètres!$A$1:$I$89,3,0)*VLOOKUP('Données projet'!$B$15,Paramètres!$A$1:$I$89,5,0)</f>
        <v>73.075833229540052</v>
      </c>
      <c r="EL32" s="13">
        <f t="shared" si="45"/>
        <v>20.435373197064454</v>
      </c>
      <c r="EM32" s="20">
        <f t="shared" si="19"/>
        <v>162.86535119300285</v>
      </c>
      <c r="EN32" s="59">
        <f t="shared" si="20"/>
        <v>456.19868452633614</v>
      </c>
      <c r="EO32" s="59">
        <f ca="1">AVERAGE(OFFSET($EN$3,0,0,'Données projet'!$E$15+1,1))-AVERAGE(OFFSET($H$3,0,0,'Données projet'!$E$15+1,1))</f>
        <v>234.56750794375012</v>
      </c>
      <c r="EP32" s="59">
        <f t="shared" si="46"/>
        <v>150.32420541314724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216.79230769230767</v>
      </c>
      <c r="L33" s="12">
        <f>VLOOKUP(A33,'Données projet'!$A$35:$I$55,9,0)</f>
        <v>7.2264102564102561</v>
      </c>
      <c r="M33" s="12">
        <f t="array" ref="M33">INDEX(L:L,MIN(IF(ISNUMBER(L33:L229),ROW(L33:L229),"")))</f>
        <v>7.2264102564102561</v>
      </c>
      <c r="N33" s="13">
        <f>IF('Données projet'!$A$36&gt;35,N32+M33-V32,IF(A33&lt;'Données projet'!$A$36,$K$205^A33,IF(A33='Données projet'!$A$36,'Données projet'!$B$36,N32+M33-V32)))</f>
        <v>216.79230769230767</v>
      </c>
      <c r="O33" s="13">
        <f>N33*VLOOKUP('Données projet'!$B$9,Paramètres!$A$1:$I$89,3,0)*VLOOKUP('Données projet'!$B$9,Paramètres!$A$1:$I$89,5,0)</f>
        <v>101.45879999999998</v>
      </c>
      <c r="P33" s="13">
        <f t="shared" si="33"/>
        <v>27.309243053465156</v>
      </c>
      <c r="Q33" s="20">
        <f t="shared" si="2"/>
        <v>224.27100831811845</v>
      </c>
      <c r="R33" s="59">
        <f t="shared" si="0"/>
        <v>517.6043416514517</v>
      </c>
      <c r="S33" s="59">
        <f ca="1">AVERAGE(OFFSET($R$3,0,0,'Données projet'!$E$9+1,1))-AVERAGE(OFFSET($H$3,0,0,'Données projet'!$E$9+1,1))</f>
        <v>198.17898804494365</v>
      </c>
      <c r="T33" s="59">
        <f t="shared" si="34"/>
        <v>186.24772922797723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278.21846622758881</v>
      </c>
      <c r="AO33" s="59">
        <f t="shared" si="36"/>
        <v>245.37578316242906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121.88461538461537</v>
      </c>
      <c r="BB33" s="12">
        <f>VLOOKUP(A33,'Données projet'!$A$87:$I$107,9,0)</f>
        <v>4.0628205128205126</v>
      </c>
      <c r="BC33" s="12">
        <f t="array" ref="BC33">INDEX(BB:BB,MIN(IF(ISNUMBER(BB33:BB229),ROW(BB33:BB229),"")))</f>
        <v>4.0628205128205126</v>
      </c>
      <c r="BD33" s="12">
        <f>IF('Données projet'!$A$88&gt;35,BD32+BC33-BL32,IF(A33&lt;'Données projet'!$A$88,$BA$205^A33,IF(A33='Données projet'!$A$88,'Données projet'!$B$88,BD32+BC33-BL32)))</f>
        <v>121.88461538461537</v>
      </c>
      <c r="BE33" s="13">
        <f>BD33*VLOOKUP('Données projet'!$B$11,Paramètres!$A$1:$I$89,3,0)*VLOOKUP('Données projet'!$B$11,Paramètres!$A$1:$I$89,5,0)</f>
        <v>110.2812</v>
      </c>
      <c r="BF33" s="13">
        <f t="shared" si="37"/>
        <v>29.397227638069996</v>
      </c>
      <c r="BG33" s="20">
        <f t="shared" si="7"/>
        <v>243.27326146963856</v>
      </c>
      <c r="BH33" s="59">
        <f t="shared" si="8"/>
        <v>536.60659480297181</v>
      </c>
      <c r="BI33" s="59">
        <f ca="1">AVERAGE(OFFSET($BH$3,0,0,'Données projet'!$E$11+1,1))-AVERAGE(OFFSET($H$3,0,0,'Données projet'!$E$11+1,1))</f>
        <v>270.87836509222456</v>
      </c>
      <c r="BJ33" s="59">
        <f t="shared" si="38"/>
        <v>205.24998237949734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121.88461538461537</v>
      </c>
      <c r="BW33" s="12">
        <f>VLOOKUP(A33,'Données projet'!$A$113:$I$133,9,0)</f>
        <v>4.0628205128205126</v>
      </c>
      <c r="BX33" s="12">
        <f t="array" ref="BX33">INDEX(BW:BW,MIN(IF(ISNUMBER(BW33:BW229),ROW(BW33:BW229),"")))</f>
        <v>4.0628205128205126</v>
      </c>
      <c r="BY33" s="12">
        <f>IF('Données projet'!$A$114&gt;35,BY32+BX33-CG32,IF(A33&lt;'Données projet'!$A$114,$BV$205^A33,IF(A33='Données projet'!$A$114,'Données projet'!$B$114,BY32+BX33-CG32)))</f>
        <v>121.88461538461537</v>
      </c>
      <c r="BZ33" s="13">
        <f>BY33*VLOOKUP('Données projet'!$B$12,Paramètres!$A$1:$I$89,3,0)*VLOOKUP('Données projet'!$B$12,Paramètres!$A$1:$I$89,5,0)</f>
        <v>123.59099999999999</v>
      </c>
      <c r="CA33" s="13">
        <f t="shared" si="39"/>
        <v>32.511098372760657</v>
      </c>
      <c r="CB33" s="20">
        <f t="shared" si="10"/>
        <v>271.87782133255809</v>
      </c>
      <c r="CC33" s="59">
        <f t="shared" si="11"/>
        <v>565.2111546658914</v>
      </c>
      <c r="CD33" s="59">
        <f ca="1">AVERAGE(OFFSET($CC$3,0,0,'Données projet'!$E$12+1,1))-AVERAGE(OFFSET($H$3,0,0,'Données projet'!$E$12+1,1))</f>
        <v>312.29056285877169</v>
      </c>
      <c r="CE33" s="59">
        <f t="shared" si="40"/>
        <v>233.85454224241693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87.705128205128204</v>
      </c>
      <c r="CR33" s="12">
        <f>VLOOKUP(A33,'Données projet'!$A$139:$I$159,9,0)</f>
        <v>2.9235042735042733</v>
      </c>
      <c r="CS33" s="12">
        <f t="array" ref="CS33">INDEX(CR:CR,MIN(IF(ISNUMBER(CR33:CR229),ROW(CR33:CR229),"")))</f>
        <v>2.9235042735042733</v>
      </c>
      <c r="CT33" s="12">
        <f>IF('Données projet'!$A$140&gt;35,CT32+CS33-DB32,IF(A33&lt;'Données projet'!$A$140,$CQ$205^A33,IF(A33='Données projet'!$A$140,'Données projet'!$B$140,CT32+CS33-DB32)))</f>
        <v>87.705128205128204</v>
      </c>
      <c r="CU33" s="17">
        <f>CT33*VLOOKUP('Données projet'!$B$13,Paramètres!$A$1:$I$89,3,0)*VLOOKUP('Données projet'!$B$13,Paramètres!$A$1:$I$89,5,0)</f>
        <v>99.878600000000006</v>
      </c>
      <c r="CV33" s="13">
        <f t="shared" si="41"/>
        <v>26.933073628022914</v>
      </c>
      <c r="CW33" s="20">
        <f t="shared" si="13"/>
        <v>220.8636649021399</v>
      </c>
      <c r="CX33" s="59">
        <f t="shared" si="14"/>
        <v>514.19699823547319</v>
      </c>
      <c r="CY33" s="59">
        <f ca="1">AVERAGE(OFFSET($CX$3,0,0,'Données projet'!$E$13+1,1))-AVERAGE(OFFSET($H$3,0,0,'Données projet'!$E$13+1,1))</f>
        <v>292.22737648725354</v>
      </c>
      <c r="CZ33" s="59">
        <f t="shared" si="42"/>
        <v>182.84038581199871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87.705128205128204</v>
      </c>
      <c r="DM33" s="12">
        <f>VLOOKUP(A33,'Données projet'!$A$165:$I$185,9,0)</f>
        <v>2.9235042735042733</v>
      </c>
      <c r="DN33" s="12">
        <f t="array" ref="DN33">INDEX(DM:DM,MIN(IF(ISNUMBER(DM33:DM229),ROW(DM33:DM229),"")))</f>
        <v>2.9235042735042733</v>
      </c>
      <c r="DO33" s="12">
        <f>IF('Données projet'!$A$166&gt;35,DO32+DN33-DW32,IF(A33&lt;'Données projet'!$A$166,$DL$205^A33,IF(A33='Données projet'!$A$166,'Données projet'!$B$166,DO32+DN33-DW32)))</f>
        <v>87.705128205128204</v>
      </c>
      <c r="DP33" s="17">
        <f>DO33*VLOOKUP('Données projet'!$B$14,Paramètres!$A$1:$I$89,3,0)*VLOOKUP('Données projet'!$B$14,Paramètres!$A$1:$I$89,5,0)</f>
        <v>95.773999999999987</v>
      </c>
      <c r="DQ33" s="13">
        <f t="shared" si="43"/>
        <v>25.952695264214206</v>
      </c>
      <c r="DR33" s="20">
        <f t="shared" si="16"/>
        <v>212.00732758517302</v>
      </c>
      <c r="DS33" s="59">
        <f t="shared" si="17"/>
        <v>505.34066091850633</v>
      </c>
      <c r="DT33" s="59">
        <f ca="1">AVERAGE(OFFSET($DS$3,0,0,'Données projet'!$E$14+1,1))-AVERAGE(OFFSET($H$3,0,0,'Données projet'!$E$14+1,1))</f>
        <v>276.52126514622455</v>
      </c>
      <c r="DU33" s="59">
        <f t="shared" si="44"/>
        <v>173.98404849503186</v>
      </c>
      <c r="DV33" s="15" t="str">
        <f>IF(ISNA(VLOOKUP(A33,'Données projet'!$A$165:$I$185,3,0)),0,VLOOKUP(A33,'Données projet'!$A$165:$I$185,3,0))</f>
        <v>na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87.705128205128204</v>
      </c>
      <c r="EH33" s="12">
        <f>VLOOKUP(A33,'Données projet'!$A$191:$I$211,9,0)</f>
        <v>2.9235042735042733</v>
      </c>
      <c r="EI33" s="12">
        <f t="array" ref="EI33">INDEX(EH:EH,MIN(IF(ISNUMBER(EH33:EH229),ROW(EH33:EH229),"")))</f>
        <v>2.9235042735042733</v>
      </c>
      <c r="EJ33" s="12">
        <f>IF('Données projet'!$A$192&gt;35,EJ32+EI33-ER32,IF(A33&lt;'Données projet'!$A$192,$EG$205^A33,IF(A33='Données projet'!$A$192,'Données projet'!$B$192,EJ32+EI33-ER32)))</f>
        <v>87.705128205128204</v>
      </c>
      <c r="EK33" s="17">
        <f>EJ33*VLOOKUP('Données projet'!$B$15,Paramètres!$A$1:$I$89,3,0)*VLOOKUP('Données projet'!$B$15,Paramètres!$A$1:$I$89,5,0)</f>
        <v>84.828400000000002</v>
      </c>
      <c r="EL33" s="13">
        <f t="shared" si="45"/>
        <v>23.313696365524446</v>
      </c>
      <c r="EM33" s="20">
        <f t="shared" si="19"/>
        <v>188.34748450328843</v>
      </c>
      <c r="EN33" s="59">
        <f t="shared" si="20"/>
        <v>481.68081783662171</v>
      </c>
      <c r="EO33" s="59">
        <f ca="1">AVERAGE(OFFSET($EN$3,0,0,'Données projet'!$E$15+1,1))-AVERAGE(OFFSET($H$3,0,0,'Données projet'!$E$15+1,1))</f>
        <v>234.56750794375012</v>
      </c>
      <c r="EP33" s="59">
        <f t="shared" si="46"/>
        <v>150.32420541314724</v>
      </c>
      <c r="EQ33" s="15" t="str">
        <f>IF(ISNA(VLOOKUP(A33,'Données projet'!$A$191:$I$211,3,0)),0,VLOOKUP(A33,'Données projet'!$A$191:$I$211,3,0))</f>
        <v>na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16.131410256410259</v>
      </c>
      <c r="N34" s="13">
        <f>IF('Données projet'!$A$36&gt;35,N33+M34-V33,IF(A34&lt;'Données projet'!$A$36,$K$205^A34,IF(A34='Données projet'!$A$36,'Données projet'!$B$36,N33+M34-V33)))</f>
        <v>232.92371794871792</v>
      </c>
      <c r="O34" s="13">
        <f>N34*VLOOKUP('Données projet'!$B$9,Paramètres!$A$1:$I$89,3,0)*VLOOKUP('Données projet'!$B$9,Paramètres!$A$1:$I$89,5,0)</f>
        <v>109.00829999999998</v>
      </c>
      <c r="P34" s="13">
        <f t="shared" si="33"/>
        <v>29.097209307093255</v>
      </c>
      <c r="Q34" s="20">
        <f t="shared" si="2"/>
        <v>240.53376204318738</v>
      </c>
      <c r="R34" s="59">
        <f t="shared" si="0"/>
        <v>533.86709537652064</v>
      </c>
      <c r="S34" s="59">
        <f ca="1">AVERAGE(OFFSET($R$3,0,0,'Données projet'!$E$9+1,1))-AVERAGE(OFFSET($H$3,0,0,'Données projet'!$E$9+1,1))</f>
        <v>198.17898804494365</v>
      </c>
      <c r="T34" s="59">
        <f t="shared" si="34"/>
        <v>186.24772922797723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278.21846622758881</v>
      </c>
      <c r="AO34" s="59">
        <f t="shared" si="36"/>
        <v>245.37578316242906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8.0564102564102633</v>
      </c>
      <c r="BD34" s="12">
        <f>IF('Données projet'!$A$88&gt;35,BD33+BC34-BL33,IF(A34&lt;'Données projet'!$A$88,$BA$205^A34,IF(A34='Données projet'!$A$88,'Données projet'!$B$88,BD33+BC34-BL33)))</f>
        <v>129.94102564102565</v>
      </c>
      <c r="BE34" s="13">
        <f>BD34*VLOOKUP('Données projet'!$B$11,Paramètres!$A$1:$I$89,3,0)*VLOOKUP('Données projet'!$B$11,Paramètres!$A$1:$I$89,5,0)</f>
        <v>117.57064000000001</v>
      </c>
      <c r="BF34" s="13">
        <f t="shared" si="37"/>
        <v>31.107718284302781</v>
      </c>
      <c r="BG34" s="20">
        <f t="shared" si="7"/>
        <v>258.94814067849398</v>
      </c>
      <c r="BH34" s="59">
        <f t="shared" si="8"/>
        <v>552.2814740118273</v>
      </c>
      <c r="BI34" s="59">
        <f ca="1">AVERAGE(OFFSET($BH$3,0,0,'Données projet'!$E$11+1,1))-AVERAGE(OFFSET($H$3,0,0,'Données projet'!$E$11+1,1))</f>
        <v>270.87836509222456</v>
      </c>
      <c r="BJ34" s="59">
        <f t="shared" si="38"/>
        <v>205.24998237949734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8.0564102564102633</v>
      </c>
      <c r="BY34" s="12">
        <f>IF('Données projet'!$A$114&gt;35,BY33+BX34-CG33,IF(A34&lt;'Données projet'!$A$114,$BV$205^A34,IF(A34='Données projet'!$A$114,'Données projet'!$B$114,BY33+BX34-CG33)))</f>
        <v>129.94102564102565</v>
      </c>
      <c r="BZ34" s="13">
        <f>BY34*VLOOKUP('Données projet'!$B$12,Paramètres!$A$1:$I$89,3,0)*VLOOKUP('Données projet'!$B$12,Paramètres!$A$1:$I$89,5,0)</f>
        <v>131.76020000000003</v>
      </c>
      <c r="CA34" s="13">
        <f t="shared" si="39"/>
        <v>34.402770960054035</v>
      </c>
      <c r="CB34" s="20">
        <f t="shared" si="10"/>
        <v>289.40050775542744</v>
      </c>
      <c r="CC34" s="59">
        <f t="shared" si="11"/>
        <v>582.73384108876076</v>
      </c>
      <c r="CD34" s="59">
        <f ca="1">AVERAGE(OFFSET($CC$3,0,0,'Données projet'!$E$12+1,1))-AVERAGE(OFFSET($H$3,0,0,'Données projet'!$E$12+1,1))</f>
        <v>312.29056285877169</v>
      </c>
      <c r="CE34" s="59">
        <f t="shared" si="40"/>
        <v>233.85454224241693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5.3369963369963358</v>
      </c>
      <c r="CT34" s="12">
        <f>IF('Données projet'!$A$140&gt;35,CT33+CS34-DB33,IF(A34&lt;'Données projet'!$A$140,$CQ$205^A34,IF(A34='Données projet'!$A$140,'Données projet'!$B$140,CT33+CS34-DB33)))</f>
        <v>93.04212454212454</v>
      </c>
      <c r="CU34" s="17">
        <f>CT34*VLOOKUP('Données projet'!$B$13,Paramètres!$A$1:$I$89,3,0)*VLOOKUP('Données projet'!$B$13,Paramètres!$A$1:$I$89,5,0)</f>
        <v>105.95637142857143</v>
      </c>
      <c r="CV34" s="13">
        <f t="shared" si="41"/>
        <v>28.376207430332656</v>
      </c>
      <c r="CW34" s="20">
        <f t="shared" si="13"/>
        <v>233.96257484592459</v>
      </c>
      <c r="CX34" s="59">
        <f t="shared" si="14"/>
        <v>527.29590817925794</v>
      </c>
      <c r="CY34" s="59">
        <f ca="1">AVERAGE(OFFSET($CX$3,0,0,'Données projet'!$E$13+1,1))-AVERAGE(OFFSET($H$3,0,0,'Données projet'!$E$13+1,1))</f>
        <v>292.22737648725354</v>
      </c>
      <c r="CZ34" s="59">
        <f t="shared" si="42"/>
        <v>182.84038581199871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5.3369963369963358</v>
      </c>
      <c r="DO34" s="12">
        <f>IF('Données projet'!$A$166&gt;35,DO33+DN34-DW33,IF(A34&lt;'Données projet'!$A$166,$DL$205^A34,IF(A34='Données projet'!$A$166,'Données projet'!$B$166,DO33+DN34-DW33)))</f>
        <v>93.04212454212454</v>
      </c>
      <c r="DP34" s="17">
        <f>DO34*VLOOKUP('Données projet'!$B$14,Paramètres!$A$1:$I$89,3,0)*VLOOKUP('Données projet'!$B$14,Paramètres!$A$1:$I$89,5,0)</f>
        <v>101.60199999999999</v>
      </c>
      <c r="DQ34" s="13">
        <f t="shared" si="43"/>
        <v>27.343298220048478</v>
      </c>
      <c r="DR34" s="20">
        <f t="shared" si="16"/>
        <v>224.57972773325105</v>
      </c>
      <c r="DS34" s="59">
        <f t="shared" si="17"/>
        <v>517.91306106658431</v>
      </c>
      <c r="DT34" s="59">
        <f ca="1">AVERAGE(OFFSET($DS$3,0,0,'Données projet'!$E$14+1,1))-AVERAGE(OFFSET($H$3,0,0,'Données projet'!$E$14+1,1))</f>
        <v>276.52126514622455</v>
      </c>
      <c r="DU34" s="59">
        <f t="shared" si="44"/>
        <v>173.98404849503186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5.3369963369963358</v>
      </c>
      <c r="EJ34" s="12">
        <f>IF('Données projet'!$A$192&gt;35,EJ33+EI34-ER33,IF(A34&lt;'Données projet'!$A$192,$EG$205^A34,IF(A34='Données projet'!$A$192,'Données projet'!$B$192,EJ33+EI34-ER33)))</f>
        <v>93.04212454212454</v>
      </c>
      <c r="EK34" s="17">
        <f>EJ34*VLOOKUP('Données projet'!$B$15,Paramètres!$A$1:$I$89,3,0)*VLOOKUP('Données projet'!$B$15,Paramètres!$A$1:$I$89,5,0)</f>
        <v>89.990342857142863</v>
      </c>
      <c r="EL34" s="13">
        <f t="shared" si="45"/>
        <v>24.562895909050297</v>
      </c>
      <c r="EM34" s="20">
        <f t="shared" si="19"/>
        <v>199.51355751778638</v>
      </c>
      <c r="EN34" s="59">
        <f t="shared" si="20"/>
        <v>492.84689085111972</v>
      </c>
      <c r="EO34" s="59">
        <f ca="1">AVERAGE(OFFSET($EN$3,0,0,'Données projet'!$E$15+1,1))-AVERAGE(OFFSET($H$3,0,0,'Données projet'!$E$15+1,1))</f>
        <v>234.56750794375012</v>
      </c>
      <c r="EP34" s="59">
        <f t="shared" si="46"/>
        <v>150.32420541314724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16.131410256410259</v>
      </c>
      <c r="N35" s="13">
        <f>IF('Données projet'!$A$36&gt;35,N34+M35-V34,IF(A35&lt;'Données projet'!$A$36,$K$205^A35,IF(A35='Données projet'!$A$36,'Données projet'!$B$36,N34+M35-V34)))</f>
        <v>249.05512820512817</v>
      </c>
      <c r="O35" s="13">
        <f>N35*VLOOKUP('Données projet'!$B$9,Paramètres!$A$1:$I$89,3,0)*VLOOKUP('Données projet'!$B$9,Paramètres!$A$1:$I$89,5,0)</f>
        <v>116.55779999999997</v>
      </c>
      <c r="P35" s="13">
        <f t="shared" si="33"/>
        <v>30.870807833785406</v>
      </c>
      <c r="Q35" s="20">
        <f t="shared" ref="Q35:Q66" si="53">(O35+P35)*0.475*44/12</f>
        <v>256.7714919771762</v>
      </c>
      <c r="R35" s="59">
        <f t="shared" si="0"/>
        <v>550.10482531050957</v>
      </c>
      <c r="S35" s="59">
        <f ca="1">AVERAGE(OFFSET($R$3,0,0,'Données projet'!$E$9+1,1))-AVERAGE(OFFSET($H$3,0,0,'Données projet'!$E$9+1,1))</f>
        <v>198.17898804494365</v>
      </c>
      <c r="T35" s="59">
        <f t="shared" si="34"/>
        <v>186.24772922797723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278.21846622758881</v>
      </c>
      <c r="AO35" s="59">
        <f t="shared" si="36"/>
        <v>245.37578316242906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8.0564102564102633</v>
      </c>
      <c r="BD35" s="12">
        <f>IF('Données projet'!$A$88&gt;35,BD34+BC35-BL34,IF(A35&lt;'Données projet'!$A$88,$BA$205^A35,IF(A35='Données projet'!$A$88,'Données projet'!$B$88,BD34+BC35-BL34)))</f>
        <v>137.99743589743591</v>
      </c>
      <c r="BE35" s="13">
        <f>BD35*VLOOKUP('Données projet'!$B$11,Paramètres!$A$1:$I$89,3,0)*VLOOKUP('Données projet'!$B$11,Paramètres!$A$1:$I$89,5,0)</f>
        <v>124.86008000000001</v>
      </c>
      <c r="BF35" s="13">
        <f t="shared" si="37"/>
        <v>32.805900674075268</v>
      </c>
      <c r="BG35" s="20">
        <f t="shared" si="7"/>
        <v>274.60158300734776</v>
      </c>
      <c r="BH35" s="59">
        <f t="shared" si="8"/>
        <v>567.93491634068107</v>
      </c>
      <c r="BI35" s="59">
        <f ca="1">AVERAGE(OFFSET($BH$3,0,0,'Données projet'!$E$11+1,1))-AVERAGE(OFFSET($H$3,0,0,'Données projet'!$E$11+1,1))</f>
        <v>270.87836509222456</v>
      </c>
      <c r="BJ35" s="59">
        <f t="shared" si="38"/>
        <v>205.24998237949734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8.0564102564102633</v>
      </c>
      <c r="BY35" s="12">
        <f>IF('Données projet'!$A$114&gt;35,BY34+BX35-CG34,IF(A35&lt;'Données projet'!$A$114,$BV$205^A35,IF(A35='Données projet'!$A$114,'Données projet'!$B$114,BY34+BX35-CG34)))</f>
        <v>137.99743589743591</v>
      </c>
      <c r="BZ35" s="13">
        <f>BY35*VLOOKUP('Données projet'!$B$12,Paramètres!$A$1:$I$89,3,0)*VLOOKUP('Données projet'!$B$12,Paramètres!$A$1:$I$89,5,0)</f>
        <v>139.92940000000002</v>
      </c>
      <c r="CA35" s="13">
        <f t="shared" si="39"/>
        <v>36.280831551634627</v>
      </c>
      <c r="CB35" s="20">
        <f t="shared" si="10"/>
        <v>306.89948661909699</v>
      </c>
      <c r="CC35" s="59">
        <f t="shared" si="11"/>
        <v>600.2328199524303</v>
      </c>
      <c r="CD35" s="59">
        <f ca="1">AVERAGE(OFFSET($CC$3,0,0,'Données projet'!$E$12+1,1))-AVERAGE(OFFSET($H$3,0,0,'Données projet'!$E$12+1,1))</f>
        <v>312.29056285877169</v>
      </c>
      <c r="CE35" s="59">
        <f t="shared" si="40"/>
        <v>233.85454224241693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5.3369963369963358</v>
      </c>
      <c r="CT35" s="12">
        <f>IF('Données projet'!$A$140&gt;35,CT34+CS35-DB34,IF(A35&lt;'Données projet'!$A$140,$CQ$205^A35,IF(A35='Données projet'!$A$140,'Données projet'!$B$140,CT34+CS35-DB34)))</f>
        <v>98.379120879120876</v>
      </c>
      <c r="CU35" s="17">
        <f>CT35*VLOOKUP('Données projet'!$B$13,Paramètres!$A$1:$I$89,3,0)*VLOOKUP('Données projet'!$B$13,Paramètres!$A$1:$I$89,5,0)</f>
        <v>112.03414285714285</v>
      </c>
      <c r="CV35" s="13">
        <f t="shared" si="41"/>
        <v>29.809732208809354</v>
      </c>
      <c r="CW35" s="20">
        <f t="shared" si="13"/>
        <v>247.04474907320011</v>
      </c>
      <c r="CX35" s="59">
        <f t="shared" si="14"/>
        <v>540.37808240653339</v>
      </c>
      <c r="CY35" s="59">
        <f ca="1">AVERAGE(OFFSET($CX$3,0,0,'Données projet'!$E$13+1,1))-AVERAGE(OFFSET($H$3,0,0,'Données projet'!$E$13+1,1))</f>
        <v>292.22737648725354</v>
      </c>
      <c r="CZ35" s="59">
        <f t="shared" si="42"/>
        <v>182.84038581199871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5.3369963369963358</v>
      </c>
      <c r="DO35" s="12">
        <f>IF('Données projet'!$A$166&gt;35,DO34+DN35-DW34,IF(A35&lt;'Données projet'!$A$166,$DL$205^A35,IF(A35='Données projet'!$A$166,'Données projet'!$B$166,DO34+DN35-DW34)))</f>
        <v>98.379120879120876</v>
      </c>
      <c r="DP35" s="17">
        <f>DO35*VLOOKUP('Données projet'!$B$14,Paramètres!$A$1:$I$89,3,0)*VLOOKUP('Données projet'!$B$14,Paramètres!$A$1:$I$89,5,0)</f>
        <v>107.43</v>
      </c>
      <c r="DQ35" s="13">
        <f t="shared" si="43"/>
        <v>28.724641925684711</v>
      </c>
      <c r="DR35" s="20">
        <f t="shared" si="16"/>
        <v>237.13600135390092</v>
      </c>
      <c r="DS35" s="59">
        <f t="shared" si="17"/>
        <v>530.46933468723421</v>
      </c>
      <c r="DT35" s="59">
        <f ca="1">AVERAGE(OFFSET($DS$3,0,0,'Données projet'!$E$14+1,1))-AVERAGE(OFFSET($H$3,0,0,'Données projet'!$E$14+1,1))</f>
        <v>276.52126514622455</v>
      </c>
      <c r="DU35" s="59">
        <f t="shared" si="44"/>
        <v>173.98404849503186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5.3369963369963358</v>
      </c>
      <c r="EJ35" s="12">
        <f>IF('Données projet'!$A$192&gt;35,EJ34+EI35-ER34,IF(A35&lt;'Données projet'!$A$192,$EG$205^A35,IF(A35='Données projet'!$A$192,'Données projet'!$B$192,EJ34+EI35-ER34)))</f>
        <v>98.379120879120876</v>
      </c>
      <c r="EK35" s="17">
        <f>EJ35*VLOOKUP('Données projet'!$B$15,Paramètres!$A$1:$I$89,3,0)*VLOOKUP('Données projet'!$B$15,Paramètres!$A$1:$I$89,5,0)</f>
        <v>95.152285714285725</v>
      </c>
      <c r="EL35" s="13">
        <f t="shared" si="45"/>
        <v>25.803777728906475</v>
      </c>
      <c r="EM35" s="20">
        <f t="shared" si="19"/>
        <v>210.66514383022638</v>
      </c>
      <c r="EN35" s="59">
        <f t="shared" si="20"/>
        <v>503.9984771635597</v>
      </c>
      <c r="EO35" s="59">
        <f ca="1">AVERAGE(OFFSET($EN$3,0,0,'Données projet'!$E$15+1,1))-AVERAGE(OFFSET($H$3,0,0,'Données projet'!$E$15+1,1))</f>
        <v>234.56750794375012</v>
      </c>
      <c r="EP35" s="59">
        <f t="shared" si="46"/>
        <v>150.32420541314724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16.131410256410259</v>
      </c>
      <c r="N36" s="13">
        <f>IF('Données projet'!$A$36&gt;35,N35+M36-V35,IF(A36&lt;'Données projet'!$A$36,$K$205^A36,IF(A36='Données projet'!$A$36,'Données projet'!$B$36,N35+M36-V35)))</f>
        <v>265.18653846153842</v>
      </c>
      <c r="O36" s="13">
        <f>N36*VLOOKUP('Données projet'!$B$9,Paramètres!$A$1:$I$89,3,0)*VLOOKUP('Données projet'!$B$9,Paramètres!$A$1:$I$89,5,0)</f>
        <v>124.10729999999997</v>
      </c>
      <c r="P36" s="13">
        <f t="shared" si="33"/>
        <v>32.631075149258578</v>
      </c>
      <c r="Q36" s="20">
        <f t="shared" si="53"/>
        <v>272.98600338495862</v>
      </c>
      <c r="R36" s="59">
        <f t="shared" si="0"/>
        <v>566.31933671829188</v>
      </c>
      <c r="S36" s="59">
        <f ca="1">AVERAGE(OFFSET($R$3,0,0,'Données projet'!$E$9+1,1))-AVERAGE(OFFSET($H$3,0,0,'Données projet'!$E$9+1,1))</f>
        <v>198.17898804494365</v>
      </c>
      <c r="T36" s="59">
        <f t="shared" si="34"/>
        <v>186.24772922797723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278.21846622758881</v>
      </c>
      <c r="AO36" s="59">
        <f t="shared" si="36"/>
        <v>245.37578316242906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8.0564102564102633</v>
      </c>
      <c r="BD36" s="12">
        <f>IF('Données projet'!$A$88&gt;35,BD35+BC36-BL35,IF(A36&lt;'Données projet'!$A$88,$BA$205^A36,IF(A36='Données projet'!$A$88,'Données projet'!$B$88,BD35+BC36-BL35)))</f>
        <v>146.05384615384617</v>
      </c>
      <c r="BE36" s="13">
        <f>BD36*VLOOKUP('Données projet'!$B$11,Paramètres!$A$1:$I$89,3,0)*VLOOKUP('Données projet'!$B$11,Paramètres!$A$1:$I$89,5,0)</f>
        <v>132.14952</v>
      </c>
      <c r="BF36" s="13">
        <f t="shared" si="37"/>
        <v>34.49257523106499</v>
      </c>
      <c r="BG36" s="20">
        <f t="shared" si="7"/>
        <v>290.23498252743815</v>
      </c>
      <c r="BH36" s="59">
        <f t="shared" si="8"/>
        <v>583.56831586077146</v>
      </c>
      <c r="BI36" s="59">
        <f ca="1">AVERAGE(OFFSET($BH$3,0,0,'Données projet'!$E$11+1,1))-AVERAGE(OFFSET($H$3,0,0,'Données projet'!$E$11+1,1))</f>
        <v>270.87836509222456</v>
      </c>
      <c r="BJ36" s="59">
        <f t="shared" si="38"/>
        <v>205.24998237949734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8.0564102564102633</v>
      </c>
      <c r="BY36" s="12">
        <f>IF('Données projet'!$A$114&gt;35,BY35+BX36-CG35,IF(A36&lt;'Données projet'!$A$114,$BV$205^A36,IF(A36='Données projet'!$A$114,'Données projet'!$B$114,BY35+BX36-CG35)))</f>
        <v>146.05384615384617</v>
      </c>
      <c r="BZ36" s="13">
        <f>BY36*VLOOKUP('Données projet'!$B$12,Paramètres!$A$1:$I$89,3,0)*VLOOKUP('Données projet'!$B$12,Paramètres!$A$1:$I$89,5,0)</f>
        <v>148.09860000000003</v>
      </c>
      <c r="CA36" s="13">
        <f t="shared" si="39"/>
        <v>38.146165355224731</v>
      </c>
      <c r="CB36" s="20">
        <f t="shared" si="10"/>
        <v>324.37629966034979</v>
      </c>
      <c r="CC36" s="59">
        <f t="shared" si="11"/>
        <v>617.70963299368304</v>
      </c>
      <c r="CD36" s="59">
        <f ca="1">AVERAGE(OFFSET($CC$3,0,0,'Données projet'!$E$12+1,1))-AVERAGE(OFFSET($H$3,0,0,'Données projet'!$E$12+1,1))</f>
        <v>312.29056285877169</v>
      </c>
      <c r="CE36" s="59">
        <f t="shared" si="40"/>
        <v>233.85454224241693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5.3369963369963358</v>
      </c>
      <c r="CT36" s="12">
        <f>IF('Données projet'!$A$140&gt;35,CT35+CS36-DB35,IF(A36&lt;'Données projet'!$A$140,$CQ$205^A36,IF(A36='Données projet'!$A$140,'Données projet'!$B$140,CT35+CS36-DB35)))</f>
        <v>103.71611721611721</v>
      </c>
      <c r="CU36" s="17">
        <f>CT36*VLOOKUP('Données projet'!$B$13,Paramètres!$A$1:$I$89,3,0)*VLOOKUP('Données projet'!$B$13,Paramètres!$A$1:$I$89,5,0)</f>
        <v>118.11191428571428</v>
      </c>
      <c r="CV36" s="13">
        <f t="shared" si="41"/>
        <v>31.234228674479827</v>
      </c>
      <c r="CW36" s="20">
        <f t="shared" si="13"/>
        <v>260.11119898900466</v>
      </c>
      <c r="CX36" s="59">
        <f t="shared" si="14"/>
        <v>553.44453232233798</v>
      </c>
      <c r="CY36" s="59">
        <f ca="1">AVERAGE(OFFSET($CX$3,0,0,'Données projet'!$E$13+1,1))-AVERAGE(OFFSET($H$3,0,0,'Données projet'!$E$13+1,1))</f>
        <v>292.22737648725354</v>
      </c>
      <c r="CZ36" s="59">
        <f t="shared" si="42"/>
        <v>182.84038581199871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5.3369963369963358</v>
      </c>
      <c r="DO36" s="12">
        <f>IF('Données projet'!$A$166&gt;35,DO35+DN36-DW35,IF(A36&lt;'Données projet'!$A$166,$DL$205^A36,IF(A36='Données projet'!$A$166,'Données projet'!$B$166,DO35+DN36-DW35)))</f>
        <v>103.71611721611721</v>
      </c>
      <c r="DP36" s="17">
        <f>DO36*VLOOKUP('Données projet'!$B$14,Paramètres!$A$1:$I$89,3,0)*VLOOKUP('Données projet'!$B$14,Paramètres!$A$1:$I$89,5,0)</f>
        <v>113.25799999999998</v>
      </c>
      <c r="DQ36" s="13">
        <f t="shared" si="43"/>
        <v>30.097285953955947</v>
      </c>
      <c r="DR36" s="20">
        <f t="shared" si="16"/>
        <v>249.67712303647326</v>
      </c>
      <c r="DS36" s="59">
        <f t="shared" si="17"/>
        <v>543.01045636980655</v>
      </c>
      <c r="DT36" s="59">
        <f ca="1">AVERAGE(OFFSET($DS$3,0,0,'Données projet'!$E$14+1,1))-AVERAGE(OFFSET($H$3,0,0,'Données projet'!$E$14+1,1))</f>
        <v>276.52126514622455</v>
      </c>
      <c r="DU36" s="59">
        <f t="shared" si="44"/>
        <v>173.98404849503186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5.3369963369963358</v>
      </c>
      <c r="EJ36" s="12">
        <f>IF('Données projet'!$A$192&gt;35,EJ35+EI36-ER35,IF(A36&lt;'Données projet'!$A$192,$EG$205^A36,IF(A36='Données projet'!$A$192,'Données projet'!$B$192,EJ35+EI36-ER35)))</f>
        <v>103.71611721611721</v>
      </c>
      <c r="EK36" s="17">
        <f>EJ36*VLOOKUP('Données projet'!$B$15,Paramètres!$A$1:$I$89,3,0)*VLOOKUP('Données projet'!$B$15,Paramètres!$A$1:$I$89,5,0)</f>
        <v>100.31422857142856</v>
      </c>
      <c r="EL36" s="13">
        <f t="shared" si="45"/>
        <v>27.036844497782397</v>
      </c>
      <c r="EM36" s="20">
        <f t="shared" si="19"/>
        <v>221.80311892887573</v>
      </c>
      <c r="EN36" s="59">
        <f t="shared" si="20"/>
        <v>515.1364522622091</v>
      </c>
      <c r="EO36" s="59">
        <f ca="1">AVERAGE(OFFSET($EN$3,0,0,'Données projet'!$E$15+1,1))-AVERAGE(OFFSET($H$3,0,0,'Données projet'!$E$15+1,1))</f>
        <v>234.56750794375012</v>
      </c>
      <c r="EP36" s="59">
        <f t="shared" si="46"/>
        <v>150.32420541314724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16.131410256410259</v>
      </c>
      <c r="N37" s="13">
        <f>IF('Données projet'!$A$36&gt;35,N36+M37-V36,IF(A37&lt;'Données projet'!$A$36,$K$205^A37,IF(A37='Données projet'!$A$36,'Données projet'!$B$36,N36+M37-V36)))</f>
        <v>281.3179487179487</v>
      </c>
      <c r="O37" s="13">
        <f>N37*VLOOKUP('Données projet'!$B$9,Paramètres!$A$1:$I$89,3,0)*VLOOKUP('Données projet'!$B$9,Paramètres!$A$1:$I$89,5,0)</f>
        <v>131.65679999999998</v>
      </c>
      <c r="P37" s="13">
        <f t="shared" si="33"/>
        <v>34.378914540413547</v>
      </c>
      <c r="Q37" s="20">
        <f t="shared" si="53"/>
        <v>289.17886949122021</v>
      </c>
      <c r="R37" s="59">
        <f t="shared" si="0"/>
        <v>582.51220282455347</v>
      </c>
      <c r="S37" s="59">
        <f ca="1">AVERAGE(OFFSET($R$3,0,0,'Données projet'!$E$9+1,1))-AVERAGE(OFFSET($H$3,0,0,'Données projet'!$E$9+1,1))</f>
        <v>198.17898804494365</v>
      </c>
      <c r="T37" s="59">
        <f t="shared" si="34"/>
        <v>186.24772922797723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278.21846622758881</v>
      </c>
      <c r="AO37" s="59">
        <f t="shared" si="36"/>
        <v>245.37578316242906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8.0564102564102633</v>
      </c>
      <c r="BD37" s="12">
        <f>IF('Données projet'!$A$88&gt;35,BD36+BC37-BL36,IF(A37&lt;'Données projet'!$A$88,$BA$205^A37,IF(A37='Données projet'!$A$88,'Données projet'!$B$88,BD36+BC37-BL36)))</f>
        <v>154.11025641025643</v>
      </c>
      <c r="BE37" s="13">
        <f>BD37*VLOOKUP('Données projet'!$B$11,Paramètres!$A$1:$I$89,3,0)*VLOOKUP('Données projet'!$B$11,Paramètres!$A$1:$I$89,5,0)</f>
        <v>139.43896000000001</v>
      </c>
      <c r="BF37" s="13">
        <f t="shared" si="37"/>
        <v>36.168449088081644</v>
      </c>
      <c r="BG37" s="20">
        <f t="shared" si="7"/>
        <v>305.8495708284089</v>
      </c>
      <c r="BH37" s="59">
        <f t="shared" si="8"/>
        <v>599.18290416174227</v>
      </c>
      <c r="BI37" s="59">
        <f ca="1">AVERAGE(OFFSET($BH$3,0,0,'Données projet'!$E$11+1,1))-AVERAGE(OFFSET($H$3,0,0,'Données projet'!$E$11+1,1))</f>
        <v>270.87836509222456</v>
      </c>
      <c r="BJ37" s="59">
        <f t="shared" si="38"/>
        <v>205.24998237949734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8.0564102564102633</v>
      </c>
      <c r="BY37" s="12">
        <f>IF('Données projet'!$A$114&gt;35,BY36+BX37-CG36,IF(A37&lt;'Données projet'!$A$114,$BV$205^A37,IF(A37='Données projet'!$A$114,'Données projet'!$B$114,BY36+BX37-CG36)))</f>
        <v>154.11025641025643</v>
      </c>
      <c r="BZ37" s="13">
        <f>BY37*VLOOKUP('Données projet'!$B$12,Paramètres!$A$1:$I$89,3,0)*VLOOKUP('Données projet'!$B$12,Paramètres!$A$1:$I$89,5,0)</f>
        <v>156.26780000000002</v>
      </c>
      <c r="CA37" s="13">
        <f t="shared" si="39"/>
        <v>39.999554405940785</v>
      </c>
      <c r="CB37" s="20">
        <f t="shared" si="10"/>
        <v>341.83230892368027</v>
      </c>
      <c r="CC37" s="59">
        <f t="shared" si="11"/>
        <v>635.16564225701359</v>
      </c>
      <c r="CD37" s="59">
        <f ca="1">AVERAGE(OFFSET($CC$3,0,0,'Données projet'!$E$12+1,1))-AVERAGE(OFFSET($H$3,0,0,'Données projet'!$E$12+1,1))</f>
        <v>312.29056285877169</v>
      </c>
      <c r="CE37" s="59">
        <f t="shared" si="40"/>
        <v>233.85454224241693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5.3369963369963358</v>
      </c>
      <c r="CT37" s="12">
        <f>IF('Données projet'!$A$140&gt;35,CT36+CS37-DB36,IF(A37&lt;'Données projet'!$A$140,$CQ$205^A37,IF(A37='Données projet'!$A$140,'Données projet'!$B$140,CT36+CS37-DB36)))</f>
        <v>109.05311355311355</v>
      </c>
      <c r="CU37" s="17">
        <f>CT37*VLOOKUP('Données projet'!$B$13,Paramètres!$A$1:$I$89,3,0)*VLOOKUP('Données projet'!$B$13,Paramètres!$A$1:$I$89,5,0)</f>
        <v>124.18968571428572</v>
      </c>
      <c r="CV37" s="13">
        <f t="shared" si="41"/>
        <v>32.650214398563584</v>
      </c>
      <c r="CW37" s="20">
        <f t="shared" si="13"/>
        <v>273.16282602987923</v>
      </c>
      <c r="CX37" s="59">
        <f t="shared" si="14"/>
        <v>566.49615936321254</v>
      </c>
      <c r="CY37" s="59">
        <f ca="1">AVERAGE(OFFSET($CX$3,0,0,'Données projet'!$E$13+1,1))-AVERAGE(OFFSET($H$3,0,0,'Données projet'!$E$13+1,1))</f>
        <v>292.22737648725354</v>
      </c>
      <c r="CZ37" s="59">
        <f t="shared" si="42"/>
        <v>182.84038581199871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5.3369963369963358</v>
      </c>
      <c r="DO37" s="12">
        <f>IF('Données projet'!$A$166&gt;35,DO36+DN37-DW36,IF(A37&lt;'Données projet'!$A$166,$DL$205^A37,IF(A37='Données projet'!$A$166,'Données projet'!$B$166,DO36+DN37-DW36)))</f>
        <v>109.05311355311355</v>
      </c>
      <c r="DP37" s="17">
        <f>DO37*VLOOKUP('Données projet'!$B$14,Paramètres!$A$1:$I$89,3,0)*VLOOKUP('Données projet'!$B$14,Paramètres!$A$1:$I$89,5,0)</f>
        <v>119.086</v>
      </c>
      <c r="DQ37" s="13">
        <f t="shared" si="43"/>
        <v>31.461729036211057</v>
      </c>
      <c r="DR37" s="20">
        <f t="shared" si="16"/>
        <v>262.20396140473423</v>
      </c>
      <c r="DS37" s="59">
        <f t="shared" si="17"/>
        <v>555.53729473806754</v>
      </c>
      <c r="DT37" s="59">
        <f ca="1">AVERAGE(OFFSET($DS$3,0,0,'Données projet'!$E$14+1,1))-AVERAGE(OFFSET($H$3,0,0,'Données projet'!$E$14+1,1))</f>
        <v>276.52126514622455</v>
      </c>
      <c r="DU37" s="59">
        <f t="shared" si="44"/>
        <v>173.98404849503186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5.3369963369963358</v>
      </c>
      <c r="EJ37" s="12">
        <f>IF('Données projet'!$A$192&gt;35,EJ36+EI37-ER36,IF(A37&lt;'Données projet'!$A$192,$EG$205^A37,IF(A37='Données projet'!$A$192,'Données projet'!$B$192,EJ36+EI37-ER36)))</f>
        <v>109.05311355311355</v>
      </c>
      <c r="EK37" s="17">
        <f>EJ37*VLOOKUP('Données projet'!$B$15,Paramètres!$A$1:$I$89,3,0)*VLOOKUP('Données projet'!$B$15,Paramètres!$A$1:$I$89,5,0)</f>
        <v>105.47617142857143</v>
      </c>
      <c r="EL37" s="13">
        <f t="shared" si="45"/>
        <v>28.262544233547384</v>
      </c>
      <c r="EM37" s="20">
        <f t="shared" si="19"/>
        <v>232.92826311152359</v>
      </c>
      <c r="EN37" s="59">
        <f t="shared" si="20"/>
        <v>526.26159644485688</v>
      </c>
      <c r="EO37" s="59">
        <f ca="1">AVERAGE(OFFSET($EN$3,0,0,'Données projet'!$E$15+1,1))-AVERAGE(OFFSET($H$3,0,0,'Données projet'!$E$15+1,1))</f>
        <v>234.56750794375012</v>
      </c>
      <c r="EP37" s="59">
        <f t="shared" si="46"/>
        <v>150.32420541314724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16.131410256410259</v>
      </c>
      <c r="N38" s="13">
        <f>IF('Données projet'!$A$36&gt;35,N37+M38-V37,IF(A38&lt;'Données projet'!$A$36,$K$205^A38,IF(A38='Données projet'!$A$36,'Données projet'!$B$36,N37+M38-V37)))</f>
        <v>297.44935897435897</v>
      </c>
      <c r="O38" s="13">
        <f>N38*VLOOKUP('Données projet'!$B$9,Paramètres!$A$1:$I$89,3,0)*VLOOKUP('Données projet'!$B$9,Paramètres!$A$1:$I$89,5,0)</f>
        <v>139.2063</v>
      </c>
      <c r="P38" s="13">
        <f t="shared" si="33"/>
        <v>36.115119849784641</v>
      </c>
      <c r="Q38" s="20">
        <f t="shared" si="53"/>
        <v>305.35147290504159</v>
      </c>
      <c r="R38" s="59">
        <f t="shared" si="0"/>
        <v>598.6848062383749</v>
      </c>
      <c r="S38" s="59">
        <f ca="1">AVERAGE(OFFSET($R$3,0,0,'Données projet'!$E$9+1,1))-AVERAGE(OFFSET($H$3,0,0,'Données projet'!$E$9+1,1))</f>
        <v>198.17898804494365</v>
      </c>
      <c r="T38" s="59">
        <f t="shared" si="34"/>
        <v>186.24772922797723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278.21846622758881</v>
      </c>
      <c r="AO38" s="59">
        <f t="shared" si="36"/>
        <v>245.37578316242906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162.16666666666669</v>
      </c>
      <c r="BB38" s="12">
        <f>VLOOKUP(A38,'Données projet'!$A$87:$I$107,9,0)</f>
        <v>8.0564102564102633</v>
      </c>
      <c r="BC38" s="12">
        <f t="array" ref="BC38">INDEX(BB:BB,MIN(IF(ISNUMBER(BB38:BB234),ROW(BB38:BB234),"")))</f>
        <v>8.0564102564102633</v>
      </c>
      <c r="BD38" s="12">
        <f>IF('Données projet'!$A$88&gt;35,BD37+BC38-BL37,IF(A38&lt;'Données projet'!$A$88,$BA$205^A38,IF(A38='Données projet'!$A$88,'Données projet'!$B$88,BD37+BC38-BL37)))</f>
        <v>162.16666666666669</v>
      </c>
      <c r="BE38" s="13">
        <f>BD38*VLOOKUP('Données projet'!$B$11,Paramètres!$A$1:$I$89,3,0)*VLOOKUP('Données projet'!$B$11,Paramètres!$A$1:$I$89,5,0)</f>
        <v>146.72840000000002</v>
      </c>
      <c r="BF38" s="13">
        <f t="shared" si="37"/>
        <v>37.834151268675086</v>
      </c>
      <c r="BG38" s="20">
        <f t="shared" si="7"/>
        <v>321.44644345960916</v>
      </c>
      <c r="BH38" s="59">
        <f t="shared" si="8"/>
        <v>614.77977679294247</v>
      </c>
      <c r="BI38" s="59">
        <f ca="1">AVERAGE(OFFSET($BH$3,0,0,'Données projet'!$E$11+1,1))-AVERAGE(OFFSET($H$3,0,0,'Données projet'!$E$11+1,1))</f>
        <v>270.87836509222456</v>
      </c>
      <c r="BJ38" s="59">
        <f t="shared" si="38"/>
        <v>205.24998237949734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60.602564102564102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162.16666666666669</v>
      </c>
      <c r="BW38" s="12">
        <f>VLOOKUP(A38,'Données projet'!$A$113:$I$133,9,0)</f>
        <v>8.0564102564102633</v>
      </c>
      <c r="BX38" s="12">
        <f t="array" ref="BX38">INDEX(BW:BW,MIN(IF(ISNUMBER(BW38:BW234),ROW(BW38:BW234),"")))</f>
        <v>8.0564102564102633</v>
      </c>
      <c r="BY38" s="12">
        <f>IF('Données projet'!$A$114&gt;35,BY37+BX38-CG37,IF(A38&lt;'Données projet'!$A$114,$BV$205^A38,IF(A38='Données projet'!$A$114,'Données projet'!$B$114,BY37+BX38-CG37)))</f>
        <v>162.16666666666669</v>
      </c>
      <c r="BZ38" s="13">
        <f>BY38*VLOOKUP('Données projet'!$B$12,Paramètres!$A$1:$I$89,3,0)*VLOOKUP('Données projet'!$B$12,Paramètres!$A$1:$I$89,5,0)</f>
        <v>164.43700000000001</v>
      </c>
      <c r="CA38" s="13">
        <f t="shared" si="39"/>
        <v>41.841694355997333</v>
      </c>
      <c r="CB38" s="20">
        <f t="shared" si="10"/>
        <v>359.26872600336202</v>
      </c>
      <c r="CC38" s="59">
        <f t="shared" si="11"/>
        <v>652.60205933669533</v>
      </c>
      <c r="CD38" s="59">
        <f ca="1">AVERAGE(OFFSET($CC$3,0,0,'Données projet'!$E$12+1,1))-AVERAGE(OFFSET($H$3,0,0,'Données projet'!$E$12+1,1))</f>
        <v>312.29056285877169</v>
      </c>
      <c r="CE38" s="59">
        <f t="shared" si="40"/>
        <v>233.85454224241693</v>
      </c>
      <c r="CF38" s="15">
        <f>IF(ISNA(VLOOKUP(A38,'Données projet'!$A$113:$I$133,3,0)),0,VLOOKUP(A38,'Données projet'!$A$113:$I$133,3,0))</f>
        <v>1</v>
      </c>
      <c r="CG38" s="15">
        <f>IF(ISNA(VLOOKUP(A38,'Données projet'!$A$113:$I$133,4,0)),0,VLOOKUP(A38,'Données projet'!$A$113:$I$133,4,0))</f>
        <v>60.602564102564102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5.3369963369963358</v>
      </c>
      <c r="CT38" s="12">
        <f>IF('Données projet'!$A$140&gt;35,CT37+CS38-DB37,IF(A38&lt;'Données projet'!$A$140,$CQ$205^A38,IF(A38='Données projet'!$A$140,'Données projet'!$B$140,CT37+CS38-DB37)))</f>
        <v>114.39010989010988</v>
      </c>
      <c r="CU38" s="17">
        <f>CT38*VLOOKUP('Données projet'!$B$13,Paramètres!$A$1:$I$89,3,0)*VLOOKUP('Données projet'!$B$13,Paramètres!$A$1:$I$89,5,0)</f>
        <v>130.26745714285715</v>
      </c>
      <c r="CV38" s="13">
        <f t="shared" si="41"/>
        <v>34.058153430970066</v>
      </c>
      <c r="CW38" s="20">
        <f t="shared" si="13"/>
        <v>286.20043841608242</v>
      </c>
      <c r="CX38" s="59">
        <f t="shared" si="14"/>
        <v>579.53377174941579</v>
      </c>
      <c r="CY38" s="59">
        <f ca="1">AVERAGE(OFFSET($CX$3,0,0,'Données projet'!$E$13+1,1))-AVERAGE(OFFSET($H$3,0,0,'Données projet'!$E$13+1,1))</f>
        <v>292.22737648725354</v>
      </c>
      <c r="CZ38" s="59">
        <f t="shared" si="42"/>
        <v>182.84038581199871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5.3369963369963358</v>
      </c>
      <c r="DO38" s="12">
        <f>IF('Données projet'!$A$166&gt;35,DO37+DN38-DW37,IF(A38&lt;'Données projet'!$A$166,$DL$205^A38,IF(A38='Données projet'!$A$166,'Données projet'!$B$166,DO37+DN38-DW37)))</f>
        <v>114.39010989010988</v>
      </c>
      <c r="DP38" s="17">
        <f>DO38*VLOOKUP('Données projet'!$B$14,Paramètres!$A$1:$I$89,3,0)*VLOOKUP('Données projet'!$B$14,Paramètres!$A$1:$I$89,5,0)</f>
        <v>124.91399999999999</v>
      </c>
      <c r="DQ38" s="13">
        <f t="shared" si="43"/>
        <v>32.818418330693206</v>
      </c>
      <c r="DR38" s="20">
        <f t="shared" si="16"/>
        <v>274.71729525929061</v>
      </c>
      <c r="DS38" s="59">
        <f t="shared" si="17"/>
        <v>568.05062859262398</v>
      </c>
      <c r="DT38" s="59">
        <f ca="1">AVERAGE(OFFSET($DS$3,0,0,'Données projet'!$E$14+1,1))-AVERAGE(OFFSET($H$3,0,0,'Données projet'!$E$14+1,1))</f>
        <v>276.52126514622455</v>
      </c>
      <c r="DU38" s="59">
        <f t="shared" si="44"/>
        <v>173.98404849503186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5.3369963369963358</v>
      </c>
      <c r="EJ38" s="12">
        <f>IF('Données projet'!$A$192&gt;35,EJ37+EI38-ER37,IF(A38&lt;'Données projet'!$A$192,$EG$205^A38,IF(A38='Données projet'!$A$192,'Données projet'!$B$192,EJ37+EI38-ER37)))</f>
        <v>114.39010989010988</v>
      </c>
      <c r="EK38" s="17">
        <f>EJ38*VLOOKUP('Données projet'!$B$15,Paramètres!$A$1:$I$89,3,0)*VLOOKUP('Données projet'!$B$15,Paramètres!$A$1:$I$89,5,0)</f>
        <v>110.63811428571428</v>
      </c>
      <c r="EL38" s="13">
        <f t="shared" si="45"/>
        <v>29.481278625174436</v>
      </c>
      <c r="EM38" s="20">
        <f t="shared" si="19"/>
        <v>244.04127598646448</v>
      </c>
      <c r="EN38" s="59">
        <f t="shared" si="20"/>
        <v>537.37460931979786</v>
      </c>
      <c r="EO38" s="59">
        <f ca="1">AVERAGE(OFFSET($EN$3,0,0,'Données projet'!$E$15+1,1))-AVERAGE(OFFSET($H$3,0,0,'Données projet'!$E$15+1,1))</f>
        <v>234.56750794375012</v>
      </c>
      <c r="EP38" s="59">
        <f t="shared" si="46"/>
        <v>150.32420541314724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16.131410256410259</v>
      </c>
      <c r="N39" s="13">
        <f>IF('Données projet'!$A$36&gt;35,N38+M39-V38,IF(A39&lt;'Données projet'!$A$36,$K$205^A39,IF(A39='Données projet'!$A$36,'Données projet'!$B$36,N38+M39-V38)))</f>
        <v>313.58076923076925</v>
      </c>
      <c r="O39" s="13">
        <f>N39*VLOOKUP('Données projet'!$B$9,Paramètres!$A$1:$I$89,3,0)*VLOOKUP('Données projet'!$B$9,Paramètres!$A$1:$I$89,5,0)</f>
        <v>146.75580000000002</v>
      </c>
      <c r="P39" s="13">
        <f t="shared" si="33"/>
        <v>37.840393952855997</v>
      </c>
      <c r="Q39" s="20">
        <f t="shared" si="53"/>
        <v>321.5050378012242</v>
      </c>
      <c r="R39" s="59">
        <f t="shared" si="0"/>
        <v>614.83837113455752</v>
      </c>
      <c r="S39" s="59">
        <f ca="1">AVERAGE(OFFSET($R$3,0,0,'Données projet'!$E$9+1,1))-AVERAGE(OFFSET($H$3,0,0,'Données projet'!$E$9+1,1))</f>
        <v>198.17898804494365</v>
      </c>
      <c r="T39" s="59">
        <f t="shared" si="34"/>
        <v>186.24772922797723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278.21846622758881</v>
      </c>
      <c r="AO39" s="59">
        <f t="shared" si="36"/>
        <v>245.37578316242906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9.3141025641025621</v>
      </c>
      <c r="BD39" s="12">
        <f>IF('Données projet'!$A$88&gt;35,BD38+BC39-BL38,IF(A39&lt;'Données projet'!$A$88,$BA$205^A39,IF(A39='Données projet'!$A$88,'Données projet'!$B$88,BD38+BC39-BL38)))</f>
        <v>110.87820512820515</v>
      </c>
      <c r="BE39" s="13">
        <f>BD39*VLOOKUP('Données projet'!$B$11,Paramètres!$A$1:$I$89,3,0)*VLOOKUP('Données projet'!$B$11,Paramètres!$A$1:$I$89,5,0)</f>
        <v>100.32260000000002</v>
      </c>
      <c r="BF39" s="13">
        <f t="shared" si="37"/>
        <v>27.038838137326771</v>
      </c>
      <c r="BG39" s="20">
        <f t="shared" si="7"/>
        <v>221.82117142251082</v>
      </c>
      <c r="BH39" s="59">
        <f t="shared" si="8"/>
        <v>515.15450475584407</v>
      </c>
      <c r="BI39" s="59">
        <f ca="1">AVERAGE(OFFSET($BH$3,0,0,'Données projet'!$E$11+1,1))-AVERAGE(OFFSET($H$3,0,0,'Données projet'!$E$11+1,1))</f>
        <v>270.87836509222456</v>
      </c>
      <c r="BJ39" s="59">
        <f t="shared" si="38"/>
        <v>205.24998237949734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9.3141025641025621</v>
      </c>
      <c r="BY39" s="12">
        <f>IF('Données projet'!$A$114&gt;35,BY38+BX39-CG38,IF(A39&lt;'Données projet'!$A$114,$BV$205^A39,IF(A39='Données projet'!$A$114,'Données projet'!$B$114,BY38+BX39-CG38)))</f>
        <v>110.87820512820515</v>
      </c>
      <c r="BZ39" s="13">
        <f>BY39*VLOOKUP('Données projet'!$B$12,Paramètres!$A$1:$I$89,3,0)*VLOOKUP('Données projet'!$B$12,Paramètres!$A$1:$I$89,5,0)</f>
        <v>112.43050000000004</v>
      </c>
      <c r="CA39" s="13">
        <f t="shared" si="39"/>
        <v>29.902898919263393</v>
      </c>
      <c r="CB39" s="20">
        <f t="shared" si="10"/>
        <v>247.89733645105048</v>
      </c>
      <c r="CC39" s="59">
        <f t="shared" si="11"/>
        <v>541.23066978438374</v>
      </c>
      <c r="CD39" s="59">
        <f ca="1">AVERAGE(OFFSET($CC$3,0,0,'Données projet'!$E$12+1,1))-AVERAGE(OFFSET($H$3,0,0,'Données projet'!$E$12+1,1))</f>
        <v>312.29056285877169</v>
      </c>
      <c r="CE39" s="59">
        <f t="shared" si="40"/>
        <v>233.85454224241693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5.3369963369963358</v>
      </c>
      <c r="CT39" s="12">
        <f>IF('Données projet'!$A$140&gt;35,CT38+CS39-DB38,IF(A39&lt;'Données projet'!$A$140,$CQ$205^A39,IF(A39='Données projet'!$A$140,'Données projet'!$B$140,CT38+CS39-DB38)))</f>
        <v>119.72710622710622</v>
      </c>
      <c r="CU39" s="17">
        <f>CT39*VLOOKUP('Données projet'!$B$13,Paramètres!$A$1:$I$89,3,0)*VLOOKUP('Données projet'!$B$13,Paramètres!$A$1:$I$89,5,0)</f>
        <v>136.34522857142855</v>
      </c>
      <c r="CV39" s="13">
        <f t="shared" si="41"/>
        <v>35.458464072944281</v>
      </c>
      <c r="CW39" s="20">
        <f t="shared" si="13"/>
        <v>299.22476468894934</v>
      </c>
      <c r="CX39" s="59">
        <f t="shared" si="14"/>
        <v>592.55809802228259</v>
      </c>
      <c r="CY39" s="59">
        <f ca="1">AVERAGE(OFFSET($CX$3,0,0,'Données projet'!$E$13+1,1))-AVERAGE(OFFSET($H$3,0,0,'Données projet'!$E$13+1,1))</f>
        <v>292.22737648725354</v>
      </c>
      <c r="CZ39" s="59">
        <f t="shared" si="42"/>
        <v>182.84038581199871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5.3369963369963358</v>
      </c>
      <c r="DO39" s="12">
        <f>IF('Données projet'!$A$166&gt;35,DO38+DN39-DW38,IF(A39&lt;'Données projet'!$A$166,$DL$205^A39,IF(A39='Données projet'!$A$166,'Données projet'!$B$166,DO38+DN39-DW38)))</f>
        <v>119.72710622710622</v>
      </c>
      <c r="DP39" s="17">
        <f>DO39*VLOOKUP('Données projet'!$B$14,Paramètres!$A$1:$I$89,3,0)*VLOOKUP('Données projet'!$B$14,Paramètres!$A$1:$I$89,5,0)</f>
        <v>130.74199999999999</v>
      </c>
      <c r="DQ39" s="13">
        <f t="shared" si="43"/>
        <v>34.167756912257119</v>
      </c>
      <c r="DR39" s="20">
        <f t="shared" si="16"/>
        <v>287.21782662218112</v>
      </c>
      <c r="DS39" s="59">
        <f t="shared" si="17"/>
        <v>580.55115995551444</v>
      </c>
      <c r="DT39" s="59">
        <f ca="1">AVERAGE(OFFSET($DS$3,0,0,'Données projet'!$E$14+1,1))-AVERAGE(OFFSET($H$3,0,0,'Données projet'!$E$14+1,1))</f>
        <v>276.52126514622455</v>
      </c>
      <c r="DU39" s="59">
        <f t="shared" si="44"/>
        <v>173.98404849503186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5.3369963369963358</v>
      </c>
      <c r="EJ39" s="12">
        <f>IF('Données projet'!$A$192&gt;35,EJ38+EI39-ER38,IF(A39&lt;'Données projet'!$A$192,$EG$205^A39,IF(A39='Données projet'!$A$192,'Données projet'!$B$192,EJ38+EI39-ER38)))</f>
        <v>119.72710622710622</v>
      </c>
      <c r="EK39" s="17">
        <f>EJ39*VLOOKUP('Données projet'!$B$15,Paramètres!$A$1:$I$89,3,0)*VLOOKUP('Données projet'!$B$15,Paramètres!$A$1:$I$89,5,0)</f>
        <v>115.80005714285714</v>
      </c>
      <c r="EL39" s="13">
        <f t="shared" si="45"/>
        <v>30.693409760865983</v>
      </c>
      <c r="EM39" s="20">
        <f t="shared" si="19"/>
        <v>255.14278819065109</v>
      </c>
      <c r="EN39" s="59">
        <f t="shared" si="20"/>
        <v>548.47612152398438</v>
      </c>
      <c r="EO39" s="59">
        <f ca="1">AVERAGE(OFFSET($EN$3,0,0,'Données projet'!$E$15+1,1))-AVERAGE(OFFSET($H$3,0,0,'Données projet'!$E$15+1,1))</f>
        <v>234.56750794375012</v>
      </c>
      <c r="EP39" s="59">
        <f t="shared" si="46"/>
        <v>150.32420541314724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16.131410256410259</v>
      </c>
      <c r="N40" s="13">
        <f>IF('Données projet'!$A$36&gt;35,N39+M40-V39,IF(A40&lt;'Données projet'!$A$36,$K$205^A40,IF(A40='Données projet'!$A$36,'Données projet'!$B$36,N39+M40-V39)))</f>
        <v>329.71217948717953</v>
      </c>
      <c r="O40" s="13">
        <f>N40*VLOOKUP('Données projet'!$B$9,Paramètres!$A$1:$I$89,3,0)*VLOOKUP('Données projet'!$B$9,Paramètres!$A$1:$I$89,5,0)</f>
        <v>154.30530000000002</v>
      </c>
      <c r="P40" s="13">
        <f t="shared" si="33"/>
        <v>39.555363325024224</v>
      </c>
      <c r="Q40" s="20">
        <f t="shared" si="53"/>
        <v>337.64065529108387</v>
      </c>
      <c r="R40" s="59">
        <f t="shared" si="0"/>
        <v>630.97398862441719</v>
      </c>
      <c r="S40" s="59">
        <f ca="1">AVERAGE(OFFSET($R$3,0,0,'Données projet'!$E$9+1,1))-AVERAGE(OFFSET($H$3,0,0,'Données projet'!$E$9+1,1))</f>
        <v>198.17898804494365</v>
      </c>
      <c r="T40" s="59">
        <f t="shared" si="34"/>
        <v>186.24772922797723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278.21846622758881</v>
      </c>
      <c r="AO40" s="59">
        <f t="shared" si="36"/>
        <v>245.37578316242906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9.3141025641025621</v>
      </c>
      <c r="BD40" s="12">
        <f>IF('Données projet'!$A$88&gt;35,BD39+BC40-BL39,IF(A40&lt;'Données projet'!$A$88,$BA$205^A40,IF(A40='Données projet'!$A$88,'Données projet'!$B$88,BD39+BC40-BL39)))</f>
        <v>120.19230769230771</v>
      </c>
      <c r="BE40" s="13">
        <f>BD40*VLOOKUP('Données projet'!$B$11,Paramètres!$A$1:$I$89,3,0)*VLOOKUP('Données projet'!$B$11,Paramètres!$A$1:$I$89,5,0)</f>
        <v>108.75000000000001</v>
      </c>
      <c r="BF40" s="13">
        <f t="shared" si="37"/>
        <v>29.036279216217448</v>
      </c>
      <c r="BG40" s="20">
        <f t="shared" si="7"/>
        <v>239.97776963491205</v>
      </c>
      <c r="BH40" s="59">
        <f t="shared" si="8"/>
        <v>533.31110296824534</v>
      </c>
      <c r="BI40" s="59">
        <f ca="1">AVERAGE(OFFSET($BH$3,0,0,'Données projet'!$E$11+1,1))-AVERAGE(OFFSET($H$3,0,0,'Données projet'!$E$11+1,1))</f>
        <v>270.87836509222456</v>
      </c>
      <c r="BJ40" s="59">
        <f t="shared" si="38"/>
        <v>205.24998237949734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9.3141025641025621</v>
      </c>
      <c r="BY40" s="12">
        <f>IF('Données projet'!$A$114&gt;35,BY39+BX40-CG39,IF(A40&lt;'Données projet'!$A$114,$BV$205^A40,IF(A40='Données projet'!$A$114,'Données projet'!$B$114,BY39+BX40-CG39)))</f>
        <v>120.19230769230771</v>
      </c>
      <c r="BZ40" s="13">
        <f>BY40*VLOOKUP('Données projet'!$B$12,Paramètres!$A$1:$I$89,3,0)*VLOOKUP('Données projet'!$B$12,Paramètres!$A$1:$I$89,5,0)</f>
        <v>121.87500000000003</v>
      </c>
      <c r="CA40" s="13">
        <f t="shared" si="39"/>
        <v>32.111916865075052</v>
      </c>
      <c r="CB40" s="20">
        <f t="shared" si="10"/>
        <v>268.19388020667242</v>
      </c>
      <c r="CC40" s="59">
        <f t="shared" si="11"/>
        <v>561.52721354000573</v>
      </c>
      <c r="CD40" s="59">
        <f ca="1">AVERAGE(OFFSET($CC$3,0,0,'Données projet'!$E$12+1,1))-AVERAGE(OFFSET($H$3,0,0,'Données projet'!$E$12+1,1))</f>
        <v>312.29056285877169</v>
      </c>
      <c r="CE40" s="59">
        <f t="shared" si="40"/>
        <v>233.85454224241693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5.3369963369963358</v>
      </c>
      <c r="CT40" s="12">
        <f>IF('Données projet'!$A$140&gt;35,CT39+CS40-DB39,IF(A40&lt;'Données projet'!$A$140,$CQ$205^A40,IF(A40='Données projet'!$A$140,'Données projet'!$B$140,CT39+CS40-DB39)))</f>
        <v>125.06410256410255</v>
      </c>
      <c r="CU40" s="17">
        <f>CT40*VLOOKUP('Données projet'!$B$13,Paramètres!$A$1:$I$89,3,0)*VLOOKUP('Données projet'!$B$13,Paramètres!$A$1:$I$89,5,0)</f>
        <v>142.42299999999997</v>
      </c>
      <c r="CV40" s="13">
        <f t="shared" si="41"/>
        <v>36.851525224664805</v>
      </c>
      <c r="CW40" s="20">
        <f t="shared" si="13"/>
        <v>312.23646476629119</v>
      </c>
      <c r="CX40" s="59">
        <f t="shared" si="14"/>
        <v>605.56979809962445</v>
      </c>
      <c r="CY40" s="59">
        <f ca="1">AVERAGE(OFFSET($CX$3,0,0,'Données projet'!$E$13+1,1))-AVERAGE(OFFSET($H$3,0,0,'Données projet'!$E$13+1,1))</f>
        <v>292.22737648725354</v>
      </c>
      <c r="CZ40" s="59">
        <f t="shared" si="42"/>
        <v>182.84038581199871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5.3369963369963358</v>
      </c>
      <c r="DO40" s="12">
        <f>IF('Données projet'!$A$166&gt;35,DO39+DN40-DW39,IF(A40&lt;'Données projet'!$A$166,$DL$205^A40,IF(A40='Données projet'!$A$166,'Données projet'!$B$166,DO39+DN40-DW39)))</f>
        <v>125.06410256410255</v>
      </c>
      <c r="DP40" s="17">
        <f>DO40*VLOOKUP('Données projet'!$B$14,Paramètres!$A$1:$I$89,3,0)*VLOOKUP('Données projet'!$B$14,Paramètres!$A$1:$I$89,5,0)</f>
        <v>136.57</v>
      </c>
      <c r="DQ40" s="13">
        <f t="shared" si="43"/>
        <v>35.510109888911153</v>
      </c>
      <c r="DR40" s="20">
        <f t="shared" si="16"/>
        <v>299.70619138985359</v>
      </c>
      <c r="DS40" s="59">
        <f t="shared" si="17"/>
        <v>593.0395247231869</v>
      </c>
      <c r="DT40" s="59">
        <f ca="1">AVERAGE(OFFSET($DS$3,0,0,'Données projet'!$E$14+1,1))-AVERAGE(OFFSET($H$3,0,0,'Données projet'!$E$14+1,1))</f>
        <v>276.52126514622455</v>
      </c>
      <c r="DU40" s="59">
        <f t="shared" si="44"/>
        <v>173.98404849503186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5.3369963369963358</v>
      </c>
      <c r="EJ40" s="12">
        <f>IF('Données projet'!$A$192&gt;35,EJ39+EI40-ER39,IF(A40&lt;'Données projet'!$A$192,$EG$205^A40,IF(A40='Données projet'!$A$192,'Données projet'!$B$192,EJ39+EI40-ER39)))</f>
        <v>125.06410256410255</v>
      </c>
      <c r="EK40" s="17">
        <f>EJ40*VLOOKUP('Données projet'!$B$15,Paramètres!$A$1:$I$89,3,0)*VLOOKUP('Données projet'!$B$15,Paramètres!$A$1:$I$89,5,0)</f>
        <v>120.96199999999999</v>
      </c>
      <c r="EL40" s="13">
        <f t="shared" si="45"/>
        <v>31.899265622635451</v>
      </c>
      <c r="EM40" s="20">
        <f t="shared" si="19"/>
        <v>266.23337095942338</v>
      </c>
      <c r="EN40" s="59">
        <f t="shared" si="20"/>
        <v>559.56670429275664</v>
      </c>
      <c r="EO40" s="59">
        <f ca="1">AVERAGE(OFFSET($EN$3,0,0,'Données projet'!$E$15+1,1))-AVERAGE(OFFSET($H$3,0,0,'Données projet'!$E$15+1,1))</f>
        <v>234.56750794375012</v>
      </c>
      <c r="EP40" s="59">
        <f t="shared" si="46"/>
        <v>150.32420541314724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16.131410256410259</v>
      </c>
      <c r="N41" s="13">
        <f>IF('Données projet'!$A$36&gt;35,N40+M41-V40,IF(A41&lt;'Données projet'!$A$36,$K$205^A41,IF(A41='Données projet'!$A$36,'Données projet'!$B$36,N40+M41-V40)))</f>
        <v>345.8435897435898</v>
      </c>
      <c r="O41" s="13">
        <f>N41*VLOOKUP('Données projet'!$B$9,Paramètres!$A$1:$I$89,3,0)*VLOOKUP('Données projet'!$B$9,Paramètres!$A$1:$I$89,5,0)</f>
        <v>161.85480000000001</v>
      </c>
      <c r="P41" s="13">
        <f t="shared" si="33"/>
        <v>41.260589676862445</v>
      </c>
      <c r="Q41" s="20">
        <f t="shared" si="53"/>
        <v>353.75930368720213</v>
      </c>
      <c r="R41" s="59">
        <f t="shared" si="0"/>
        <v>647.09263702053545</v>
      </c>
      <c r="S41" s="59">
        <f ca="1">AVERAGE(OFFSET($R$3,0,0,'Données projet'!$E$9+1,1))-AVERAGE(OFFSET($H$3,0,0,'Données projet'!$E$9+1,1))</f>
        <v>198.17898804494365</v>
      </c>
      <c r="T41" s="59">
        <f t="shared" si="34"/>
        <v>186.24772922797723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278.21846622758881</v>
      </c>
      <c r="AO41" s="59">
        <f t="shared" si="36"/>
        <v>245.37578316242906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9.3141025641025621</v>
      </c>
      <c r="BD41" s="12">
        <f>IF('Données projet'!$A$88&gt;35,BD40+BC41-BL40,IF(A41&lt;'Données projet'!$A$88,$BA$205^A41,IF(A41='Données projet'!$A$88,'Données projet'!$B$88,BD40+BC41-BL40)))</f>
        <v>129.50641025641028</v>
      </c>
      <c r="BE41" s="13">
        <f>BD41*VLOOKUP('Données projet'!$B$11,Paramètres!$A$1:$I$89,3,0)*VLOOKUP('Données projet'!$B$11,Paramètres!$A$1:$I$89,5,0)</f>
        <v>117.17740000000002</v>
      </c>
      <c r="BF41" s="13">
        <f t="shared" si="37"/>
        <v>31.015764986886897</v>
      </c>
      <c r="BG41" s="20">
        <f t="shared" si="7"/>
        <v>258.10309568549474</v>
      </c>
      <c r="BH41" s="59">
        <f t="shared" si="8"/>
        <v>551.43642901882799</v>
      </c>
      <c r="BI41" s="59">
        <f ca="1">AVERAGE(OFFSET($BH$3,0,0,'Données projet'!$E$11+1,1))-AVERAGE(OFFSET($H$3,0,0,'Données projet'!$E$11+1,1))</f>
        <v>270.87836509222456</v>
      </c>
      <c r="BJ41" s="59">
        <f t="shared" si="38"/>
        <v>205.24998237949734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9.3141025641025621</v>
      </c>
      <c r="BY41" s="12">
        <f>IF('Données projet'!$A$114&gt;35,BY40+BX41-CG40,IF(A41&lt;'Données projet'!$A$114,$BV$205^A41,IF(A41='Données projet'!$A$114,'Données projet'!$B$114,BY40+BX41-CG40)))</f>
        <v>129.50641025641028</v>
      </c>
      <c r="BZ41" s="13">
        <f>BY41*VLOOKUP('Données projet'!$B$12,Paramètres!$A$1:$I$89,3,0)*VLOOKUP('Données projet'!$B$12,Paramètres!$A$1:$I$89,5,0)</f>
        <v>131.31950000000003</v>
      </c>
      <c r="CA41" s="13">
        <f t="shared" si="39"/>
        <v>34.301077605333901</v>
      </c>
      <c r="CB41" s="20">
        <f t="shared" si="10"/>
        <v>288.45583932928992</v>
      </c>
      <c r="CC41" s="59">
        <f t="shared" si="11"/>
        <v>581.78917266262329</v>
      </c>
      <c r="CD41" s="59">
        <f ca="1">AVERAGE(OFFSET($CC$3,0,0,'Données projet'!$E$12+1,1))-AVERAGE(OFFSET($H$3,0,0,'Données projet'!$E$12+1,1))</f>
        <v>312.29056285877169</v>
      </c>
      <c r="CE41" s="59">
        <f t="shared" si="40"/>
        <v>233.85454224241693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5.3369963369963358</v>
      </c>
      <c r="CT41" s="12">
        <f>IF('Données projet'!$A$140&gt;35,CT40+CS41-DB40,IF(A41&lt;'Données projet'!$A$140,$CQ$205^A41,IF(A41='Données projet'!$A$140,'Données projet'!$B$140,CT40+CS41-DB40)))</f>
        <v>130.40109890109889</v>
      </c>
      <c r="CU41" s="17">
        <f>CT41*VLOOKUP('Données projet'!$B$13,Paramètres!$A$1:$I$89,3,0)*VLOOKUP('Données projet'!$B$13,Paramètres!$A$1:$I$89,5,0)</f>
        <v>148.50077142857143</v>
      </c>
      <c r="CV41" s="13">
        <f t="shared" si="41"/>
        <v>38.237681618776087</v>
      </c>
      <c r="CW41" s="20">
        <f t="shared" si="13"/>
        <v>325.23613905746362</v>
      </c>
      <c r="CX41" s="59">
        <f t="shared" si="14"/>
        <v>618.56947239079693</v>
      </c>
      <c r="CY41" s="59">
        <f ca="1">AVERAGE(OFFSET($CX$3,0,0,'Données projet'!$E$13+1,1))-AVERAGE(OFFSET($H$3,0,0,'Données projet'!$E$13+1,1))</f>
        <v>292.22737648725354</v>
      </c>
      <c r="CZ41" s="59">
        <f t="shared" si="42"/>
        <v>182.84038581199871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5.3369963369963358</v>
      </c>
      <c r="DO41" s="12">
        <f>IF('Données projet'!$A$166&gt;35,DO40+DN41-DW40,IF(A41&lt;'Données projet'!$A$166,$DL$205^A41,IF(A41='Données projet'!$A$166,'Données projet'!$B$166,DO40+DN41-DW40)))</f>
        <v>130.40109890109889</v>
      </c>
      <c r="DP41" s="17">
        <f>DO41*VLOOKUP('Données projet'!$B$14,Paramètres!$A$1:$I$89,3,0)*VLOOKUP('Données projet'!$B$14,Paramètres!$A$1:$I$89,5,0)</f>
        <v>142.398</v>
      </c>
      <c r="DQ41" s="13">
        <f t="shared" si="43"/>
        <v>36.845809444846019</v>
      </c>
      <c r="DR41" s="20">
        <f t="shared" si="16"/>
        <v>312.18296811644018</v>
      </c>
      <c r="DS41" s="59">
        <f t="shared" si="17"/>
        <v>605.51630144977344</v>
      </c>
      <c r="DT41" s="59">
        <f ca="1">AVERAGE(OFFSET($DS$3,0,0,'Données projet'!$E$14+1,1))-AVERAGE(OFFSET($H$3,0,0,'Données projet'!$E$14+1,1))</f>
        <v>276.52126514622455</v>
      </c>
      <c r="DU41" s="59">
        <f t="shared" si="44"/>
        <v>173.98404849503186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5.3369963369963358</v>
      </c>
      <c r="EJ41" s="12">
        <f>IF('Données projet'!$A$192&gt;35,EJ40+EI41-ER40,IF(A41&lt;'Données projet'!$A$192,$EG$205^A41,IF(A41='Données projet'!$A$192,'Données projet'!$B$192,EJ40+EI41-ER40)))</f>
        <v>130.40109890109889</v>
      </c>
      <c r="EK41" s="17">
        <f>EJ41*VLOOKUP('Données projet'!$B$15,Paramètres!$A$1:$I$89,3,0)*VLOOKUP('Données projet'!$B$15,Paramètres!$A$1:$I$89,5,0)</f>
        <v>126.12394285714285</v>
      </c>
      <c r="EL41" s="13">
        <f t="shared" si="45"/>
        <v>33.099144616535966</v>
      </c>
      <c r="EM41" s="20">
        <f t="shared" si="19"/>
        <v>277.31354401665726</v>
      </c>
      <c r="EN41" s="59">
        <f t="shared" si="20"/>
        <v>570.64687734999052</v>
      </c>
      <c r="EO41" s="59">
        <f ca="1">AVERAGE(OFFSET($EN$3,0,0,'Données projet'!$E$15+1,1))-AVERAGE(OFFSET($H$3,0,0,'Données projet'!$E$15+1,1))</f>
        <v>234.56750794375012</v>
      </c>
      <c r="EP41" s="59">
        <f t="shared" si="46"/>
        <v>150.32420541314724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16.131410256410259</v>
      </c>
      <c r="N42" s="13">
        <f>IF('Données projet'!$A$36&gt;35,N41+M42-V41,IF(A42&lt;'Données projet'!$A$36,$K$205^A42,IF(A42='Données projet'!$A$36,'Données projet'!$B$36,N41+M42-V41)))</f>
        <v>361.97500000000008</v>
      </c>
      <c r="O42" s="13">
        <f>N42*VLOOKUP('Données projet'!$B$9,Paramètres!$A$1:$I$89,3,0)*VLOOKUP('Données projet'!$B$9,Paramètres!$A$1:$I$89,5,0)</f>
        <v>169.40430000000006</v>
      </c>
      <c r="P42" s="13">
        <f t="shared" si="33"/>
        <v>42.956579357099159</v>
      </c>
      <c r="Q42" s="20">
        <f t="shared" si="53"/>
        <v>369.86186488028119</v>
      </c>
      <c r="R42" s="59">
        <f t="shared" si="0"/>
        <v>663.1951982136145</v>
      </c>
      <c r="S42" s="59">
        <f ca="1">AVERAGE(OFFSET($R$3,0,0,'Données projet'!$E$9+1,1))-AVERAGE(OFFSET($H$3,0,0,'Données projet'!$E$9+1,1))</f>
        <v>198.17898804494365</v>
      </c>
      <c r="T42" s="59">
        <f t="shared" si="34"/>
        <v>186.24772922797723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278.21846622758881</v>
      </c>
      <c r="AO42" s="59">
        <f t="shared" si="36"/>
        <v>245.37578316242906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9.3141025641025621</v>
      </c>
      <c r="BD42" s="12">
        <f>IF('Données projet'!$A$88&gt;35,BD41+BC42-BL41,IF(A42&lt;'Données projet'!$A$88,$BA$205^A42,IF(A42='Données projet'!$A$88,'Données projet'!$B$88,BD41+BC42-BL41)))</f>
        <v>138.82051282051285</v>
      </c>
      <c r="BE42" s="13">
        <f>BD42*VLOOKUP('Données projet'!$B$11,Paramètres!$A$1:$I$89,3,0)*VLOOKUP('Données projet'!$B$11,Paramètres!$A$1:$I$89,5,0)</f>
        <v>125.60480000000001</v>
      </c>
      <c r="BF42" s="13">
        <f t="shared" si="37"/>
        <v>32.978733659615138</v>
      </c>
      <c r="BG42" s="20">
        <f t="shared" si="7"/>
        <v>276.19965445716304</v>
      </c>
      <c r="BH42" s="59">
        <f t="shared" si="8"/>
        <v>569.53298779049635</v>
      </c>
      <c r="BI42" s="59">
        <f ca="1">AVERAGE(OFFSET($BH$3,0,0,'Données projet'!$E$11+1,1))-AVERAGE(OFFSET($H$3,0,0,'Données projet'!$E$11+1,1))</f>
        <v>270.87836509222456</v>
      </c>
      <c r="BJ42" s="59">
        <f t="shared" si="38"/>
        <v>205.24998237949734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9.3141025641025621</v>
      </c>
      <c r="BY42" s="12">
        <f>IF('Données projet'!$A$114&gt;35,BY41+BX42-CG41,IF(A42&lt;'Données projet'!$A$114,$BV$205^A42,IF(A42='Données projet'!$A$114,'Données projet'!$B$114,BY41+BX42-CG41)))</f>
        <v>138.82051282051285</v>
      </c>
      <c r="BZ42" s="13">
        <f>BY42*VLOOKUP('Données projet'!$B$12,Paramètres!$A$1:$I$89,3,0)*VLOOKUP('Données projet'!$B$12,Paramètres!$A$1:$I$89,5,0)</f>
        <v>140.76400000000004</v>
      </c>
      <c r="CA42" s="13">
        <f t="shared" si="39"/>
        <v>36.471971691246594</v>
      </c>
      <c r="CB42" s="20">
        <f t="shared" si="10"/>
        <v>308.68598402892115</v>
      </c>
      <c r="CC42" s="59">
        <f t="shared" si="11"/>
        <v>602.01931736225447</v>
      </c>
      <c r="CD42" s="59">
        <f ca="1">AVERAGE(OFFSET($CC$3,0,0,'Données projet'!$E$12+1,1))-AVERAGE(OFFSET($H$3,0,0,'Données projet'!$E$12+1,1))</f>
        <v>312.29056285877169</v>
      </c>
      <c r="CE42" s="59">
        <f t="shared" si="40"/>
        <v>233.85454224241693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5.3369963369963358</v>
      </c>
      <c r="CT42" s="12">
        <f>IF('Données projet'!$A$140&gt;35,CT41+CS42-DB41,IF(A42&lt;'Données projet'!$A$140,$CQ$205^A42,IF(A42='Données projet'!$A$140,'Données projet'!$B$140,CT41+CS42-DB41)))</f>
        <v>135.73809523809524</v>
      </c>
      <c r="CU42" s="17">
        <f>CT42*VLOOKUP('Données projet'!$B$13,Paramètres!$A$1:$I$89,3,0)*VLOOKUP('Données projet'!$B$13,Paramètres!$A$1:$I$89,5,0)</f>
        <v>154.57854285714288</v>
      </c>
      <c r="CV42" s="13">
        <f t="shared" si="41"/>
        <v>39.617248173007425</v>
      </c>
      <c r="CW42" s="20">
        <f t="shared" si="13"/>
        <v>338.22433604417841</v>
      </c>
      <c r="CX42" s="59">
        <f t="shared" si="14"/>
        <v>631.55766937751173</v>
      </c>
      <c r="CY42" s="59">
        <f ca="1">AVERAGE(OFFSET($CX$3,0,0,'Données projet'!$E$13+1,1))-AVERAGE(OFFSET($H$3,0,0,'Données projet'!$E$13+1,1))</f>
        <v>292.22737648725354</v>
      </c>
      <c r="CZ42" s="59">
        <f t="shared" si="42"/>
        <v>182.84038581199871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5.3369963369963358</v>
      </c>
      <c r="DO42" s="12">
        <f>IF('Données projet'!$A$166&gt;35,DO41+DN42-DW41,IF(A42&lt;'Données projet'!$A$166,$DL$205^A42,IF(A42='Données projet'!$A$166,'Données projet'!$B$166,DO41+DN42-DW41)))</f>
        <v>135.73809523809524</v>
      </c>
      <c r="DP42" s="17">
        <f>DO42*VLOOKUP('Données projet'!$B$14,Paramètres!$A$1:$I$89,3,0)*VLOOKUP('Données projet'!$B$14,Paramètres!$A$1:$I$89,5,0)</f>
        <v>148.226</v>
      </c>
      <c r="DQ42" s="13">
        <f t="shared" si="43"/>
        <v>38.175159034616406</v>
      </c>
      <c r="DR42" s="20">
        <f t="shared" si="16"/>
        <v>324.64868531862356</v>
      </c>
      <c r="DS42" s="59">
        <f t="shared" si="17"/>
        <v>617.98201865195688</v>
      </c>
      <c r="DT42" s="59">
        <f ca="1">AVERAGE(OFFSET($DS$3,0,0,'Données projet'!$E$14+1,1))-AVERAGE(OFFSET($H$3,0,0,'Données projet'!$E$14+1,1))</f>
        <v>276.52126514622455</v>
      </c>
      <c r="DU42" s="59">
        <f t="shared" si="44"/>
        <v>173.98404849503186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5.3369963369963358</v>
      </c>
      <c r="EJ42" s="12">
        <f>IF('Données projet'!$A$192&gt;35,EJ41+EI42-ER41,IF(A42&lt;'Données projet'!$A$192,$EG$205^A42,IF(A42='Données projet'!$A$192,'Données projet'!$B$192,EJ41+EI42-ER41)))</f>
        <v>135.73809523809524</v>
      </c>
      <c r="EK42" s="17">
        <f>EJ42*VLOOKUP('Données projet'!$B$15,Paramètres!$A$1:$I$89,3,0)*VLOOKUP('Données projet'!$B$15,Paramètres!$A$1:$I$89,5,0)</f>
        <v>131.28588571428571</v>
      </c>
      <c r="EL42" s="13">
        <f t="shared" si="45"/>
        <v>34.293319340356497</v>
      </c>
      <c r="EM42" s="20">
        <f t="shared" si="19"/>
        <v>288.38378213683524</v>
      </c>
      <c r="EN42" s="59">
        <f t="shared" si="20"/>
        <v>581.71711547016855</v>
      </c>
      <c r="EO42" s="59">
        <f ca="1">AVERAGE(OFFSET($EN$3,0,0,'Données projet'!$E$15+1,1))-AVERAGE(OFFSET($H$3,0,0,'Données projet'!$E$15+1,1))</f>
        <v>234.56750794375012</v>
      </c>
      <c r="EP42" s="59">
        <f t="shared" si="46"/>
        <v>150.32420541314724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16.131410256410259</v>
      </c>
      <c r="N43" s="13">
        <f>IF('Données projet'!$A$36&gt;35,N42+M43-V42,IF(A43&lt;'Données projet'!$A$36,$K$205^A43,IF(A43='Données projet'!$A$36,'Données projet'!$B$36,N42+M43-V42)))</f>
        <v>378.10641025641036</v>
      </c>
      <c r="O43" s="13">
        <f>N43*VLOOKUP('Données projet'!$B$9,Paramètres!$A$1:$I$89,3,0)*VLOOKUP('Données projet'!$B$9,Paramètres!$A$1:$I$89,5,0)</f>
        <v>176.95380000000006</v>
      </c>
      <c r="P43" s="13">
        <f t="shared" si="33"/>
        <v>44.643791032081154</v>
      </c>
      <c r="Q43" s="20">
        <f t="shared" si="53"/>
        <v>385.94913771420806</v>
      </c>
      <c r="R43" s="59">
        <f t="shared" si="0"/>
        <v>679.28247104754132</v>
      </c>
      <c r="S43" s="59">
        <f ca="1">AVERAGE(OFFSET($R$3,0,0,'Données projet'!$E$9+1,1))-AVERAGE(OFFSET($H$3,0,0,'Données projet'!$E$9+1,1))</f>
        <v>198.17898804494365</v>
      </c>
      <c r="T43" s="59">
        <f t="shared" si="34"/>
        <v>186.24772922797723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278.21846622758881</v>
      </c>
      <c r="AO43" s="59">
        <f t="shared" si="36"/>
        <v>245.37578316242906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9.3141025641025621</v>
      </c>
      <c r="BD43" s="12">
        <f>IF('Données projet'!$A$88&gt;35,BD42+BC43-BL42,IF(A43&lt;'Données projet'!$A$88,$BA$205^A43,IF(A43='Données projet'!$A$88,'Données projet'!$B$88,BD42+BC43-BL42)))</f>
        <v>148.13461538461542</v>
      </c>
      <c r="BE43" s="13">
        <f>BD43*VLOOKUP('Données projet'!$B$11,Paramètres!$A$1:$I$89,3,0)*VLOOKUP('Données projet'!$B$11,Paramètres!$A$1:$I$89,5,0)</f>
        <v>134.03220000000002</v>
      </c>
      <c r="BF43" s="13">
        <f t="shared" si="37"/>
        <v>34.926419532696755</v>
      </c>
      <c r="BG43" s="20">
        <f t="shared" si="7"/>
        <v>294.26959568611358</v>
      </c>
      <c r="BH43" s="59">
        <f t="shared" si="8"/>
        <v>587.60292901944695</v>
      </c>
      <c r="BI43" s="59">
        <f ca="1">AVERAGE(OFFSET($BH$3,0,0,'Données projet'!$E$11+1,1))-AVERAGE(OFFSET($H$3,0,0,'Données projet'!$E$11+1,1))</f>
        <v>270.87836509222456</v>
      </c>
      <c r="BJ43" s="59">
        <f t="shared" si="38"/>
        <v>205.24998237949734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9.3141025641025621</v>
      </c>
      <c r="BY43" s="12">
        <f>IF('Données projet'!$A$114&gt;35,BY42+BX43-CG42,IF(A43&lt;'Données projet'!$A$114,$BV$205^A43,IF(A43='Données projet'!$A$114,'Données projet'!$B$114,BY42+BX43-CG42)))</f>
        <v>148.13461538461542</v>
      </c>
      <c r="BZ43" s="13">
        <f>BY43*VLOOKUP('Données projet'!$B$12,Paramètres!$A$1:$I$89,3,0)*VLOOKUP('Données projet'!$B$12,Paramètres!$A$1:$I$89,5,0)</f>
        <v>150.20850000000004</v>
      </c>
      <c r="CA43" s="13">
        <f t="shared" si="39"/>
        <v>38.625964162869636</v>
      </c>
      <c r="CB43" s="20">
        <f t="shared" si="10"/>
        <v>328.88669175033129</v>
      </c>
      <c r="CC43" s="59">
        <f t="shared" si="11"/>
        <v>622.22002508366461</v>
      </c>
      <c r="CD43" s="59">
        <f ca="1">AVERAGE(OFFSET($CC$3,0,0,'Données projet'!$E$12+1,1))-AVERAGE(OFFSET($H$3,0,0,'Données projet'!$E$12+1,1))</f>
        <v>312.29056285877169</v>
      </c>
      <c r="CE43" s="59">
        <f t="shared" si="40"/>
        <v>233.85454224241693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5.3369963369963358</v>
      </c>
      <c r="CT43" s="12">
        <f>IF('Données projet'!$A$140&gt;35,CT42+CS43-DB42,IF(A43&lt;'Données projet'!$A$140,$CQ$205^A43,IF(A43='Données projet'!$A$140,'Données projet'!$B$140,CT42+CS43-DB42)))</f>
        <v>141.07509157509156</v>
      </c>
      <c r="CU43" s="17">
        <f>CT43*VLOOKUP('Données projet'!$B$13,Paramètres!$A$1:$I$89,3,0)*VLOOKUP('Données projet'!$B$13,Paramètres!$A$1:$I$89,5,0)</f>
        <v>160.65631428571427</v>
      </c>
      <c r="CV43" s="13">
        <f t="shared" si="41"/>
        <v>40.990513638978975</v>
      </c>
      <c r="CW43" s="20">
        <f t="shared" si="13"/>
        <v>351.20155863550735</v>
      </c>
      <c r="CX43" s="59">
        <f t="shared" si="14"/>
        <v>644.53489196884061</v>
      </c>
      <c r="CY43" s="59">
        <f ca="1">AVERAGE(OFFSET($CX$3,0,0,'Données projet'!$E$13+1,1))-AVERAGE(OFFSET($H$3,0,0,'Données projet'!$E$13+1,1))</f>
        <v>292.22737648725354</v>
      </c>
      <c r="CZ43" s="59">
        <f t="shared" si="42"/>
        <v>182.84038581199871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5.3369963369963358</v>
      </c>
      <c r="DO43" s="12">
        <f>IF('Données projet'!$A$166&gt;35,DO42+DN43-DW42,IF(A43&lt;'Données projet'!$A$166,$DL$205^A43,IF(A43='Données projet'!$A$166,'Données projet'!$B$166,DO42+DN43-DW42)))</f>
        <v>141.07509157509156</v>
      </c>
      <c r="DP43" s="17">
        <f>DO43*VLOOKUP('Données projet'!$B$14,Paramètres!$A$1:$I$89,3,0)*VLOOKUP('Données projet'!$B$14,Paramètres!$A$1:$I$89,5,0)</f>
        <v>154.054</v>
      </c>
      <c r="DQ43" s="13">
        <f t="shared" si="43"/>
        <v>39.498436899128215</v>
      </c>
      <c r="DR43" s="20">
        <f t="shared" si="16"/>
        <v>337.10382759931491</v>
      </c>
      <c r="DS43" s="59">
        <f t="shared" si="17"/>
        <v>630.43716093264823</v>
      </c>
      <c r="DT43" s="59">
        <f ca="1">AVERAGE(OFFSET($DS$3,0,0,'Données projet'!$E$14+1,1))-AVERAGE(OFFSET($H$3,0,0,'Données projet'!$E$14+1,1))</f>
        <v>276.52126514622455</v>
      </c>
      <c r="DU43" s="59">
        <f t="shared" si="44"/>
        <v>173.98404849503186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5.3369963369963358</v>
      </c>
      <c r="EJ43" s="12">
        <f>IF('Données projet'!$A$192&gt;35,EJ42+EI43-ER42,IF(A43&lt;'Données projet'!$A$192,$EG$205^A43,IF(A43='Données projet'!$A$192,'Données projet'!$B$192,EJ42+EI43-ER42)))</f>
        <v>141.07509157509156</v>
      </c>
      <c r="EK43" s="17">
        <f>EJ43*VLOOKUP('Données projet'!$B$15,Paramètres!$A$1:$I$89,3,0)*VLOOKUP('Données projet'!$B$15,Paramètres!$A$1:$I$89,5,0)</f>
        <v>136.44782857142857</v>
      </c>
      <c r="EL43" s="13">
        <f t="shared" si="45"/>
        <v>35.482039742086272</v>
      </c>
      <c r="EM43" s="20">
        <f t="shared" si="19"/>
        <v>299.44452064603837</v>
      </c>
      <c r="EN43" s="59">
        <f t="shared" si="20"/>
        <v>592.77785397937168</v>
      </c>
      <c r="EO43" s="59">
        <f ca="1">AVERAGE(OFFSET($EN$3,0,0,'Données projet'!$E$15+1,1))-AVERAGE(OFFSET($H$3,0,0,'Données projet'!$E$15+1,1))</f>
        <v>234.56750794375012</v>
      </c>
      <c r="EP43" s="59">
        <f t="shared" si="46"/>
        <v>150.32420541314724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16.131410256410259</v>
      </c>
      <c r="N44" s="13">
        <f>IF('Données projet'!$A$36&gt;35,N43+M44-V43,IF(A44&lt;'Données projet'!$A$36,$K$205^A44,IF(A44='Données projet'!$A$36,'Données projet'!$B$36,N43+M44-V43)))</f>
        <v>394.23782051282063</v>
      </c>
      <c r="O44" s="13">
        <f>N44*VLOOKUP('Données projet'!$B$9,Paramètres!$A$1:$I$89,3,0)*VLOOKUP('Données projet'!$B$9,Paramètres!$A$1:$I$89,5,0)</f>
        <v>184.50330000000005</v>
      </c>
      <c r="P44" s="13">
        <f t="shared" si="33"/>
        <v>46.32264201774467</v>
      </c>
      <c r="Q44" s="20">
        <f t="shared" si="53"/>
        <v>402.02184901423874</v>
      </c>
      <c r="R44" s="59">
        <f t="shared" si="0"/>
        <v>695.35518234757205</v>
      </c>
      <c r="S44" s="59">
        <f ca="1">AVERAGE(OFFSET($R$3,0,0,'Données projet'!$E$9+1,1))-AVERAGE(OFFSET($H$3,0,0,'Données projet'!$E$9+1,1))</f>
        <v>198.17898804494365</v>
      </c>
      <c r="T44" s="59">
        <f t="shared" si="34"/>
        <v>186.24772922797723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278.21846622758881</v>
      </c>
      <c r="AO44" s="59">
        <f t="shared" si="36"/>
        <v>245.37578316242906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157.44871794871796</v>
      </c>
      <c r="BB44" s="12">
        <f>VLOOKUP(A44,'Données projet'!$A$87:$I$107,9,0)</f>
        <v>9.3141025641025621</v>
      </c>
      <c r="BC44" s="12">
        <f t="array" ref="BC44">INDEX(BB:BB,MIN(IF(ISNUMBER(BB44:BB240),ROW(BB44:BB240),"")))</f>
        <v>9.3141025641025621</v>
      </c>
      <c r="BD44" s="12">
        <f>IF('Données projet'!$A$88&gt;35,BD43+BC44-BL43,IF(A44&lt;'Données projet'!$A$88,$BA$205^A44,IF(A44='Données projet'!$A$88,'Données projet'!$B$88,BD43+BC44-BL43)))</f>
        <v>157.44871794871798</v>
      </c>
      <c r="BE44" s="13">
        <f>BD44*VLOOKUP('Données projet'!$B$11,Paramètres!$A$1:$I$89,3,0)*VLOOKUP('Données projet'!$B$11,Paramètres!$A$1:$I$89,5,0)</f>
        <v>142.45960000000002</v>
      </c>
      <c r="BF44" s="13">
        <f t="shared" si="37"/>
        <v>36.859892915688405</v>
      </c>
      <c r="BG44" s="20">
        <f t="shared" si="7"/>
        <v>312.31478349482404</v>
      </c>
      <c r="BH44" s="59">
        <f t="shared" si="8"/>
        <v>605.6481168281573</v>
      </c>
      <c r="BI44" s="59">
        <f ca="1">AVERAGE(OFFSET($BH$3,0,0,'Données projet'!$E$11+1,1))-AVERAGE(OFFSET($H$3,0,0,'Données projet'!$E$11+1,1))</f>
        <v>270.87836509222456</v>
      </c>
      <c r="BJ44" s="59">
        <f t="shared" si="38"/>
        <v>205.24998237949734</v>
      </c>
      <c r="BK44" s="15">
        <f>IF(ISNA(VLOOKUP(A44,'Données projet'!$A$87:$I$107,3,0)),0,VLOOKUP(A44,'Données projet'!$A$87:$I$107,3,0))</f>
        <v>2</v>
      </c>
      <c r="BL44" s="15">
        <f>IF(ISNA(VLOOKUP(A44,'Données projet'!$A$87:$I$107,4,0)),0,VLOOKUP(A44,'Données projet'!$A$87:$I$107,4,0))</f>
        <v>38.512820512820511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157.44871794871796</v>
      </c>
      <c r="BW44" s="12">
        <f>VLOOKUP(A44,'Données projet'!$A$113:$I$133,9,0)</f>
        <v>9.3141025641025621</v>
      </c>
      <c r="BX44" s="12">
        <f t="array" ref="BX44">INDEX(BW:BW,MIN(IF(ISNUMBER(BW44:BW240),ROW(BW44:BW240),"")))</f>
        <v>9.3141025641025621</v>
      </c>
      <c r="BY44" s="12">
        <f>IF('Données projet'!$A$114&gt;35,BY43+BX44-CG43,IF(A44&lt;'Données projet'!$A$114,$BV$205^A44,IF(A44='Données projet'!$A$114,'Données projet'!$B$114,BY43+BX44-CG43)))</f>
        <v>157.44871794871798</v>
      </c>
      <c r="BZ44" s="13">
        <f>BY44*VLOOKUP('Données projet'!$B$12,Paramètres!$A$1:$I$89,3,0)*VLOOKUP('Données projet'!$B$12,Paramètres!$A$1:$I$89,5,0)</f>
        <v>159.65300000000005</v>
      </c>
      <c r="CA44" s="13">
        <f t="shared" si="39"/>
        <v>40.764238701185349</v>
      </c>
      <c r="CB44" s="20">
        <f t="shared" si="10"/>
        <v>349.06002407123123</v>
      </c>
      <c r="CC44" s="59">
        <f t="shared" si="11"/>
        <v>642.39335740456454</v>
      </c>
      <c r="CD44" s="59">
        <f ca="1">AVERAGE(OFFSET($CC$3,0,0,'Données projet'!$E$12+1,1))-AVERAGE(OFFSET($H$3,0,0,'Données projet'!$E$12+1,1))</f>
        <v>312.29056285877169</v>
      </c>
      <c r="CE44" s="59">
        <f t="shared" si="40"/>
        <v>233.85454224241693</v>
      </c>
      <c r="CF44" s="15">
        <f>IF(ISNA(VLOOKUP(A44,'Données projet'!$A$113:$I$133,3,0)),0,VLOOKUP(A44,'Données projet'!$A$113:$I$133,3,0))</f>
        <v>2</v>
      </c>
      <c r="CG44" s="15">
        <f>IF(ISNA(VLOOKUP(A44,'Données projet'!$A$113:$I$133,4,0)),0,VLOOKUP(A44,'Données projet'!$A$113:$I$133,4,0))</f>
        <v>38.512820512820511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5.3369963369963358</v>
      </c>
      <c r="CT44" s="12">
        <f>IF('Données projet'!$A$140&gt;35,CT43+CS44-DB43,IF(A44&lt;'Données projet'!$A$140,$CQ$205^A44,IF(A44='Données projet'!$A$140,'Données projet'!$B$140,CT43+CS44-DB43)))</f>
        <v>146.41208791208788</v>
      </c>
      <c r="CU44" s="17">
        <f>CT44*VLOOKUP('Données projet'!$B$13,Paramètres!$A$1:$I$89,3,0)*VLOOKUP('Données projet'!$B$13,Paramètres!$A$1:$I$89,5,0)</f>
        <v>166.7340857142857</v>
      </c>
      <c r="CV44" s="13">
        <f t="shared" si="41"/>
        <v>42.357743683330547</v>
      </c>
      <c r="CW44" s="20">
        <f t="shared" si="13"/>
        <v>364.16826953418155</v>
      </c>
      <c r="CX44" s="59">
        <f t="shared" si="14"/>
        <v>657.50160286751486</v>
      </c>
      <c r="CY44" s="59">
        <f ca="1">AVERAGE(OFFSET($CX$3,0,0,'Données projet'!$E$13+1,1))-AVERAGE(OFFSET($H$3,0,0,'Données projet'!$E$13+1,1))</f>
        <v>292.22737648725354</v>
      </c>
      <c r="CZ44" s="59">
        <f t="shared" si="42"/>
        <v>182.84038581199871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5.3369963369963358</v>
      </c>
      <c r="DO44" s="12">
        <f>IF('Données projet'!$A$166&gt;35,DO43+DN44-DW43,IF(A44&lt;'Données projet'!$A$166,$DL$205^A44,IF(A44='Données projet'!$A$166,'Données projet'!$B$166,DO43+DN44-DW43)))</f>
        <v>146.41208791208788</v>
      </c>
      <c r="DP44" s="17">
        <f>DO44*VLOOKUP('Données projet'!$B$14,Paramètres!$A$1:$I$89,3,0)*VLOOKUP('Données projet'!$B$14,Paramètres!$A$1:$I$89,5,0)</f>
        <v>159.88199999999995</v>
      </c>
      <c r="DQ44" s="13">
        <f t="shared" si="43"/>
        <v>40.815899034612649</v>
      </c>
      <c r="DR44" s="20">
        <f t="shared" si="16"/>
        <v>349.54884081861684</v>
      </c>
      <c r="DS44" s="59">
        <f t="shared" si="17"/>
        <v>642.88217415195015</v>
      </c>
      <c r="DT44" s="59">
        <f ca="1">AVERAGE(OFFSET($DS$3,0,0,'Données projet'!$E$14+1,1))-AVERAGE(OFFSET($H$3,0,0,'Données projet'!$E$14+1,1))</f>
        <v>276.52126514622455</v>
      </c>
      <c r="DU44" s="59">
        <f t="shared" si="44"/>
        <v>173.98404849503186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5.3369963369963358</v>
      </c>
      <c r="EJ44" s="12">
        <f>IF('Données projet'!$A$192&gt;35,EJ43+EI44-ER43,IF(A44&lt;'Données projet'!$A$192,$EG$205^A44,IF(A44='Données projet'!$A$192,'Données projet'!$B$192,EJ43+EI44-ER43)))</f>
        <v>146.41208791208788</v>
      </c>
      <c r="EK44" s="17">
        <f>EJ44*VLOOKUP('Données projet'!$B$15,Paramètres!$A$1:$I$89,3,0)*VLOOKUP('Données projet'!$B$15,Paramètres!$A$1:$I$89,5,0)</f>
        <v>141.60977142857141</v>
      </c>
      <c r="EL44" s="13">
        <f t="shared" si="45"/>
        <v>36.665535786988855</v>
      </c>
      <c r="EM44" s="20">
        <f t="shared" si="19"/>
        <v>310.49616006710073</v>
      </c>
      <c r="EN44" s="59">
        <f t="shared" si="20"/>
        <v>603.8294934004341</v>
      </c>
      <c r="EO44" s="59">
        <f ca="1">AVERAGE(OFFSET($EN$3,0,0,'Données projet'!$E$15+1,1))-AVERAGE(OFFSET($H$3,0,0,'Données projet'!$E$15+1,1))</f>
        <v>234.56750794375012</v>
      </c>
      <c r="EP44" s="59">
        <f t="shared" si="46"/>
        <v>150.32420541314724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410.3692307692308</v>
      </c>
      <c r="L45" s="12">
        <f>VLOOKUP(A45,'Données projet'!$A$35:$I$55,9,0)</f>
        <v>16.131410256410259</v>
      </c>
      <c r="M45" s="12">
        <f t="array" ref="M45">INDEX(L:L,MIN(IF(ISNUMBER(L45:L241),ROW(L45:L241),"")))</f>
        <v>16.131410256410259</v>
      </c>
      <c r="N45" s="13">
        <f>IF('Données projet'!$A$36&gt;35,N44+M45-V44,IF(A45&lt;'Données projet'!$A$36,$K$205^A45,IF(A45='Données projet'!$A$36,'Données projet'!$B$36,N44+M45-V44)))</f>
        <v>410.36923076923091</v>
      </c>
      <c r="O45" s="13">
        <f>N45*VLOOKUP('Données projet'!$B$9,Paramètres!$A$1:$I$89,3,0)*VLOOKUP('Données projet'!$B$9,Paramètres!$A$1:$I$89,5,0)</f>
        <v>192.05280000000008</v>
      </c>
      <c r="P45" s="13">
        <f t="shared" si="33"/>
        <v>47.993513546032311</v>
      </c>
      <c r="Q45" s="20">
        <f t="shared" si="53"/>
        <v>418.08066275933976</v>
      </c>
      <c r="R45" s="59">
        <f t="shared" si="0"/>
        <v>711.41399609267307</v>
      </c>
      <c r="S45" s="59">
        <f ca="1">AVERAGE(OFFSET($R$3,0,0,'Données projet'!$E$9+1,1))-AVERAGE(OFFSET($H$3,0,0,'Données projet'!$E$9+1,1))</f>
        <v>198.17898804494365</v>
      </c>
      <c r="T45" s="59">
        <f t="shared" si="34"/>
        <v>186.24772922797723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179.84615384615384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0.30800000000000005</v>
      </c>
      <c r="Y45" s="16">
        <f>IF(ISNA(VLOOKUP(A45,'Données projet'!$A$35:$I$55,7,0)),0%,VLOOKUP(A45,'Données projet'!$A$35:$I$55,7,0))</f>
        <v>0.44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34.254112709103957</v>
      </c>
      <c r="AB45" s="21">
        <f>EXP(-LN(2)/2)*AB44+(1-EXP(-LN(2)/2))/(LN(2)/2)*V45*Y45*VLOOKUP('Données projet'!$B$9,Paramètres!$A$1:$I$89,3,0)*0.475*44/12</f>
        <v>41.931000328011329</v>
      </c>
      <c r="AC45" s="22">
        <f t="shared" si="3"/>
        <v>76.185113037115286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278.21846622758881</v>
      </c>
      <c r="AO45" s="59">
        <f t="shared" si="36"/>
        <v>245.37578316242906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9.3452380952380913</v>
      </c>
      <c r="BD45" s="12">
        <f>IF('Données projet'!$A$88&gt;35,BD44+BC45-BL44,IF(A45&lt;'Données projet'!$A$88,$BA$205^A45,IF(A45='Données projet'!$A$88,'Données projet'!$B$88,BD44+BC45-BL44)))</f>
        <v>128.28113553113559</v>
      </c>
      <c r="BE45" s="13">
        <f>BD45*VLOOKUP('Données projet'!$B$11,Paramètres!$A$1:$I$89,3,0)*VLOOKUP('Données projet'!$B$11,Paramètres!$A$1:$I$89,5,0)</f>
        <v>116.06877142857148</v>
      </c>
      <c r="BF45" s="13">
        <f t="shared" si="37"/>
        <v>30.75633490516044</v>
      </c>
      <c r="BG45" s="20">
        <f t="shared" si="7"/>
        <v>255.72039353124975</v>
      </c>
      <c r="BH45" s="59">
        <f t="shared" si="8"/>
        <v>549.05372686458304</v>
      </c>
      <c r="BI45" s="59">
        <f ca="1">AVERAGE(OFFSET($BH$3,0,0,'Données projet'!$E$11+1,1))-AVERAGE(OFFSET($H$3,0,0,'Données projet'!$E$11+1,1))</f>
        <v>270.87836509222456</v>
      </c>
      <c r="BJ45" s="59">
        <f t="shared" si="38"/>
        <v>205.24998237949734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9.3452380952380913</v>
      </c>
      <c r="BY45" s="12">
        <f>IF('Données projet'!$A$114&gt;35,BY44+BX45-CG44,IF(A45&lt;'Données projet'!$A$114,$BV$205^A45,IF(A45='Données projet'!$A$114,'Données projet'!$B$114,BY44+BX45-CG44)))</f>
        <v>128.28113553113559</v>
      </c>
      <c r="BZ45" s="13">
        <f>BY45*VLOOKUP('Données projet'!$B$12,Paramètres!$A$1:$I$89,3,0)*VLOOKUP('Données projet'!$B$12,Paramètres!$A$1:$I$89,5,0)</f>
        <v>130.07707142857151</v>
      </c>
      <c r="CA45" s="13">
        <f t="shared" si="39"/>
        <v>34.014167662270417</v>
      </c>
      <c r="CB45" s="20">
        <f t="shared" si="10"/>
        <v>285.79224141654964</v>
      </c>
      <c r="CC45" s="59">
        <f t="shared" si="11"/>
        <v>579.12557474988296</v>
      </c>
      <c r="CD45" s="59">
        <f ca="1">AVERAGE(OFFSET($CC$3,0,0,'Données projet'!$E$12+1,1))-AVERAGE(OFFSET($H$3,0,0,'Données projet'!$E$12+1,1))</f>
        <v>312.29056285877169</v>
      </c>
      <c r="CE45" s="59">
        <f t="shared" si="40"/>
        <v>233.85454224241693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5.3369963369963358</v>
      </c>
      <c r="CT45" s="12">
        <f>IF('Données projet'!$A$140&gt;35,CT44+CS45-DB44,IF(A45&lt;'Données projet'!$A$140,$CQ$205^A45,IF(A45='Données projet'!$A$140,'Données projet'!$B$140,CT44+CS45-DB44)))</f>
        <v>151.74908424908421</v>
      </c>
      <c r="CU45" s="17">
        <f>CT45*VLOOKUP('Données projet'!$B$13,Paramètres!$A$1:$I$89,3,0)*VLOOKUP('Données projet'!$B$13,Paramètres!$A$1:$I$89,5,0)</f>
        <v>172.81185714285709</v>
      </c>
      <c r="CV45" s="13">
        <f t="shared" si="41"/>
        <v>43.719183506972342</v>
      </c>
      <c r="CW45" s="20">
        <f t="shared" si="13"/>
        <v>377.12489579845288</v>
      </c>
      <c r="CX45" s="59">
        <f t="shared" si="14"/>
        <v>670.4582291317862</v>
      </c>
      <c r="CY45" s="59">
        <f ca="1">AVERAGE(OFFSET($CX$3,0,0,'Données projet'!$E$13+1,1))-AVERAGE(OFFSET($H$3,0,0,'Données projet'!$E$13+1,1))</f>
        <v>292.22737648725354</v>
      </c>
      <c r="CZ45" s="59">
        <f t="shared" si="42"/>
        <v>182.84038581199871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5.3369963369963358</v>
      </c>
      <c r="DO45" s="12">
        <f>IF('Données projet'!$A$166&gt;35,DO44+DN45-DW44,IF(A45&lt;'Données projet'!$A$166,$DL$205^A45,IF(A45='Données projet'!$A$166,'Données projet'!$B$166,DO44+DN45-DW44)))</f>
        <v>151.74908424908421</v>
      </c>
      <c r="DP45" s="17">
        <f>DO45*VLOOKUP('Données projet'!$B$14,Paramètres!$A$1:$I$89,3,0)*VLOOKUP('Données projet'!$B$14,Paramètres!$A$1:$I$89,5,0)</f>
        <v>165.70999999999995</v>
      </c>
      <c r="DQ45" s="13">
        <f t="shared" si="43"/>
        <v>42.127781716534891</v>
      </c>
      <c r="DR45" s="20">
        <f t="shared" si="16"/>
        <v>361.98413648963145</v>
      </c>
      <c r="DS45" s="59">
        <f t="shared" si="17"/>
        <v>655.31746982296477</v>
      </c>
      <c r="DT45" s="59">
        <f ca="1">AVERAGE(OFFSET($DS$3,0,0,'Données projet'!$E$14+1,1))-AVERAGE(OFFSET($H$3,0,0,'Données projet'!$E$14+1,1))</f>
        <v>276.52126514622455</v>
      </c>
      <c r="DU45" s="59">
        <f t="shared" si="44"/>
        <v>173.98404849503186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5.3369963369963358</v>
      </c>
      <c r="EJ45" s="12">
        <f>IF('Données projet'!$A$192&gt;35,EJ44+EI45-ER44,IF(A45&lt;'Données projet'!$A$192,$EG$205^A45,IF(A45='Données projet'!$A$192,'Données projet'!$B$192,EJ44+EI45-ER44)))</f>
        <v>151.74908424908421</v>
      </c>
      <c r="EK45" s="17">
        <f>EJ45*VLOOKUP('Données projet'!$B$15,Paramètres!$A$1:$I$89,3,0)*VLOOKUP('Données projet'!$B$15,Paramètres!$A$1:$I$89,5,0)</f>
        <v>146.77171428571427</v>
      </c>
      <c r="EL45" s="13">
        <f t="shared" si="45"/>
        <v>37.844019724867131</v>
      </c>
      <c r="EM45" s="20">
        <f t="shared" si="19"/>
        <v>321.53907006842928</v>
      </c>
      <c r="EN45" s="59">
        <f t="shared" si="20"/>
        <v>614.87240340176254</v>
      </c>
      <c r="EO45" s="59">
        <f ca="1">AVERAGE(OFFSET($EN$3,0,0,'Données projet'!$E$15+1,1))-AVERAGE(OFFSET($H$3,0,0,'Données projet'!$E$15+1,1))</f>
        <v>234.56750794375012</v>
      </c>
      <c r="EP45" s="59">
        <f t="shared" si="46"/>
        <v>150.32420541314724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15.618681318681309</v>
      </c>
      <c r="N46" s="13">
        <f>IF('Données projet'!$A$36&gt;35,N45+M46-V45,IF(A46&lt;'Données projet'!$A$36,$K$205^A46,IF(A46='Données projet'!$A$36,'Données projet'!$B$36,N45+M46-V45)))</f>
        <v>246.14175824175837</v>
      </c>
      <c r="O46" s="13">
        <f>N46*VLOOKUP('Données projet'!$B$9,Paramètres!$A$1:$I$89,3,0)*VLOOKUP('Données projet'!$B$9,Paramètres!$A$1:$I$89,5,0)</f>
        <v>115.19434285714291</v>
      </c>
      <c r="P46" s="13">
        <f t="shared" si="33"/>
        <v>30.5515065129288</v>
      </c>
      <c r="Q46" s="20">
        <f t="shared" si="53"/>
        <v>253.84068765287489</v>
      </c>
      <c r="R46" s="59">
        <f t="shared" si="0"/>
        <v>547.17402098620823</v>
      </c>
      <c r="S46" s="59">
        <f ca="1">AVERAGE(OFFSET($R$3,0,0,'Données projet'!$E$9+1,1))-AVERAGE(OFFSET($H$3,0,0,'Données projet'!$E$9+1,1))</f>
        <v>198.17898804494365</v>
      </c>
      <c r="T46" s="59">
        <f t="shared" si="34"/>
        <v>186.24772922797723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33.31743219572801</v>
      </c>
      <c r="AB46" s="21">
        <f>EXP(-LN(2)/2)*AB45+(1-EXP(-LN(2)/2))/(LN(2)/2)*V46*Y46*VLOOKUP('Données projet'!$B$9,Paramètres!$A$1:$I$89,3,0)*0.475*44/12</f>
        <v>29.649694673872162</v>
      </c>
      <c r="AC46" s="22">
        <f t="shared" si="3"/>
        <v>62.967126869600172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278.21846622758881</v>
      </c>
      <c r="AO46" s="59">
        <f t="shared" si="36"/>
        <v>245.37578316242906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9.3452380952380913</v>
      </c>
      <c r="BD46" s="12">
        <f>IF('Données projet'!$A$88&gt;35,BD45+BC46-BL45,IF(A46&lt;'Données projet'!$A$88,$BA$205^A46,IF(A46='Données projet'!$A$88,'Données projet'!$B$88,BD45+BC46-BL45)))</f>
        <v>137.62637362637369</v>
      </c>
      <c r="BE46" s="13">
        <f>BD46*VLOOKUP('Données projet'!$B$11,Paramètres!$A$1:$I$89,3,0)*VLOOKUP('Données projet'!$B$11,Paramètres!$A$1:$I$89,5,0)</f>
        <v>124.52434285714291</v>
      </c>
      <c r="BF46" s="13">
        <f t="shared" si="37"/>
        <v>32.727944326790649</v>
      </c>
      <c r="BG46" s="20">
        <f t="shared" si="7"/>
        <v>273.88106684535092</v>
      </c>
      <c r="BH46" s="59">
        <f t="shared" si="8"/>
        <v>567.21440017868417</v>
      </c>
      <c r="BI46" s="59">
        <f ca="1">AVERAGE(OFFSET($BH$3,0,0,'Données projet'!$E$11+1,1))-AVERAGE(OFFSET($H$3,0,0,'Données projet'!$E$11+1,1))</f>
        <v>270.87836509222456</v>
      </c>
      <c r="BJ46" s="59">
        <f t="shared" si="38"/>
        <v>205.24998237949734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9.3452380952380913</v>
      </c>
      <c r="BY46" s="12">
        <f>IF('Données projet'!$A$114&gt;35,BY45+BX46-CG45,IF(A46&lt;'Données projet'!$A$114,$BV$205^A46,IF(A46='Données projet'!$A$114,'Données projet'!$B$114,BY45+BX46-CG45)))</f>
        <v>137.62637362637369</v>
      </c>
      <c r="BZ46" s="13">
        <f>BY46*VLOOKUP('Données projet'!$B$12,Paramètres!$A$1:$I$89,3,0)*VLOOKUP('Données projet'!$B$12,Paramètres!$A$1:$I$89,5,0)</f>
        <v>139.55314285714292</v>
      </c>
      <c r="CA46" s="13">
        <f t="shared" si="39"/>
        <v>36.19461775941739</v>
      </c>
      <c r="CB46" s="20">
        <f t="shared" si="10"/>
        <v>306.09401640717584</v>
      </c>
      <c r="CC46" s="59">
        <f t="shared" si="11"/>
        <v>599.42734974050916</v>
      </c>
      <c r="CD46" s="59">
        <f ca="1">AVERAGE(OFFSET($CC$3,0,0,'Données projet'!$E$12+1,1))-AVERAGE(OFFSET($H$3,0,0,'Données projet'!$E$12+1,1))</f>
        <v>312.29056285877169</v>
      </c>
      <c r="CE46" s="59">
        <f t="shared" si="40"/>
        <v>233.85454224241693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5.3369963369963358</v>
      </c>
      <c r="CT46" s="12">
        <f>IF('Données projet'!$A$140&gt;35,CT45+CS46-DB45,IF(A46&lt;'Données projet'!$A$140,$CQ$205^A46,IF(A46='Données projet'!$A$140,'Données projet'!$B$140,CT45+CS46-DB45)))</f>
        <v>157.08608058608053</v>
      </c>
      <c r="CU46" s="17">
        <f>CT46*VLOOKUP('Données projet'!$B$13,Paramètres!$A$1:$I$89,3,0)*VLOOKUP('Données projet'!$B$13,Paramètres!$A$1:$I$89,5,0)</f>
        <v>178.88962857142852</v>
      </c>
      <c r="CV46" s="13">
        <f t="shared" si="41"/>
        <v>45.075060085506713</v>
      </c>
      <c r="CW46" s="20">
        <f t="shared" si="13"/>
        <v>390.07183274416224</v>
      </c>
      <c r="CX46" s="59">
        <f t="shared" si="14"/>
        <v>683.40516607749555</v>
      </c>
      <c r="CY46" s="59">
        <f ca="1">AVERAGE(OFFSET($CX$3,0,0,'Données projet'!$E$13+1,1))-AVERAGE(OFFSET($H$3,0,0,'Données projet'!$E$13+1,1))</f>
        <v>292.22737648725354</v>
      </c>
      <c r="CZ46" s="59">
        <f t="shared" si="42"/>
        <v>182.84038581199871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5.3369963369963358</v>
      </c>
      <c r="DO46" s="12">
        <f>IF('Données projet'!$A$166&gt;35,DO45+DN46-DW45,IF(A46&lt;'Données projet'!$A$166,$DL$205^A46,IF(A46='Données projet'!$A$166,'Données projet'!$B$166,DO45+DN46-DW45)))</f>
        <v>157.08608058608053</v>
      </c>
      <c r="DP46" s="17">
        <f>DO46*VLOOKUP('Données projet'!$B$14,Paramètres!$A$1:$I$89,3,0)*VLOOKUP('Données projet'!$B$14,Paramètres!$A$1:$I$89,5,0)</f>
        <v>171.53799999999993</v>
      </c>
      <c r="DQ46" s="13">
        <f t="shared" si="43"/>
        <v>43.434303658463442</v>
      </c>
      <c r="DR46" s="20">
        <f t="shared" si="16"/>
        <v>374.4100955384904</v>
      </c>
      <c r="DS46" s="59">
        <f t="shared" si="17"/>
        <v>667.74342887182365</v>
      </c>
      <c r="DT46" s="59">
        <f ca="1">AVERAGE(OFFSET($DS$3,0,0,'Données projet'!$E$14+1,1))-AVERAGE(OFFSET($H$3,0,0,'Données projet'!$E$14+1,1))</f>
        <v>276.52126514622455</v>
      </c>
      <c r="DU46" s="59">
        <f t="shared" si="44"/>
        <v>173.98404849503186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5.3369963369963358</v>
      </c>
      <c r="EJ46" s="12">
        <f>IF('Données projet'!$A$192&gt;35,EJ45+EI46-ER45,IF(A46&lt;'Données projet'!$A$192,$EG$205^A46,IF(A46='Données projet'!$A$192,'Données projet'!$B$192,EJ45+EI46-ER45)))</f>
        <v>157.08608058608053</v>
      </c>
      <c r="EK46" s="17">
        <f>EJ46*VLOOKUP('Données projet'!$B$15,Paramètres!$A$1:$I$89,3,0)*VLOOKUP('Données projet'!$B$15,Paramètres!$A$1:$I$89,5,0)</f>
        <v>151.93365714285707</v>
      </c>
      <c r="EL46" s="13">
        <f t="shared" si="45"/>
        <v>39.017688029408021</v>
      </c>
      <c r="EM46" s="20">
        <f t="shared" si="19"/>
        <v>332.57359284169502</v>
      </c>
      <c r="EN46" s="59">
        <f t="shared" si="20"/>
        <v>625.90692617502827</v>
      </c>
      <c r="EO46" s="59">
        <f ca="1">AVERAGE(OFFSET($EN$3,0,0,'Données projet'!$E$15+1,1))-AVERAGE(OFFSET($H$3,0,0,'Données projet'!$E$15+1,1))</f>
        <v>234.56750794375012</v>
      </c>
      <c r="EP46" s="59">
        <f t="shared" si="46"/>
        <v>150.32420541314724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15.618681318681309</v>
      </c>
      <c r="N47" s="13">
        <f>IF('Données projet'!$A$36&gt;35,N46+M47-V46,IF(A47&lt;'Données projet'!$A$36,$K$205^A47,IF(A47='Données projet'!$A$36,'Données projet'!$B$36,N46+M47-V46)))</f>
        <v>261.76043956043969</v>
      </c>
      <c r="O47" s="13">
        <f>N47*VLOOKUP('Données projet'!$B$9,Paramètres!$A$1:$I$89,3,0)*VLOOKUP('Données projet'!$B$9,Paramètres!$A$1:$I$89,5,0)</f>
        <v>122.50388571428577</v>
      </c>
      <c r="P47" s="13">
        <f t="shared" si="33"/>
        <v>32.258285776503719</v>
      </c>
      <c r="Q47" s="20">
        <f t="shared" si="53"/>
        <v>269.54411534645834</v>
      </c>
      <c r="R47" s="59">
        <f t="shared" si="0"/>
        <v>562.87744867979166</v>
      </c>
      <c r="S47" s="59">
        <f ca="1">AVERAGE(OFFSET($R$3,0,0,'Données projet'!$E$9+1,1))-AVERAGE(OFFSET($H$3,0,0,'Données projet'!$E$9+1,1))</f>
        <v>198.17898804494365</v>
      </c>
      <c r="T47" s="59">
        <f t="shared" si="34"/>
        <v>186.24772922797723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32.406365260248215</v>
      </c>
      <c r="AB47" s="21">
        <f>EXP(-LN(2)/2)*AB46+(1-EXP(-LN(2)/2))/(LN(2)/2)*V47*Y47*VLOOKUP('Données projet'!$B$9,Paramètres!$A$1:$I$89,3,0)*0.475*44/12</f>
        <v>20.965500164005668</v>
      </c>
      <c r="AC47" s="22">
        <f t="shared" si="3"/>
        <v>53.371865424253883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278.21846622758881</v>
      </c>
      <c r="AO47" s="59">
        <f t="shared" si="36"/>
        <v>245.37578316242906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9.3452380952380913</v>
      </c>
      <c r="BD47" s="12">
        <f>IF('Données projet'!$A$88&gt;35,BD46+BC47-BL46,IF(A47&lt;'Données projet'!$A$88,$BA$205^A47,IF(A47='Données projet'!$A$88,'Données projet'!$B$88,BD46+BC47-BL46)))</f>
        <v>146.97161172161179</v>
      </c>
      <c r="BE47" s="13">
        <f>BD47*VLOOKUP('Données projet'!$B$11,Paramètres!$A$1:$I$89,3,0)*VLOOKUP('Données projet'!$B$11,Paramètres!$A$1:$I$89,5,0)</f>
        <v>132.97991428571436</v>
      </c>
      <c r="BF47" s="13">
        <f t="shared" si="37"/>
        <v>34.684019161942608</v>
      </c>
      <c r="BG47" s="20">
        <f t="shared" si="7"/>
        <v>292.01468408800253</v>
      </c>
      <c r="BH47" s="59">
        <f t="shared" si="8"/>
        <v>585.34801742133584</v>
      </c>
      <c r="BI47" s="59">
        <f ca="1">AVERAGE(OFFSET($BH$3,0,0,'Données projet'!$E$11+1,1))-AVERAGE(OFFSET($H$3,0,0,'Données projet'!$E$11+1,1))</f>
        <v>270.87836509222456</v>
      </c>
      <c r="BJ47" s="59">
        <f t="shared" si="38"/>
        <v>205.24998237949734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9.3452380952380913</v>
      </c>
      <c r="BY47" s="12">
        <f>IF('Données projet'!$A$114&gt;35,BY46+BX47-CG46,IF(A47&lt;'Données projet'!$A$114,$BV$205^A47,IF(A47='Données projet'!$A$114,'Données projet'!$B$114,BY46+BX47-CG46)))</f>
        <v>146.97161172161179</v>
      </c>
      <c r="BZ47" s="13">
        <f>BY47*VLOOKUP('Données projet'!$B$12,Paramètres!$A$1:$I$89,3,0)*VLOOKUP('Données projet'!$B$12,Paramètres!$A$1:$I$89,5,0)</f>
        <v>149.02921428571437</v>
      </c>
      <c r="CA47" s="13">
        <f t="shared" si="39"/>
        <v>38.357887785185099</v>
      </c>
      <c r="CB47" s="20">
        <f t="shared" si="10"/>
        <v>326.36586944014988</v>
      </c>
      <c r="CC47" s="59">
        <f t="shared" si="11"/>
        <v>619.69920277348319</v>
      </c>
      <c r="CD47" s="59">
        <f ca="1">AVERAGE(OFFSET($CC$3,0,0,'Données projet'!$E$12+1,1))-AVERAGE(OFFSET($H$3,0,0,'Données projet'!$E$12+1,1))</f>
        <v>312.29056285877169</v>
      </c>
      <c r="CE47" s="59">
        <f t="shared" si="40"/>
        <v>233.85454224241693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162.42307692307691</v>
      </c>
      <c r="CR47" s="12">
        <f>VLOOKUP(A47,'Données projet'!$A$139:$I$159,9,0)</f>
        <v>5.3369963369963358</v>
      </c>
      <c r="CS47" s="12">
        <f t="array" ref="CS47">INDEX(CR:CR,MIN(IF(ISNUMBER(CR47:CR243),ROW(CR47:CR243),"")))</f>
        <v>5.3369963369963358</v>
      </c>
      <c r="CT47" s="12">
        <f>IF('Données projet'!$A$140&gt;35,CT46+CS47-DB46,IF(A47&lt;'Données projet'!$A$140,$CQ$205^A47,IF(A47='Données projet'!$A$140,'Données projet'!$B$140,CT46+CS47-DB46)))</f>
        <v>162.42307692307685</v>
      </c>
      <c r="CU47" s="17">
        <f>CT47*VLOOKUP('Données projet'!$B$13,Paramètres!$A$1:$I$89,3,0)*VLOOKUP('Données projet'!$B$13,Paramètres!$A$1:$I$89,5,0)</f>
        <v>184.96739999999991</v>
      </c>
      <c r="CV47" s="13">
        <f t="shared" si="41"/>
        <v>46.425584096624149</v>
      </c>
      <c r="CW47" s="20">
        <f t="shared" si="13"/>
        <v>403.00944730162018</v>
      </c>
      <c r="CX47" s="59">
        <f t="shared" si="14"/>
        <v>696.34278063495344</v>
      </c>
      <c r="CY47" s="59">
        <f ca="1">AVERAGE(OFFSET($CX$3,0,0,'Données projet'!$E$13+1,1))-AVERAGE(OFFSET($H$3,0,0,'Données projet'!$E$13+1,1))</f>
        <v>292.22737648725354</v>
      </c>
      <c r="CZ47" s="59">
        <f t="shared" si="42"/>
        <v>182.84038581199871</v>
      </c>
      <c r="DA47" s="15">
        <f>IF(ISNA(VLOOKUP(A47,'Données projet'!$A$139:$I$159,3,0)),0,VLOOKUP(A47,'Données projet'!$A$139:$I$159,3,0))</f>
        <v>1</v>
      </c>
      <c r="DB47" s="15">
        <f>IF(ISNA(VLOOKUP(A47,'Données projet'!$A$139:$I$159,4,0)),0,VLOOKUP(A47,'Données projet'!$A$139:$I$159,4,0))</f>
        <v>64.416666666666657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162.42307692307691</v>
      </c>
      <c r="DM47" s="12">
        <f>VLOOKUP(A47,'Données projet'!$A$165:$I$185,9,0)</f>
        <v>5.3369963369963358</v>
      </c>
      <c r="DN47" s="12">
        <f t="array" ref="DN47">INDEX(DM:DM,MIN(IF(ISNUMBER(DM47:DM243),ROW(DM47:DM243),"")))</f>
        <v>5.3369963369963358</v>
      </c>
      <c r="DO47" s="12">
        <f>IF('Données projet'!$A$166&gt;35,DO46+DN47-DW46,IF(A47&lt;'Données projet'!$A$166,$DL$205^A47,IF(A47='Données projet'!$A$166,'Données projet'!$B$166,DO46+DN47-DW46)))</f>
        <v>162.42307692307685</v>
      </c>
      <c r="DP47" s="17">
        <f>DO47*VLOOKUP('Données projet'!$B$14,Paramètres!$A$1:$I$89,3,0)*VLOOKUP('Données projet'!$B$14,Paramètres!$A$1:$I$89,5,0)</f>
        <v>177.36599999999993</v>
      </c>
      <c r="DQ47" s="13">
        <f t="shared" si="43"/>
        <v>44.735667869307385</v>
      </c>
      <c r="DR47" s="20">
        <f t="shared" si="16"/>
        <v>386.82707153904357</v>
      </c>
      <c r="DS47" s="59">
        <f t="shared" si="17"/>
        <v>680.16040487237683</v>
      </c>
      <c r="DT47" s="59">
        <f ca="1">AVERAGE(OFFSET($DS$3,0,0,'Données projet'!$E$14+1,1))-AVERAGE(OFFSET($H$3,0,0,'Données projet'!$E$14+1,1))</f>
        <v>276.52126514622455</v>
      </c>
      <c r="DU47" s="59">
        <f t="shared" si="44"/>
        <v>173.98404849503186</v>
      </c>
      <c r="DV47" s="15">
        <f>IF(ISNA(VLOOKUP(A47,'Données projet'!$A$165:$I$185,3,0)),0,VLOOKUP(A47,'Données projet'!$A$165:$I$185,3,0))</f>
        <v>1</v>
      </c>
      <c r="DW47" s="15">
        <f>IF(ISNA(VLOOKUP(A47,'Données projet'!$A$165:$I$185,4,0)),0,VLOOKUP(A47,'Données projet'!$A$165:$I$185,4,0))</f>
        <v>64.416666666666657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162.42307692307691</v>
      </c>
      <c r="EH47" s="12">
        <f>VLOOKUP(A47,'Données projet'!$A$191:$I$211,9,0)</f>
        <v>5.3369963369963358</v>
      </c>
      <c r="EI47" s="12">
        <f t="array" ref="EI47">INDEX(EH:EH,MIN(IF(ISNUMBER(EH47:EH243),ROW(EH47:EH243),"")))</f>
        <v>5.3369963369963358</v>
      </c>
      <c r="EJ47" s="12">
        <f>IF('Données projet'!$A$192&gt;35,EJ46+EI47-ER46,IF(A47&lt;'Données projet'!$A$192,$EG$205^A47,IF(A47='Données projet'!$A$192,'Données projet'!$B$192,EJ46+EI47-ER46)))</f>
        <v>162.42307692307685</v>
      </c>
      <c r="EK47" s="17">
        <f>EJ47*VLOOKUP('Données projet'!$B$15,Paramètres!$A$1:$I$89,3,0)*VLOOKUP('Données projet'!$B$15,Paramètres!$A$1:$I$89,5,0)</f>
        <v>157.09559999999993</v>
      </c>
      <c r="EL47" s="13">
        <f t="shared" si="45"/>
        <v>40.186723066567019</v>
      </c>
      <c r="EM47" s="20">
        <f t="shared" si="19"/>
        <v>343.60004600760408</v>
      </c>
      <c r="EN47" s="59">
        <f t="shared" si="20"/>
        <v>636.93337934093734</v>
      </c>
      <c r="EO47" s="59">
        <f ca="1">AVERAGE(OFFSET($EN$3,0,0,'Données projet'!$E$15+1,1))-AVERAGE(OFFSET($H$3,0,0,'Données projet'!$E$15+1,1))</f>
        <v>234.56750794375012</v>
      </c>
      <c r="EP47" s="59">
        <f t="shared" si="46"/>
        <v>150.32420541314724</v>
      </c>
      <c r="EQ47" s="15">
        <f>IF(ISNA(VLOOKUP(A47,'Données projet'!$A$191:$I$211,3,0)),0,VLOOKUP(A47,'Données projet'!$A$191:$I$211,3,0))</f>
        <v>1</v>
      </c>
      <c r="ER47" s="15">
        <f>IF(ISNA(VLOOKUP(A47,'Données projet'!$A$191:$I$211,4,0)),0,VLOOKUP(A47,'Données projet'!$A$191:$I$211,4,0))</f>
        <v>64.416666666666657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15.618681318681309</v>
      </c>
      <c r="N48" s="13">
        <f>IF('Données projet'!$A$36&gt;35,N47+M48-V47,IF(A48&lt;'Données projet'!$A$36,$K$205^A48,IF(A48='Données projet'!$A$36,'Données projet'!$B$36,N47+M48-V47)))</f>
        <v>277.37912087912099</v>
      </c>
      <c r="O48" s="13">
        <f>N48*VLOOKUP('Données projet'!$B$9,Paramètres!$A$1:$I$89,3,0)*VLOOKUP('Données projet'!$B$9,Paramètres!$A$1:$I$89,5,0)</f>
        <v>129.81342857142863</v>
      </c>
      <c r="P48" s="13">
        <f t="shared" si="33"/>
        <v>33.953244550224326</v>
      </c>
      <c r="Q48" s="20">
        <f t="shared" si="53"/>
        <v>285.22695568687891</v>
      </c>
      <c r="R48" s="59">
        <f t="shared" si="0"/>
        <v>578.56028902021217</v>
      </c>
      <c r="S48" s="59">
        <f ca="1">AVERAGE(OFFSET($R$3,0,0,'Données projet'!$E$9+1,1))-AVERAGE(OFFSET($H$3,0,0,'Données projet'!$E$9+1,1))</f>
        <v>198.17898804494365</v>
      </c>
      <c r="T48" s="59">
        <f t="shared" si="34"/>
        <v>186.24772922797723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31.520211498030044</v>
      </c>
      <c r="AB48" s="21">
        <f>EXP(-LN(2)/2)*AB47+(1-EXP(-LN(2)/2))/(LN(2)/2)*V48*Y48*VLOOKUP('Données projet'!$B$9,Paramètres!$A$1:$I$89,3,0)*0.475*44/12</f>
        <v>14.824847336936083</v>
      </c>
      <c r="AC48" s="22">
        <f t="shared" si="3"/>
        <v>46.345058834966125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278.21846622758881</v>
      </c>
      <c r="AO48" s="59">
        <f t="shared" si="36"/>
        <v>245.37578316242906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9.3452380952380913</v>
      </c>
      <c r="BD48" s="12">
        <f>IF('Données projet'!$A$88&gt;35,BD47+BC48-BL47,IF(A48&lt;'Données projet'!$A$88,$BA$205^A48,IF(A48='Données projet'!$A$88,'Données projet'!$B$88,BD47+BC48-BL47)))</f>
        <v>156.3168498168499</v>
      </c>
      <c r="BE48" s="13">
        <f>BD48*VLOOKUP('Données projet'!$B$11,Paramètres!$A$1:$I$89,3,0)*VLOOKUP('Données projet'!$B$11,Paramètres!$A$1:$I$89,5,0)</f>
        <v>141.43548571428576</v>
      </c>
      <c r="BF48" s="13">
        <f t="shared" si="37"/>
        <v>36.625659617511197</v>
      </c>
      <c r="BG48" s="20">
        <f t="shared" si="7"/>
        <v>310.12316145287969</v>
      </c>
      <c r="BH48" s="59">
        <f t="shared" si="8"/>
        <v>603.45649478621294</v>
      </c>
      <c r="BI48" s="59">
        <f ca="1">AVERAGE(OFFSET($BH$3,0,0,'Données projet'!$E$11+1,1))-AVERAGE(OFFSET($H$3,0,0,'Données projet'!$E$11+1,1))</f>
        <v>270.87836509222456</v>
      </c>
      <c r="BJ48" s="59">
        <f t="shared" si="38"/>
        <v>205.24998237949734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9.3452380952380913</v>
      </c>
      <c r="BY48" s="12">
        <f>IF('Données projet'!$A$114&gt;35,BY47+BX48-CG47,IF(A48&lt;'Données projet'!$A$114,$BV$205^A48,IF(A48='Données projet'!$A$114,'Données projet'!$B$114,BY47+BX48-CG47)))</f>
        <v>156.3168498168499</v>
      </c>
      <c r="BZ48" s="13">
        <f>BY48*VLOOKUP('Données projet'!$B$12,Paramètres!$A$1:$I$89,3,0)*VLOOKUP('Données projet'!$B$12,Paramètres!$A$1:$I$89,5,0)</f>
        <v>158.5052857142858</v>
      </c>
      <c r="CA48" s="13">
        <f t="shared" si="39"/>
        <v>40.505194484738432</v>
      </c>
      <c r="CB48" s="20">
        <f t="shared" si="10"/>
        <v>346.60991967996728</v>
      </c>
      <c r="CC48" s="59">
        <f t="shared" si="11"/>
        <v>639.94325301330059</v>
      </c>
      <c r="CD48" s="59">
        <f ca="1">AVERAGE(OFFSET($CC$3,0,0,'Données projet'!$E$12+1,1))-AVERAGE(OFFSET($H$3,0,0,'Données projet'!$E$12+1,1))</f>
        <v>312.29056285877169</v>
      </c>
      <c r="CE48" s="59">
        <f t="shared" si="40"/>
        <v>233.85454224241693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6.826007326007324</v>
      </c>
      <c r="CT48" s="12">
        <f>IF('Données projet'!$A$140&gt;35,CT47+CS48-DB47,IF(A48&lt;'Données projet'!$A$140,$CQ$205^A48,IF(A48='Données projet'!$A$140,'Données projet'!$B$140,CT47+CS48-DB47)))</f>
        <v>104.83241758241752</v>
      </c>
      <c r="CU48" s="17">
        <f>CT48*VLOOKUP('Données projet'!$B$13,Paramètres!$A$1:$I$89,3,0)*VLOOKUP('Données projet'!$B$13,Paramètres!$A$1:$I$89,5,0)</f>
        <v>119.38315714285707</v>
      </c>
      <c r="CV48" s="13">
        <f t="shared" si="41"/>
        <v>31.531087703892059</v>
      </c>
      <c r="CW48" s="20">
        <f t="shared" si="13"/>
        <v>262.84230977475477</v>
      </c>
      <c r="CX48" s="59">
        <f t="shared" si="14"/>
        <v>556.17564310808802</v>
      </c>
      <c r="CY48" s="59">
        <f ca="1">AVERAGE(OFFSET($CX$3,0,0,'Données projet'!$E$13+1,1))-AVERAGE(OFFSET($H$3,0,0,'Données projet'!$E$13+1,1))</f>
        <v>292.22737648725354</v>
      </c>
      <c r="CZ48" s="59">
        <f t="shared" si="42"/>
        <v>182.84038581199871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6.826007326007324</v>
      </c>
      <c r="DO48" s="12">
        <f>IF('Données projet'!$A$166&gt;35,DO47+DN48-DW47,IF(A48&lt;'Données projet'!$A$166,$DL$205^A48,IF(A48='Données projet'!$A$166,'Données projet'!$B$166,DO47+DN48-DW47)))</f>
        <v>104.83241758241752</v>
      </c>
      <c r="DP48" s="17">
        <f>DO48*VLOOKUP('Données projet'!$B$14,Paramètres!$A$1:$I$89,3,0)*VLOOKUP('Données projet'!$B$14,Paramètres!$A$1:$I$89,5,0)</f>
        <v>114.47699999999992</v>
      </c>
      <c r="DQ48" s="13">
        <f t="shared" si="43"/>
        <v>30.383339155056248</v>
      </c>
      <c r="DR48" s="20">
        <f t="shared" si="16"/>
        <v>252.29842402838949</v>
      </c>
      <c r="DS48" s="59">
        <f t="shared" si="17"/>
        <v>545.63175736172275</v>
      </c>
      <c r="DT48" s="59">
        <f ca="1">AVERAGE(OFFSET($DS$3,0,0,'Données projet'!$E$14+1,1))-AVERAGE(OFFSET($H$3,0,0,'Données projet'!$E$14+1,1))</f>
        <v>276.52126514622455</v>
      </c>
      <c r="DU48" s="59">
        <f t="shared" si="44"/>
        <v>173.98404849503186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6.826007326007324</v>
      </c>
      <c r="EJ48" s="12">
        <f>IF('Données projet'!$A$192&gt;35,EJ47+EI48-ER47,IF(A48&lt;'Données projet'!$A$192,$EG$205^A48,IF(A48='Données projet'!$A$192,'Données projet'!$B$192,EJ47+EI48-ER47)))</f>
        <v>104.83241758241752</v>
      </c>
      <c r="EK48" s="17">
        <f>EJ48*VLOOKUP('Données projet'!$B$15,Paramètres!$A$1:$I$89,3,0)*VLOOKUP('Données projet'!$B$15,Paramètres!$A$1:$I$89,5,0)</f>
        <v>101.39391428571423</v>
      </c>
      <c r="EL48" s="13">
        <f t="shared" si="45"/>
        <v>27.293810389260898</v>
      </c>
      <c r="EM48" s="20">
        <f t="shared" si="19"/>
        <v>224.13112047558164</v>
      </c>
      <c r="EN48" s="59">
        <f t="shared" si="20"/>
        <v>517.46445380891498</v>
      </c>
      <c r="EO48" s="59">
        <f ca="1">AVERAGE(OFFSET($EN$3,0,0,'Données projet'!$E$15+1,1))-AVERAGE(OFFSET($H$3,0,0,'Données projet'!$E$15+1,1))</f>
        <v>234.56750794375012</v>
      </c>
      <c r="EP48" s="59">
        <f t="shared" si="46"/>
        <v>150.32420541314724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15.618681318681309</v>
      </c>
      <c r="N49" s="13">
        <f>IF('Données projet'!$A$36&gt;35,N48+M49-V48,IF(A49&lt;'Données projet'!$A$36,$K$205^A49,IF(A49='Données projet'!$A$36,'Données projet'!$B$36,N48+M49-V48)))</f>
        <v>292.99780219780229</v>
      </c>
      <c r="O49" s="13">
        <f>N49*VLOOKUP('Données projet'!$B$9,Paramètres!$A$1:$I$89,3,0)*VLOOKUP('Données projet'!$B$9,Paramètres!$A$1:$I$89,5,0)</f>
        <v>137.12297142857147</v>
      </c>
      <c r="P49" s="13">
        <f t="shared" si="33"/>
        <v>35.63712427284996</v>
      </c>
      <c r="Q49" s="20">
        <f t="shared" si="53"/>
        <v>300.89050001330901</v>
      </c>
      <c r="R49" s="59">
        <f t="shared" si="0"/>
        <v>594.22383334664232</v>
      </c>
      <c r="S49" s="59">
        <f ca="1">AVERAGE(OFFSET($R$3,0,0,'Données projet'!$E$9+1,1))-AVERAGE(OFFSET($H$3,0,0,'Données projet'!$E$9+1,1))</f>
        <v>198.17898804494365</v>
      </c>
      <c r="T49" s="59">
        <f t="shared" si="34"/>
        <v>186.24772922797723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30.65828965704053</v>
      </c>
      <c r="AB49" s="21">
        <f>EXP(-LN(2)/2)*AB48+(1-EXP(-LN(2)/2))/(LN(2)/2)*V49*Y49*VLOOKUP('Données projet'!$B$9,Paramètres!$A$1:$I$89,3,0)*0.475*44/12</f>
        <v>10.482750082002836</v>
      </c>
      <c r="AC49" s="22">
        <f t="shared" si="3"/>
        <v>41.141039739043364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278.21846622758881</v>
      </c>
      <c r="AO49" s="59">
        <f t="shared" si="36"/>
        <v>245.37578316242906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9.3452380952380913</v>
      </c>
      <c r="BD49" s="12">
        <f>IF('Données projet'!$A$88&gt;35,BD48+BC49-BL48,IF(A49&lt;'Données projet'!$A$88,$BA$205^A49,IF(A49='Données projet'!$A$88,'Données projet'!$B$88,BD48+BC49-BL48)))</f>
        <v>165.662087912088</v>
      </c>
      <c r="BE49" s="13">
        <f>BD49*VLOOKUP('Données projet'!$B$11,Paramètres!$A$1:$I$89,3,0)*VLOOKUP('Données projet'!$B$11,Paramètres!$A$1:$I$89,5,0)</f>
        <v>149.89105714285722</v>
      </c>
      <c r="BF49" s="13">
        <f t="shared" si="37"/>
        <v>38.553826918856579</v>
      </c>
      <c r="BG49" s="20">
        <f t="shared" si="7"/>
        <v>328.20817307415149</v>
      </c>
      <c r="BH49" s="59">
        <f t="shared" si="8"/>
        <v>621.5415064074848</v>
      </c>
      <c r="BI49" s="59">
        <f ca="1">AVERAGE(OFFSET($BH$3,0,0,'Données projet'!$E$11+1,1))-AVERAGE(OFFSET($H$3,0,0,'Données projet'!$E$11+1,1))</f>
        <v>270.87836509222456</v>
      </c>
      <c r="BJ49" s="59">
        <f t="shared" si="38"/>
        <v>205.24998237949734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9.3452380952380913</v>
      </c>
      <c r="BY49" s="12">
        <f>IF('Données projet'!$A$114&gt;35,BY48+BX49-CG48,IF(A49&lt;'Données projet'!$A$114,$BV$205^A49,IF(A49='Données projet'!$A$114,'Données projet'!$B$114,BY48+BX49-CG48)))</f>
        <v>165.662087912088</v>
      </c>
      <c r="BZ49" s="13">
        <f>BY49*VLOOKUP('Données projet'!$B$12,Paramètres!$A$1:$I$89,3,0)*VLOOKUP('Données projet'!$B$12,Paramètres!$A$1:$I$89,5,0)</f>
        <v>167.98135714285723</v>
      </c>
      <c r="CA49" s="13">
        <f t="shared" si="39"/>
        <v>42.637600900233188</v>
      </c>
      <c r="CB49" s="20">
        <f t="shared" si="10"/>
        <v>366.82801859171582</v>
      </c>
      <c r="CC49" s="59">
        <f t="shared" si="11"/>
        <v>660.16135192504908</v>
      </c>
      <c r="CD49" s="59">
        <f ca="1">AVERAGE(OFFSET($CC$3,0,0,'Données projet'!$E$12+1,1))-AVERAGE(OFFSET($H$3,0,0,'Données projet'!$E$12+1,1))</f>
        <v>312.29056285877169</v>
      </c>
      <c r="CE49" s="59">
        <f t="shared" si="40"/>
        <v>233.85454224241693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6.826007326007324</v>
      </c>
      <c r="CT49" s="12">
        <f>IF('Données projet'!$A$140&gt;35,CT48+CS49-DB48,IF(A49&lt;'Données projet'!$A$140,$CQ$205^A49,IF(A49='Données projet'!$A$140,'Données projet'!$B$140,CT48+CS49-DB48)))</f>
        <v>111.65842490842485</v>
      </c>
      <c r="CU49" s="17">
        <f>CT49*VLOOKUP('Données projet'!$B$13,Paramètres!$A$1:$I$89,3,0)*VLOOKUP('Données projet'!$B$13,Paramètres!$A$1:$I$89,5,0)</f>
        <v>127.15661428571421</v>
      </c>
      <c r="CV49" s="13">
        <f t="shared" si="41"/>
        <v>33.338493125081143</v>
      </c>
      <c r="CW49" s="20">
        <f t="shared" si="13"/>
        <v>279.52897874046857</v>
      </c>
      <c r="CX49" s="59">
        <f t="shared" si="14"/>
        <v>572.86231207380183</v>
      </c>
      <c r="CY49" s="59">
        <f ca="1">AVERAGE(OFFSET($CX$3,0,0,'Données projet'!$E$13+1,1))-AVERAGE(OFFSET($H$3,0,0,'Données projet'!$E$13+1,1))</f>
        <v>292.22737648725354</v>
      </c>
      <c r="CZ49" s="59">
        <f t="shared" si="42"/>
        <v>182.84038581199871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6.826007326007324</v>
      </c>
      <c r="DO49" s="12">
        <f>IF('Données projet'!$A$166&gt;35,DO48+DN49-DW48,IF(A49&lt;'Données projet'!$A$166,$DL$205^A49,IF(A49='Données projet'!$A$166,'Données projet'!$B$166,DO48+DN49-DW48)))</f>
        <v>111.65842490842485</v>
      </c>
      <c r="DP49" s="17">
        <f>DO49*VLOOKUP('Données projet'!$B$14,Paramètres!$A$1:$I$89,3,0)*VLOOKUP('Données projet'!$B$14,Paramètres!$A$1:$I$89,5,0)</f>
        <v>121.93099999999993</v>
      </c>
      <c r="DQ49" s="13">
        <f t="shared" si="43"/>
        <v>32.124954046949043</v>
      </c>
      <c r="DR49" s="20">
        <f t="shared" si="16"/>
        <v>268.31411996510275</v>
      </c>
      <c r="DS49" s="59">
        <f t="shared" si="17"/>
        <v>561.64745329843606</v>
      </c>
      <c r="DT49" s="59">
        <f ca="1">AVERAGE(OFFSET($DS$3,0,0,'Données projet'!$E$14+1,1))-AVERAGE(OFFSET($H$3,0,0,'Données projet'!$E$14+1,1))</f>
        <v>276.52126514622455</v>
      </c>
      <c r="DU49" s="59">
        <f t="shared" si="44"/>
        <v>173.98404849503186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6.826007326007324</v>
      </c>
      <c r="EJ49" s="12">
        <f>IF('Données projet'!$A$192&gt;35,EJ48+EI49-ER48,IF(A49&lt;'Données projet'!$A$192,$EG$205^A49,IF(A49='Données projet'!$A$192,'Données projet'!$B$192,EJ48+EI49-ER48)))</f>
        <v>111.65842490842485</v>
      </c>
      <c r="EK49" s="17">
        <f>EJ49*VLOOKUP('Données projet'!$B$15,Paramètres!$A$1:$I$89,3,0)*VLOOKUP('Données projet'!$B$15,Paramètres!$A$1:$I$89,5,0)</f>
        <v>107.99602857142851</v>
      </c>
      <c r="EL49" s="13">
        <f t="shared" si="45"/>
        <v>28.858329232560074</v>
      </c>
      <c r="EM49" s="20">
        <f t="shared" si="19"/>
        <v>238.35467317528014</v>
      </c>
      <c r="EN49" s="59">
        <f t="shared" si="20"/>
        <v>531.6880065086134</v>
      </c>
      <c r="EO49" s="59">
        <f ca="1">AVERAGE(OFFSET($EN$3,0,0,'Données projet'!$E$15+1,1))-AVERAGE(OFFSET($H$3,0,0,'Données projet'!$E$15+1,1))</f>
        <v>234.56750794375012</v>
      </c>
      <c r="EP49" s="59">
        <f t="shared" si="46"/>
        <v>150.32420541314724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15.618681318681309</v>
      </c>
      <c r="N50" s="13">
        <f>IF('Données projet'!$A$36&gt;35,N49+M50-V49,IF(A50&lt;'Données projet'!$A$36,$K$205^A50,IF(A50='Données projet'!$A$36,'Données projet'!$B$36,N49+M50-V49)))</f>
        <v>308.61648351648358</v>
      </c>
      <c r="O50" s="13">
        <f>N50*VLOOKUP('Données projet'!$B$9,Paramètres!$A$1:$I$89,3,0)*VLOOKUP('Données projet'!$B$9,Paramètres!$A$1:$I$89,5,0)</f>
        <v>144.43251428571432</v>
      </c>
      <c r="P50" s="13">
        <f t="shared" si="33"/>
        <v>37.310582871696397</v>
      </c>
      <c r="Q50" s="20">
        <f t="shared" si="53"/>
        <v>316.5358942158237</v>
      </c>
      <c r="R50" s="59">
        <f t="shared" si="0"/>
        <v>609.86922754915702</v>
      </c>
      <c r="S50" s="59">
        <f ca="1">AVERAGE(OFFSET($R$3,0,0,'Données projet'!$E$9+1,1))-AVERAGE(OFFSET($H$3,0,0,'Données projet'!$E$9+1,1))</f>
        <v>198.17898804494365</v>
      </c>
      <c r="T50" s="59">
        <f t="shared" si="34"/>
        <v>186.24772922797723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29.819937114119373</v>
      </c>
      <c r="AB50" s="21">
        <f>EXP(-LN(2)/2)*AB49+(1-EXP(-LN(2)/2))/(LN(2)/2)*V50*Y50*VLOOKUP('Données projet'!$B$9,Paramètres!$A$1:$I$89,3,0)*0.475*44/12</f>
        <v>7.4124236684680431</v>
      </c>
      <c r="AC50" s="22">
        <f t="shared" si="3"/>
        <v>37.232360782587413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278.21846622758881</v>
      </c>
      <c r="AO50" s="59">
        <f t="shared" si="36"/>
        <v>245.37578316242906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9.3452380952380913</v>
      </c>
      <c r="BD50" s="12">
        <f>IF('Données projet'!$A$88&gt;35,BD49+BC50-BL49,IF(A50&lt;'Données projet'!$A$88,$BA$205^A50,IF(A50='Données projet'!$A$88,'Données projet'!$B$88,BD49+BC50-BL49)))</f>
        <v>175.0073260073261</v>
      </c>
      <c r="BE50" s="13">
        <f>BD50*VLOOKUP('Données projet'!$B$11,Paramètres!$A$1:$I$89,3,0)*VLOOKUP('Données projet'!$B$11,Paramètres!$A$1:$I$89,5,0)</f>
        <v>158.34662857142865</v>
      </c>
      <c r="BF50" s="13">
        <f t="shared" si="37"/>
        <v>40.469367717876509</v>
      </c>
      <c r="BG50" s="20">
        <f t="shared" si="7"/>
        <v>346.2711935372065</v>
      </c>
      <c r="BH50" s="59">
        <f t="shared" si="8"/>
        <v>639.60452687053976</v>
      </c>
      <c r="BI50" s="59">
        <f ca="1">AVERAGE(OFFSET($BH$3,0,0,'Données projet'!$E$11+1,1))-AVERAGE(OFFSET($H$3,0,0,'Données projet'!$E$11+1,1))</f>
        <v>270.87836509222456</v>
      </c>
      <c r="BJ50" s="59">
        <f t="shared" si="38"/>
        <v>205.24998237949734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9.3452380952380913</v>
      </c>
      <c r="BY50" s="12">
        <f>IF('Données projet'!$A$114&gt;35,BY49+BX50-CG49,IF(A50&lt;'Données projet'!$A$114,$BV$205^A50,IF(A50='Données projet'!$A$114,'Données projet'!$B$114,BY49+BX50-CG49)))</f>
        <v>175.0073260073261</v>
      </c>
      <c r="BZ50" s="13">
        <f>BY50*VLOOKUP('Données projet'!$B$12,Paramètres!$A$1:$I$89,3,0)*VLOOKUP('Données projet'!$B$12,Paramètres!$A$1:$I$89,5,0)</f>
        <v>177.45742857142866</v>
      </c>
      <c r="CA50" s="13">
        <f t="shared" si="39"/>
        <v>44.75604336428804</v>
      </c>
      <c r="CB50" s="20">
        <f t="shared" si="10"/>
        <v>387.02179695470659</v>
      </c>
      <c r="CC50" s="59">
        <f t="shared" si="11"/>
        <v>680.35513028803985</v>
      </c>
      <c r="CD50" s="59">
        <f ca="1">AVERAGE(OFFSET($CC$3,0,0,'Données projet'!$E$12+1,1))-AVERAGE(OFFSET($H$3,0,0,'Données projet'!$E$12+1,1))</f>
        <v>312.29056285877169</v>
      </c>
      <c r="CE50" s="59">
        <f t="shared" si="40"/>
        <v>233.85454224241693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6.826007326007324</v>
      </c>
      <c r="CT50" s="12">
        <f>IF('Données projet'!$A$140&gt;35,CT49+CS50-DB49,IF(A50&lt;'Données projet'!$A$140,$CQ$205^A50,IF(A50='Données projet'!$A$140,'Données projet'!$B$140,CT49+CS50-DB49)))</f>
        <v>118.48443223443218</v>
      </c>
      <c r="CU50" s="17">
        <f>CT50*VLOOKUP('Données projet'!$B$13,Paramètres!$A$1:$I$89,3,0)*VLOOKUP('Données projet'!$B$13,Paramètres!$A$1:$I$89,5,0)</f>
        <v>134.93007142857135</v>
      </c>
      <c r="CV50" s="13">
        <f t="shared" si="41"/>
        <v>35.133074498505806</v>
      </c>
      <c r="CW50" s="20">
        <f t="shared" si="13"/>
        <v>296.19331248965938</v>
      </c>
      <c r="CX50" s="59">
        <f t="shared" si="14"/>
        <v>589.52664582299269</v>
      </c>
      <c r="CY50" s="59">
        <f ca="1">AVERAGE(OFFSET($CX$3,0,0,'Données projet'!$E$13+1,1))-AVERAGE(OFFSET($H$3,0,0,'Données projet'!$E$13+1,1))</f>
        <v>292.22737648725354</v>
      </c>
      <c r="CZ50" s="59">
        <f t="shared" si="42"/>
        <v>182.84038581199871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6.826007326007324</v>
      </c>
      <c r="DO50" s="12">
        <f>IF('Données projet'!$A$166&gt;35,DO49+DN50-DW49,IF(A50&lt;'Données projet'!$A$166,$DL$205^A50,IF(A50='Données projet'!$A$166,'Données projet'!$B$166,DO49+DN50-DW49)))</f>
        <v>118.48443223443218</v>
      </c>
      <c r="DP50" s="17">
        <f>DO50*VLOOKUP('Données projet'!$B$14,Paramètres!$A$1:$I$89,3,0)*VLOOKUP('Données projet'!$B$14,Paramètres!$A$1:$I$89,5,0)</f>
        <v>129.38499999999993</v>
      </c>
      <c r="DQ50" s="13">
        <f t="shared" si="43"/>
        <v>33.854211693312351</v>
      </c>
      <c r="DR50" s="20">
        <f t="shared" si="16"/>
        <v>284.30829369918553</v>
      </c>
      <c r="DS50" s="59">
        <f t="shared" si="17"/>
        <v>577.64162703251884</v>
      </c>
      <c r="DT50" s="59">
        <f ca="1">AVERAGE(OFFSET($DS$3,0,0,'Données projet'!$E$14+1,1))-AVERAGE(OFFSET($H$3,0,0,'Données projet'!$E$14+1,1))</f>
        <v>276.52126514622455</v>
      </c>
      <c r="DU50" s="59">
        <f t="shared" si="44"/>
        <v>173.98404849503186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6.826007326007324</v>
      </c>
      <c r="EJ50" s="12">
        <f>IF('Données projet'!$A$192&gt;35,EJ49+EI50-ER49,IF(A50&lt;'Données projet'!$A$192,$EG$205^A50,IF(A50='Données projet'!$A$192,'Données projet'!$B$192,EJ49+EI50-ER49)))</f>
        <v>118.48443223443218</v>
      </c>
      <c r="EK50" s="17">
        <f>EJ50*VLOOKUP('Données projet'!$B$15,Paramètres!$A$1:$I$89,3,0)*VLOOKUP('Données projet'!$B$15,Paramètres!$A$1:$I$89,5,0)</f>
        <v>114.5981428571428</v>
      </c>
      <c r="EL50" s="13">
        <f t="shared" si="45"/>
        <v>30.411747376403749</v>
      </c>
      <c r="EM50" s="20">
        <f t="shared" si="19"/>
        <v>252.55889215676018</v>
      </c>
      <c r="EN50" s="59">
        <f t="shared" si="20"/>
        <v>545.89222549009355</v>
      </c>
      <c r="EO50" s="59">
        <f ca="1">AVERAGE(OFFSET($EN$3,0,0,'Données projet'!$E$15+1,1))-AVERAGE(OFFSET($H$3,0,0,'Données projet'!$E$15+1,1))</f>
        <v>234.56750794375012</v>
      </c>
      <c r="EP50" s="59">
        <f t="shared" si="46"/>
        <v>150.32420541314724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15.618681318681309</v>
      </c>
      <c r="N51" s="13">
        <f>IF('Données projet'!$A$36&gt;35,N50+M51-V50,IF(A51&lt;'Données projet'!$A$36,$K$205^A51,IF(A51='Données projet'!$A$36,'Données projet'!$B$36,N50+M51-V50)))</f>
        <v>324.23516483516488</v>
      </c>
      <c r="O51" s="13">
        <f>N51*VLOOKUP('Données projet'!$B$9,Paramètres!$A$1:$I$89,3,0)*VLOOKUP('Données projet'!$B$9,Paramètres!$A$1:$I$89,5,0)</f>
        <v>151.74205714285716</v>
      </c>
      <c r="P51" s="13">
        <f t="shared" si="33"/>
        <v>38.974207918733512</v>
      </c>
      <c r="Q51" s="20">
        <f t="shared" si="53"/>
        <v>332.16416164893707</v>
      </c>
      <c r="R51" s="59">
        <f t="shared" si="0"/>
        <v>625.49749498227038</v>
      </c>
      <c r="S51" s="59">
        <f ca="1">AVERAGE(OFFSET($R$3,0,0,'Données projet'!$E$9+1,1))-AVERAGE(OFFSET($H$3,0,0,'Données projet'!$E$9+1,1))</f>
        <v>198.17898804494365</v>
      </c>
      <c r="T51" s="59">
        <f t="shared" si="34"/>
        <v>186.24772922797723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29.00450936557144</v>
      </c>
      <c r="AB51" s="21">
        <f>EXP(-LN(2)/2)*AB50+(1-EXP(-LN(2)/2))/(LN(2)/2)*V51*Y51*VLOOKUP('Données projet'!$B$9,Paramètres!$A$1:$I$89,3,0)*0.475*44/12</f>
        <v>5.2413750410014188</v>
      </c>
      <c r="AC51" s="22">
        <f t="shared" si="3"/>
        <v>34.245884406572856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278.21846622758881</v>
      </c>
      <c r="AO51" s="59">
        <f t="shared" si="36"/>
        <v>245.37578316242906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184.35256410256409</v>
      </c>
      <c r="BB51" s="12">
        <f>VLOOKUP(A51,'Données projet'!$A$87:$I$107,9,0)</f>
        <v>9.3452380952380913</v>
      </c>
      <c r="BC51" s="12">
        <f t="array" ref="BC51">INDEX(BB:BB,MIN(IF(ISNUMBER(BB51:BB247),ROW(BB51:BB247),"")))</f>
        <v>9.3452380952380913</v>
      </c>
      <c r="BD51" s="12">
        <f>IF('Données projet'!$A$88&gt;35,BD50+BC51-BL50,IF(A51&lt;'Données projet'!$A$88,$BA$205^A51,IF(A51='Données projet'!$A$88,'Données projet'!$B$88,BD50+BC51-BL50)))</f>
        <v>184.3525641025642</v>
      </c>
      <c r="BE51" s="13">
        <f>BD51*VLOOKUP('Données projet'!$B$11,Paramètres!$A$1:$I$89,3,0)*VLOOKUP('Données projet'!$B$11,Paramètres!$A$1:$I$89,5,0)</f>
        <v>166.80220000000008</v>
      </c>
      <c r="BF51" s="13">
        <f t="shared" si="37"/>
        <v>42.373033138688463</v>
      </c>
      <c r="BG51" s="20">
        <f t="shared" si="7"/>
        <v>364.31353104988256</v>
      </c>
      <c r="BH51" s="59">
        <f t="shared" si="8"/>
        <v>657.64686438321587</v>
      </c>
      <c r="BI51" s="59">
        <f ca="1">AVERAGE(OFFSET($BH$3,0,0,'Données projet'!$E$11+1,1))-AVERAGE(OFFSET($H$3,0,0,'Données projet'!$E$11+1,1))</f>
        <v>270.87836509222456</v>
      </c>
      <c r="BJ51" s="59">
        <f t="shared" si="38"/>
        <v>205.24998237949734</v>
      </c>
      <c r="BK51" s="15">
        <f>IF(ISNA(VLOOKUP(A51,'Données projet'!$A$87:$I$107,3,0)),0,VLOOKUP(A51,'Données projet'!$A$87:$I$107,3,0))</f>
        <v>3</v>
      </c>
      <c r="BL51" s="15">
        <f>IF(ISNA(VLOOKUP(A51,'Données projet'!$A$87:$I$107,4,0)),0,VLOOKUP(A51,'Données projet'!$A$87:$I$107,4,0))</f>
        <v>48.025641025641022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184.35256410256409</v>
      </c>
      <c r="BW51" s="12">
        <f>VLOOKUP(A51,'Données projet'!$A$113:$I$133,9,0)</f>
        <v>9.3452380952380913</v>
      </c>
      <c r="BX51" s="12">
        <f t="array" ref="BX51">INDEX(BW:BW,MIN(IF(ISNUMBER(BW51:BW247),ROW(BW51:BW247),"")))</f>
        <v>9.3452380952380913</v>
      </c>
      <c r="BY51" s="12">
        <f>IF('Données projet'!$A$114&gt;35,BY50+BX51-CG50,IF(A51&lt;'Données projet'!$A$114,$BV$205^A51,IF(A51='Données projet'!$A$114,'Données projet'!$B$114,BY50+BX51-CG50)))</f>
        <v>184.3525641025642</v>
      </c>
      <c r="BZ51" s="13">
        <f>BY51*VLOOKUP('Données projet'!$B$12,Paramètres!$A$1:$I$89,3,0)*VLOOKUP('Données projet'!$B$12,Paramètres!$A$1:$I$89,5,0)</f>
        <v>186.93350000000012</v>
      </c>
      <c r="CA51" s="13">
        <f t="shared" si="39"/>
        <v>46.861352563060628</v>
      </c>
      <c r="CB51" s="20">
        <f t="shared" si="10"/>
        <v>407.19270154733073</v>
      </c>
      <c r="CC51" s="59">
        <f t="shared" si="11"/>
        <v>700.52603488066404</v>
      </c>
      <c r="CD51" s="59">
        <f ca="1">AVERAGE(OFFSET($CC$3,0,0,'Données projet'!$E$12+1,1))-AVERAGE(OFFSET($H$3,0,0,'Données projet'!$E$12+1,1))</f>
        <v>312.29056285877169</v>
      </c>
      <c r="CE51" s="59">
        <f t="shared" si="40"/>
        <v>233.85454224241693</v>
      </c>
      <c r="CF51" s="15">
        <f>IF(ISNA(VLOOKUP(A51,'Données projet'!$A$113:$I$133,3,0)),0,VLOOKUP(A51,'Données projet'!$A$113:$I$133,3,0))</f>
        <v>3</v>
      </c>
      <c r="CG51" s="15">
        <f>IF(ISNA(VLOOKUP(A51,'Données projet'!$A$113:$I$133,4,0)),0,VLOOKUP(A51,'Données projet'!$A$113:$I$133,4,0))</f>
        <v>48.025641025641022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6.826007326007324</v>
      </c>
      <c r="CT51" s="12">
        <f>IF('Données projet'!$A$140&gt;35,CT50+CS51-DB50,IF(A51&lt;'Données projet'!$A$140,$CQ$205^A51,IF(A51='Données projet'!$A$140,'Données projet'!$B$140,CT50+CS51-DB50)))</f>
        <v>125.31043956043951</v>
      </c>
      <c r="CU51" s="17">
        <f>CT51*VLOOKUP('Données projet'!$B$13,Paramètres!$A$1:$I$89,3,0)*VLOOKUP('Données projet'!$B$13,Paramètres!$A$1:$I$89,5,0)</f>
        <v>142.70352857142851</v>
      </c>
      <c r="CV51" s="13">
        <f t="shared" si="41"/>
        <v>36.915654804283697</v>
      </c>
      <c r="CW51" s="20">
        <f t="shared" si="13"/>
        <v>312.83674437936537</v>
      </c>
      <c r="CX51" s="59">
        <f t="shared" si="14"/>
        <v>606.17007771269868</v>
      </c>
      <c r="CY51" s="59">
        <f ca="1">AVERAGE(OFFSET($CX$3,0,0,'Données projet'!$E$13+1,1))-AVERAGE(OFFSET($H$3,0,0,'Données projet'!$E$13+1,1))</f>
        <v>292.22737648725354</v>
      </c>
      <c r="CZ51" s="59">
        <f t="shared" si="42"/>
        <v>182.84038581199871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6.826007326007324</v>
      </c>
      <c r="DO51" s="12">
        <f>IF('Données projet'!$A$166&gt;35,DO50+DN51-DW50,IF(A51&lt;'Données projet'!$A$166,$DL$205^A51,IF(A51='Données projet'!$A$166,'Données projet'!$B$166,DO50+DN51-DW50)))</f>
        <v>125.31043956043951</v>
      </c>
      <c r="DP51" s="17">
        <f>DO51*VLOOKUP('Données projet'!$B$14,Paramètres!$A$1:$I$89,3,0)*VLOOKUP('Données projet'!$B$14,Paramètres!$A$1:$I$89,5,0)</f>
        <v>136.83899999999991</v>
      </c>
      <c r="DQ51" s="13">
        <f t="shared" si="43"/>
        <v>35.57190511734504</v>
      </c>
      <c r="DR51" s="20">
        <f t="shared" si="16"/>
        <v>300.2823264127091</v>
      </c>
      <c r="DS51" s="59">
        <f t="shared" si="17"/>
        <v>593.61565974604241</v>
      </c>
      <c r="DT51" s="59">
        <f ca="1">AVERAGE(OFFSET($DS$3,0,0,'Données projet'!$E$14+1,1))-AVERAGE(OFFSET($H$3,0,0,'Données projet'!$E$14+1,1))</f>
        <v>276.52126514622455</v>
      </c>
      <c r="DU51" s="59">
        <f t="shared" si="44"/>
        <v>173.98404849503186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6.826007326007324</v>
      </c>
      <c r="EJ51" s="12">
        <f>IF('Données projet'!$A$192&gt;35,EJ50+EI51-ER50,IF(A51&lt;'Données projet'!$A$192,$EG$205^A51,IF(A51='Données projet'!$A$192,'Données projet'!$B$192,EJ50+EI51-ER50)))</f>
        <v>125.31043956043951</v>
      </c>
      <c r="EK51" s="17">
        <f>EJ51*VLOOKUP('Données projet'!$B$15,Paramètres!$A$1:$I$89,3,0)*VLOOKUP('Données projet'!$B$15,Paramètres!$A$1:$I$89,5,0)</f>
        <v>121.20025714285708</v>
      </c>
      <c r="EL51" s="13">
        <f t="shared" si="45"/>
        <v>31.954777205454842</v>
      </c>
      <c r="EM51" s="20">
        <f t="shared" si="19"/>
        <v>266.7450181566432</v>
      </c>
      <c r="EN51" s="59">
        <f t="shared" si="20"/>
        <v>560.07835148997651</v>
      </c>
      <c r="EO51" s="59">
        <f ca="1">AVERAGE(OFFSET($EN$3,0,0,'Données projet'!$E$15+1,1))-AVERAGE(OFFSET($H$3,0,0,'Données projet'!$E$15+1,1))</f>
        <v>234.56750794375012</v>
      </c>
      <c r="EP51" s="59">
        <f t="shared" si="46"/>
        <v>150.32420541314724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339.85384615384612</v>
      </c>
      <c r="L52" s="12">
        <f>VLOOKUP(A52,'Données projet'!$A$35:$I$55,9,0)</f>
        <v>15.618681318681309</v>
      </c>
      <c r="M52" s="12">
        <f t="array" ref="M52">INDEX(L:L,MIN(IF(ISNUMBER(L52:L248),ROW(L52:L248),"")))</f>
        <v>15.618681318681309</v>
      </c>
      <c r="N52" s="13">
        <f>IF('Données projet'!$A$36&gt;35,N51+M52-V51,IF(A52&lt;'Données projet'!$A$36,$K$205^A52,IF(A52='Données projet'!$A$36,'Données projet'!$B$36,N51+M52-V51)))</f>
        <v>339.85384615384618</v>
      </c>
      <c r="O52" s="13">
        <f>N52*VLOOKUP('Données projet'!$B$9,Paramètres!$A$1:$I$89,3,0)*VLOOKUP('Données projet'!$B$9,Paramètres!$A$1:$I$89,5,0)</f>
        <v>159.05160000000001</v>
      </c>
      <c r="P52" s="13">
        <f t="shared" si="33"/>
        <v>40.628527179850586</v>
      </c>
      <c r="Q52" s="20">
        <f t="shared" si="53"/>
        <v>347.77622150490646</v>
      </c>
      <c r="R52" s="59">
        <f t="shared" si="0"/>
        <v>641.10955483823977</v>
      </c>
      <c r="S52" s="59">
        <f ca="1">AVERAGE(OFFSET($R$3,0,0,'Données projet'!$E$9+1,1))-AVERAGE(OFFSET($H$3,0,0,'Données projet'!$E$9+1,1))</f>
        <v>198.17898804494365</v>
      </c>
      <c r="T52" s="59">
        <f t="shared" si="34"/>
        <v>186.24772922797723</v>
      </c>
      <c r="U52" s="15">
        <f>IF(ISNA(VLOOKUP(A52,'Données projet'!$A$35:$I$55,3,0)),0,VLOOKUP(A52,'Données projet'!$A$35:$I$55,3,0))</f>
        <v>2</v>
      </c>
      <c r="V52" s="15">
        <f>IF(ISNA(VLOOKUP(A52,'Données projet'!$A$35:$I$55,4,0)),0,VLOOKUP(A52,'Données projet'!$A$35:$I$55,4,0))</f>
        <v>94.476923076923072</v>
      </c>
      <c r="W52" s="16">
        <f>IF(ISNA(VLOOKUP(A52,'Données projet'!$A$35:$I$55,5,0)),0%,VLOOKUP(A52,'Données projet'!$A$35:$I$55,5,0)*VLOOKUP('Données projet'!$B$9,Paramètres!$A$1:$I$89,7,0))</f>
        <v>0.38500000000000001</v>
      </c>
      <c r="X52" s="16">
        <f>IF(ISNA(VLOOKUP(A52,'Données projet'!$A$35:$I$55,6,0)),0%,VLOOKUP(A52,'Données projet'!$A$35:$I$55,6,0)*VLOOKUP('Données projet'!$B$9,Paramètres!$A$1:$I$89,7,0))</f>
        <v>9.240000000000001E-2</v>
      </c>
      <c r="Y52" s="16">
        <f>IF(ISNA(VLOOKUP(A52,'Données projet'!$A$35:$I$55,7,0)),0%,VLOOKUP(A52,'Données projet'!$A$35:$I$55,7,0))</f>
        <v>0.13200000000000001</v>
      </c>
      <c r="Z52" s="21">
        <f>EXP(-LN(2)/35)*Z51+(1-EXP(-LN(2)/35))/(LN(2)/35)*V52*W52*VLOOKUP('Données projet'!$B$9,Paramètres!$A$1:$I$89,3,0)*0.475*44/12</f>
        <v>22.581910393407885</v>
      </c>
      <c r="AA52" s="21">
        <f>EXP(-LN(2)/25)*AA51+(1-EXP(-LN(2)/25))/(LN(2)/25)*Calculateur!V52*Calculateur!X52*VLOOKUP('Données projet'!$B$9,Paramètres!$A$1:$I$89,3,0)*0.475*44/12</f>
        <v>33.609698765562619</v>
      </c>
      <c r="AB52" s="21">
        <f>EXP(-LN(2)/2)*AB51+(1-EXP(-LN(2)/2))/(LN(2)/2)*V52*Y52*VLOOKUP('Données projet'!$B$9,Paramètres!$A$1:$I$89,3,0)*0.475*44/12</f>
        <v>10.314379661804189</v>
      </c>
      <c r="AC52" s="22">
        <f t="shared" si="3"/>
        <v>66.505988820774689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278.21846622758881</v>
      </c>
      <c r="AO52" s="59">
        <f t="shared" si="36"/>
        <v>245.37578316242906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8.8736263736263741</v>
      </c>
      <c r="BD52" s="12">
        <f>IF('Données projet'!$A$88&gt;35,BD51+BC52-BL51,IF(A52&lt;'Données projet'!$A$88,$BA$205^A52,IF(A52='Données projet'!$A$88,'Données projet'!$B$88,BD51+BC52-BL51)))</f>
        <v>145.20054945054954</v>
      </c>
      <c r="BE52" s="13">
        <f>BD52*VLOOKUP('Données projet'!$B$11,Paramètres!$A$1:$I$89,3,0)*VLOOKUP('Données projet'!$B$11,Paramètres!$A$1:$I$89,5,0)</f>
        <v>131.37745714285722</v>
      </c>
      <c r="BF52" s="13">
        <f t="shared" si="37"/>
        <v>34.314453722516539</v>
      </c>
      <c r="BG52" s="20">
        <f t="shared" si="7"/>
        <v>288.58007809052594</v>
      </c>
      <c r="BH52" s="59">
        <f t="shared" si="8"/>
        <v>581.91341142385932</v>
      </c>
      <c r="BI52" s="59">
        <f ca="1">AVERAGE(OFFSET($BH$3,0,0,'Données projet'!$E$11+1,1))-AVERAGE(OFFSET($H$3,0,0,'Données projet'!$E$11+1,1))</f>
        <v>270.87836509222456</v>
      </c>
      <c r="BJ52" s="59">
        <f t="shared" si="38"/>
        <v>205.24998237949734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8.8736263736263741</v>
      </c>
      <c r="BY52" s="12">
        <f>IF('Données projet'!$A$114&gt;35,BY51+BX52-CG51,IF(A52&lt;'Données projet'!$A$114,$BV$205^A52,IF(A52='Données projet'!$A$114,'Données projet'!$B$114,BY51+BX52-CG51)))</f>
        <v>145.20054945054954</v>
      </c>
      <c r="BZ52" s="13">
        <f>BY52*VLOOKUP('Données projet'!$B$12,Paramètres!$A$1:$I$89,3,0)*VLOOKUP('Données projet'!$B$12,Paramètres!$A$1:$I$89,5,0)</f>
        <v>147.23335714285724</v>
      </c>
      <c r="CA52" s="13">
        <f t="shared" si="39"/>
        <v>37.949176511309943</v>
      </c>
      <c r="CB52" s="20">
        <f t="shared" si="10"/>
        <v>322.52624611434112</v>
      </c>
      <c r="CC52" s="59">
        <f t="shared" si="11"/>
        <v>615.85957944767438</v>
      </c>
      <c r="CD52" s="59">
        <f ca="1">AVERAGE(OFFSET($CC$3,0,0,'Données projet'!$E$12+1,1))-AVERAGE(OFFSET($H$3,0,0,'Données projet'!$E$12+1,1))</f>
        <v>312.29056285877169</v>
      </c>
      <c r="CE52" s="59">
        <f t="shared" si="40"/>
        <v>233.85454224241693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6.826007326007324</v>
      </c>
      <c r="CT52" s="12">
        <f>IF('Données projet'!$A$140&gt;35,CT51+CS52-DB51,IF(A52&lt;'Données projet'!$A$140,$CQ$205^A52,IF(A52='Données projet'!$A$140,'Données projet'!$B$140,CT51+CS52-DB51)))</f>
        <v>132.13644688644683</v>
      </c>
      <c r="CU52" s="17">
        <f>CT52*VLOOKUP('Données projet'!$B$13,Paramètres!$A$1:$I$89,3,0)*VLOOKUP('Données projet'!$B$13,Paramètres!$A$1:$I$89,5,0)</f>
        <v>150.47698571428566</v>
      </c>
      <c r="CV52" s="13">
        <f t="shared" si="41"/>
        <v>38.686962298693096</v>
      </c>
      <c r="CW52" s="20">
        <f t="shared" si="13"/>
        <v>329.4605427892713</v>
      </c>
      <c r="CX52" s="59">
        <f t="shared" si="14"/>
        <v>622.79387612260462</v>
      </c>
      <c r="CY52" s="59">
        <f ca="1">AVERAGE(OFFSET($CX$3,0,0,'Données projet'!$E$13+1,1))-AVERAGE(OFFSET($H$3,0,0,'Données projet'!$E$13+1,1))</f>
        <v>292.22737648725354</v>
      </c>
      <c r="CZ52" s="59">
        <f t="shared" si="42"/>
        <v>182.84038581199871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6.826007326007324</v>
      </c>
      <c r="DO52" s="12">
        <f>IF('Données projet'!$A$166&gt;35,DO51+DN52-DW51,IF(A52&lt;'Données projet'!$A$166,$DL$205^A52,IF(A52='Données projet'!$A$166,'Données projet'!$B$166,DO51+DN52-DW51)))</f>
        <v>132.13644688644683</v>
      </c>
      <c r="DP52" s="17">
        <f>DO52*VLOOKUP('Données projet'!$B$14,Paramètres!$A$1:$I$89,3,0)*VLOOKUP('Données projet'!$B$14,Paramètres!$A$1:$I$89,5,0)</f>
        <v>144.29299999999992</v>
      </c>
      <c r="DQ52" s="13">
        <f t="shared" si="43"/>
        <v>37.278736066405251</v>
      </c>
      <c r="DR52" s="20">
        <f t="shared" si="16"/>
        <v>316.23744031565565</v>
      </c>
      <c r="DS52" s="59">
        <f t="shared" si="17"/>
        <v>609.57077364898896</v>
      </c>
      <c r="DT52" s="59">
        <f ca="1">AVERAGE(OFFSET($DS$3,0,0,'Données projet'!$E$14+1,1))-AVERAGE(OFFSET($H$3,0,0,'Données projet'!$E$14+1,1))</f>
        <v>276.52126514622455</v>
      </c>
      <c r="DU52" s="59">
        <f t="shared" si="44"/>
        <v>173.98404849503186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6.826007326007324</v>
      </c>
      <c r="EJ52" s="12">
        <f>IF('Données projet'!$A$192&gt;35,EJ51+EI52-ER51,IF(A52&lt;'Données projet'!$A$192,$EG$205^A52,IF(A52='Données projet'!$A$192,'Données projet'!$B$192,EJ51+EI52-ER51)))</f>
        <v>132.13644688644683</v>
      </c>
      <c r="EK52" s="17">
        <f>EJ52*VLOOKUP('Données projet'!$B$15,Paramètres!$A$1:$I$89,3,0)*VLOOKUP('Données projet'!$B$15,Paramètres!$A$1:$I$89,5,0)</f>
        <v>127.80237142857139</v>
      </c>
      <c r="EL52" s="13">
        <f t="shared" si="45"/>
        <v>33.488049109916332</v>
      </c>
      <c r="EM52" s="20">
        <f t="shared" si="19"/>
        <v>280.91414910453278</v>
      </c>
      <c r="EN52" s="59">
        <f t="shared" si="20"/>
        <v>574.2474824378661</v>
      </c>
      <c r="EO52" s="59">
        <f ca="1">AVERAGE(OFFSET($EN$3,0,0,'Données projet'!$E$15+1,1))-AVERAGE(OFFSET($H$3,0,0,'Données projet'!$E$15+1,1))</f>
        <v>234.56750794375012</v>
      </c>
      <c r="EP52" s="59">
        <f t="shared" si="46"/>
        <v>150.32420541314724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14.668131868131875</v>
      </c>
      <c r="N53" s="13">
        <f>IF('Données projet'!$A$36&gt;35,N52+M53-V52,IF(A53&lt;'Données projet'!$A$36,$K$205^A53,IF(A53='Données projet'!$A$36,'Données projet'!$B$36,N52+M53-V52)))</f>
        <v>260.04505494505497</v>
      </c>
      <c r="O53" s="13">
        <f>N53*VLOOKUP('Données projet'!$B$9,Paramètres!$A$1:$I$89,3,0)*VLOOKUP('Données projet'!$B$9,Paramètres!$A$1:$I$89,5,0)</f>
        <v>121.70108571428571</v>
      </c>
      <c r="P53" s="13">
        <f t="shared" si="33"/>
        <v>32.071423986344442</v>
      </c>
      <c r="Q53" s="20">
        <f t="shared" si="53"/>
        <v>267.82045439526422</v>
      </c>
      <c r="R53" s="59">
        <f t="shared" si="0"/>
        <v>561.15378772859754</v>
      </c>
      <c r="S53" s="59">
        <f ca="1">AVERAGE(OFFSET($R$3,0,0,'Données projet'!$E$9+1,1))-AVERAGE(OFFSET($H$3,0,0,'Données projet'!$E$9+1,1))</f>
        <v>198.17898804494365</v>
      </c>
      <c r="T53" s="59">
        <f t="shared" si="34"/>
        <v>186.24772922797723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22.139092904198467</v>
      </c>
      <c r="AA53" s="21">
        <f>EXP(-LN(2)/25)*AA52+(1-EXP(-LN(2)/25))/(LN(2)/25)*Calculateur!V53*Calculateur!X53*VLOOKUP('Données projet'!$B$9,Paramètres!$A$1:$I$89,3,0)*0.475*44/12</f>
        <v>32.690639785361064</v>
      </c>
      <c r="AB53" s="21">
        <f>EXP(-LN(2)/2)*AB52+(1-EXP(-LN(2)/2))/(LN(2)/2)*V53*Y53*VLOOKUP('Données projet'!$B$9,Paramètres!$A$1:$I$89,3,0)*0.475*44/12</f>
        <v>7.2933678025943509</v>
      </c>
      <c r="AC53" s="22">
        <f t="shared" si="3"/>
        <v>62.123100492153888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278.21846622758881</v>
      </c>
      <c r="AO53" s="59">
        <f t="shared" si="36"/>
        <v>245.37578316242906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8.8736263736263741</v>
      </c>
      <c r="BD53" s="12">
        <f>IF('Données projet'!$A$88&gt;35,BD52+BC53-BL52,IF(A53&lt;'Données projet'!$A$88,$BA$205^A53,IF(A53='Données projet'!$A$88,'Données projet'!$B$88,BD52+BC53-BL52)))</f>
        <v>154.07417582417591</v>
      </c>
      <c r="BE53" s="13">
        <f>BD53*VLOOKUP('Données projet'!$B$11,Paramètres!$A$1:$I$89,3,0)*VLOOKUP('Données projet'!$B$11,Paramètres!$A$1:$I$89,5,0)</f>
        <v>139.40631428571436</v>
      </c>
      <c r="BF53" s="13">
        <f t="shared" si="37"/>
        <v>36.160966815041384</v>
      </c>
      <c r="BG53" s="20">
        <f t="shared" si="7"/>
        <v>305.77968125048289</v>
      </c>
      <c r="BH53" s="59">
        <f t="shared" si="8"/>
        <v>599.11301458381627</v>
      </c>
      <c r="BI53" s="59">
        <f ca="1">AVERAGE(OFFSET($BH$3,0,0,'Données projet'!$E$11+1,1))-AVERAGE(OFFSET($H$3,0,0,'Données projet'!$E$11+1,1))</f>
        <v>270.87836509222456</v>
      </c>
      <c r="BJ53" s="59">
        <f t="shared" si="38"/>
        <v>205.24998237949734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8.8736263736263741</v>
      </c>
      <c r="BY53" s="12">
        <f>IF('Données projet'!$A$114&gt;35,BY52+BX53-CG52,IF(A53&lt;'Données projet'!$A$114,$BV$205^A53,IF(A53='Données projet'!$A$114,'Données projet'!$B$114,BY52+BX53-CG52)))</f>
        <v>154.07417582417591</v>
      </c>
      <c r="BZ53" s="13">
        <f>BY53*VLOOKUP('Données projet'!$B$12,Paramètres!$A$1:$I$89,3,0)*VLOOKUP('Données projet'!$B$12,Paramètres!$A$1:$I$89,5,0)</f>
        <v>156.23121428571437</v>
      </c>
      <c r="CA53" s="13">
        <f t="shared" si="39"/>
        <v>39.991279580917869</v>
      </c>
      <c r="CB53" s="20">
        <f t="shared" si="10"/>
        <v>341.75417681771779</v>
      </c>
      <c r="CC53" s="59">
        <f t="shared" si="11"/>
        <v>635.08751015105111</v>
      </c>
      <c r="CD53" s="59">
        <f ca="1">AVERAGE(OFFSET($CC$3,0,0,'Données projet'!$E$12+1,1))-AVERAGE(OFFSET($H$3,0,0,'Données projet'!$E$12+1,1))</f>
        <v>312.29056285877169</v>
      </c>
      <c r="CE53" s="59">
        <f t="shared" si="40"/>
        <v>233.85454224241693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6.826007326007324</v>
      </c>
      <c r="CT53" s="12">
        <f>IF('Données projet'!$A$140&gt;35,CT52+CS53-DB52,IF(A53&lt;'Données projet'!$A$140,$CQ$205^A53,IF(A53='Données projet'!$A$140,'Données projet'!$B$140,CT52+CS53-DB52)))</f>
        <v>138.96245421245416</v>
      </c>
      <c r="CU53" s="17">
        <f>CT53*VLOOKUP('Données projet'!$B$13,Paramètres!$A$1:$I$89,3,0)*VLOOKUP('Données projet'!$B$13,Paramètres!$A$1:$I$89,5,0)</f>
        <v>158.25044285714282</v>
      </c>
      <c r="CV53" s="13">
        <f t="shared" si="41"/>
        <v>40.44764574652848</v>
      </c>
      <c r="CW53" s="20">
        <f t="shared" si="13"/>
        <v>346.06583765139413</v>
      </c>
      <c r="CX53" s="59">
        <f t="shared" si="14"/>
        <v>639.39917098472745</v>
      </c>
      <c r="CY53" s="59">
        <f ca="1">AVERAGE(OFFSET($CX$3,0,0,'Données projet'!$E$13+1,1))-AVERAGE(OFFSET($H$3,0,0,'Données projet'!$E$13+1,1))</f>
        <v>292.22737648725354</v>
      </c>
      <c r="CZ53" s="59">
        <f t="shared" si="42"/>
        <v>182.84038581199871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6.826007326007324</v>
      </c>
      <c r="DO53" s="12">
        <f>IF('Données projet'!$A$166&gt;35,DO52+DN53-DW52,IF(A53&lt;'Données projet'!$A$166,$DL$205^A53,IF(A53='Données projet'!$A$166,'Données projet'!$B$166,DO52+DN53-DW52)))</f>
        <v>138.96245421245416</v>
      </c>
      <c r="DP53" s="17">
        <f>DO53*VLOOKUP('Données projet'!$B$14,Paramètres!$A$1:$I$89,3,0)*VLOOKUP('Données projet'!$B$14,Paramètres!$A$1:$I$89,5,0)</f>
        <v>151.74699999999993</v>
      </c>
      <c r="DQ53" s="13">
        <f t="shared" si="43"/>
        <v>38.975329689899944</v>
      </c>
      <c r="DR53" s="20">
        <f t="shared" si="16"/>
        <v>332.1747242099089</v>
      </c>
      <c r="DS53" s="59">
        <f t="shared" si="17"/>
        <v>625.50805754324222</v>
      </c>
      <c r="DT53" s="59">
        <f ca="1">AVERAGE(OFFSET($DS$3,0,0,'Données projet'!$E$14+1,1))-AVERAGE(OFFSET($H$3,0,0,'Données projet'!$E$14+1,1))</f>
        <v>276.52126514622455</v>
      </c>
      <c r="DU53" s="59">
        <f t="shared" si="44"/>
        <v>173.98404849503186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6.826007326007324</v>
      </c>
      <c r="EJ53" s="12">
        <f>IF('Données projet'!$A$192&gt;35,EJ52+EI53-ER52,IF(A53&lt;'Données projet'!$A$192,$EG$205^A53,IF(A53='Données projet'!$A$192,'Données projet'!$B$192,EJ52+EI53-ER52)))</f>
        <v>138.96245421245416</v>
      </c>
      <c r="EK53" s="17">
        <f>EJ53*VLOOKUP('Données projet'!$B$15,Paramètres!$A$1:$I$89,3,0)*VLOOKUP('Données projet'!$B$15,Paramètres!$A$1:$I$89,5,0)</f>
        <v>134.40448571428567</v>
      </c>
      <c r="EL53" s="13">
        <f t="shared" si="45"/>
        <v>35.012124670899802</v>
      </c>
      <c r="EM53" s="20">
        <f t="shared" si="19"/>
        <v>295.06726308753133</v>
      </c>
      <c r="EN53" s="59">
        <f t="shared" si="20"/>
        <v>588.40059642086464</v>
      </c>
      <c r="EO53" s="59">
        <f ca="1">AVERAGE(OFFSET($EN$3,0,0,'Données projet'!$E$15+1,1))-AVERAGE(OFFSET($H$3,0,0,'Données projet'!$E$15+1,1))</f>
        <v>234.56750794375012</v>
      </c>
      <c r="EP53" s="59">
        <f t="shared" si="46"/>
        <v>150.32420541314724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14.668131868131875</v>
      </c>
      <c r="N54" s="13">
        <f>IF('Données projet'!$A$36&gt;35,N53+M54-V53,IF(A54&lt;'Données projet'!$A$36,$K$205^A54,IF(A54='Données projet'!$A$36,'Données projet'!$B$36,N53+M54-V53)))</f>
        <v>274.71318681318684</v>
      </c>
      <c r="O54" s="13">
        <f>N54*VLOOKUP('Données projet'!$B$9,Paramètres!$A$1:$I$89,3,0)*VLOOKUP('Données projet'!$B$9,Paramètres!$A$1:$I$89,5,0)</f>
        <v>128.56577142857145</v>
      </c>
      <c r="P54" s="13">
        <f t="shared" si="33"/>
        <v>33.664737545838108</v>
      </c>
      <c r="Q54" s="20">
        <f t="shared" si="53"/>
        <v>282.55146979709662</v>
      </c>
      <c r="R54" s="59">
        <f t="shared" si="0"/>
        <v>575.88480313042987</v>
      </c>
      <c r="S54" s="59">
        <f ca="1">AVERAGE(OFFSET($R$3,0,0,'Données projet'!$E$9+1,1))-AVERAGE(OFFSET($H$3,0,0,'Données projet'!$E$9+1,1))</f>
        <v>198.17898804494365</v>
      </c>
      <c r="T54" s="59">
        <f t="shared" si="34"/>
        <v>186.24772922797723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21.704958795860446</v>
      </c>
      <c r="AA54" s="21">
        <f>EXP(-LN(2)/25)*AA53+(1-EXP(-LN(2)/25))/(LN(2)/25)*Calculateur!V54*Calculateur!X54*VLOOKUP('Données projet'!$B$9,Paramètres!$A$1:$I$89,3,0)*0.475*44/12</f>
        <v>31.796712521304336</v>
      </c>
      <c r="AB54" s="21">
        <f>EXP(-LN(2)/2)*AB53+(1-EXP(-LN(2)/2))/(LN(2)/2)*V54*Y54*VLOOKUP('Données projet'!$B$9,Paramètres!$A$1:$I$89,3,0)*0.475*44/12</f>
        <v>5.1571898309020954</v>
      </c>
      <c r="AC54" s="22">
        <f t="shared" si="3"/>
        <v>58.658861148066876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278.21846622758881</v>
      </c>
      <c r="AO54" s="59">
        <f t="shared" si="36"/>
        <v>245.37578316242906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8.8736263736263741</v>
      </c>
      <c r="BD54" s="12">
        <f>IF('Données projet'!$A$88&gt;35,BD53+BC54-BL53,IF(A54&lt;'Données projet'!$A$88,$BA$205^A54,IF(A54='Données projet'!$A$88,'Données projet'!$B$88,BD53+BC54-BL53)))</f>
        <v>162.94780219780228</v>
      </c>
      <c r="BE54" s="13">
        <f>BD54*VLOOKUP('Données projet'!$B$11,Paramètres!$A$1:$I$89,3,0)*VLOOKUP('Données projet'!$B$11,Paramètres!$A$1:$I$89,5,0)</f>
        <v>147.43517142857149</v>
      </c>
      <c r="BF54" s="13">
        <f t="shared" si="37"/>
        <v>37.995135358244994</v>
      </c>
      <c r="BG54" s="20">
        <f t="shared" si="7"/>
        <v>322.95778432037201</v>
      </c>
      <c r="BH54" s="59">
        <f t="shared" si="8"/>
        <v>616.29111765370533</v>
      </c>
      <c r="BI54" s="59">
        <f ca="1">AVERAGE(OFFSET($BH$3,0,0,'Données projet'!$E$11+1,1))-AVERAGE(OFFSET($H$3,0,0,'Données projet'!$E$11+1,1))</f>
        <v>270.87836509222456</v>
      </c>
      <c r="BJ54" s="59">
        <f t="shared" si="38"/>
        <v>205.24998237949734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8.8736263736263741</v>
      </c>
      <c r="BY54" s="12">
        <f>IF('Données projet'!$A$114&gt;35,BY53+BX54-CG53,IF(A54&lt;'Données projet'!$A$114,$BV$205^A54,IF(A54='Données projet'!$A$114,'Données projet'!$B$114,BY53+BX54-CG53)))</f>
        <v>162.94780219780228</v>
      </c>
      <c r="BZ54" s="13">
        <f>BY54*VLOOKUP('Données projet'!$B$12,Paramètres!$A$1:$I$89,3,0)*VLOOKUP('Données projet'!$B$12,Paramètres!$A$1:$I$89,5,0)</f>
        <v>165.22907142857153</v>
      </c>
      <c r="CA54" s="13">
        <f t="shared" si="39"/>
        <v>42.019730517668535</v>
      </c>
      <c r="CB54" s="20">
        <f t="shared" si="10"/>
        <v>360.95833005636814</v>
      </c>
      <c r="CC54" s="59">
        <f t="shared" si="11"/>
        <v>654.2916633897014</v>
      </c>
      <c r="CD54" s="59">
        <f ca="1">AVERAGE(OFFSET($CC$3,0,0,'Données projet'!$E$12+1,1))-AVERAGE(OFFSET($H$3,0,0,'Données projet'!$E$12+1,1))</f>
        <v>312.29056285877169</v>
      </c>
      <c r="CE54" s="59">
        <f t="shared" si="40"/>
        <v>233.85454224241693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>
        <f>VLOOKUP(A54,'Données projet'!$A$139:$I$159,2,0)</f>
        <v>145.78846153846152</v>
      </c>
      <c r="CR54" s="12">
        <f>VLOOKUP(A54,'Données projet'!$A$139:$I$159,9,0)</f>
        <v>6.826007326007324</v>
      </c>
      <c r="CS54" s="12">
        <f t="array" ref="CS54">INDEX(CR:CR,MIN(IF(ISNUMBER(CR54:CR250),ROW(CR54:CR250),"")))</f>
        <v>6.826007326007324</v>
      </c>
      <c r="CT54" s="12">
        <f>IF('Données projet'!$A$140&gt;35,CT53+CS54-DB53,IF(A54&lt;'Données projet'!$A$140,$CQ$205^A54,IF(A54='Données projet'!$A$140,'Données projet'!$B$140,CT53+CS54-DB53)))</f>
        <v>145.78846153846149</v>
      </c>
      <c r="CU54" s="17">
        <f>CT54*VLOOKUP('Données projet'!$B$13,Paramètres!$A$1:$I$89,3,0)*VLOOKUP('Données projet'!$B$13,Paramètres!$A$1:$I$89,5,0)</f>
        <v>166.02389999999994</v>
      </c>
      <c r="CV54" s="13">
        <f t="shared" si="41"/>
        <v>42.198286575571508</v>
      </c>
      <c r="CW54" s="20">
        <f t="shared" si="13"/>
        <v>362.65364161912021</v>
      </c>
      <c r="CX54" s="59">
        <f t="shared" si="14"/>
        <v>655.98697495245347</v>
      </c>
      <c r="CY54" s="59">
        <f ca="1">AVERAGE(OFFSET($CX$3,0,0,'Données projet'!$E$13+1,1))-AVERAGE(OFFSET($H$3,0,0,'Données projet'!$E$13+1,1))</f>
        <v>292.22737648725354</v>
      </c>
      <c r="CZ54" s="59">
        <f t="shared" si="42"/>
        <v>182.84038581199871</v>
      </c>
      <c r="DA54" s="15">
        <f>IF(ISNA(VLOOKUP(A54,'Données projet'!$A$139:$I$159,3,0)),0,VLOOKUP(A54,'Données projet'!$A$139:$I$159,3,0))</f>
        <v>2</v>
      </c>
      <c r="DB54" s="15">
        <f>IF(ISNA(VLOOKUP(A54,'Données projet'!$A$139:$I$159,4,0)),0,VLOOKUP(A54,'Données projet'!$A$139:$I$159,4,0))</f>
        <v>37.685897435897431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>
        <f>VLOOKUP(A54,'Données projet'!$A$165:$I$185,2,0)</f>
        <v>145.78846153846152</v>
      </c>
      <c r="DM54" s="12">
        <f>VLOOKUP(A54,'Données projet'!$A$165:$I$185,9,0)</f>
        <v>6.826007326007324</v>
      </c>
      <c r="DN54" s="12">
        <f t="array" ref="DN54">INDEX(DM:DM,MIN(IF(ISNUMBER(DM54:DM250),ROW(DM54:DM250),"")))</f>
        <v>6.826007326007324</v>
      </c>
      <c r="DO54" s="12">
        <f>IF('Données projet'!$A$166&gt;35,DO53+DN54-DW53,IF(A54&lt;'Données projet'!$A$166,$DL$205^A54,IF(A54='Données projet'!$A$166,'Données projet'!$B$166,DO53+DN54-DW53)))</f>
        <v>145.78846153846149</v>
      </c>
      <c r="DP54" s="17">
        <f>DO54*VLOOKUP('Données projet'!$B$14,Paramètres!$A$1:$I$89,3,0)*VLOOKUP('Données projet'!$B$14,Paramètres!$A$1:$I$89,5,0)</f>
        <v>159.20099999999994</v>
      </c>
      <c r="DQ54" s="13">
        <f t="shared" si="43"/>
        <v>40.662246251326991</v>
      </c>
      <c r="DR54" s="20">
        <f t="shared" si="16"/>
        <v>348.09515388772769</v>
      </c>
      <c r="DS54" s="59">
        <f t="shared" si="17"/>
        <v>641.428487221061</v>
      </c>
      <c r="DT54" s="59">
        <f ca="1">AVERAGE(OFFSET($DS$3,0,0,'Données projet'!$E$14+1,1))-AVERAGE(OFFSET($H$3,0,0,'Données projet'!$E$14+1,1))</f>
        <v>276.52126514622455</v>
      </c>
      <c r="DU54" s="59">
        <f t="shared" si="44"/>
        <v>173.98404849503186</v>
      </c>
      <c r="DV54" s="15">
        <f>IF(ISNA(VLOOKUP(A54,'Données projet'!$A$165:$I$185,3,0)),0,VLOOKUP(A54,'Données projet'!$A$165:$I$185,3,0))</f>
        <v>2</v>
      </c>
      <c r="DW54" s="15">
        <f>IF(ISNA(VLOOKUP(A54,'Données projet'!$A$165:$I$185,4,0)),0,VLOOKUP(A54,'Données projet'!$A$165:$I$185,4,0))</f>
        <v>37.685897435897431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>
        <f>VLOOKUP(A54,'Données projet'!$A$191:$I$211,2,0)</f>
        <v>145.78846153846152</v>
      </c>
      <c r="EH54" s="12">
        <f>VLOOKUP(A54,'Données projet'!$A$191:$I$211,9,0)</f>
        <v>6.826007326007324</v>
      </c>
      <c r="EI54" s="12">
        <f t="array" ref="EI54">INDEX(EH:EH,MIN(IF(ISNUMBER(EH54:EH250),ROW(EH54:EH250),"")))</f>
        <v>6.826007326007324</v>
      </c>
      <c r="EJ54" s="12">
        <f>IF('Données projet'!$A$192&gt;35,EJ53+EI54-ER53,IF(A54&lt;'Données projet'!$A$192,$EG$205^A54,IF(A54='Données projet'!$A$192,'Données projet'!$B$192,EJ53+EI54-ER53)))</f>
        <v>145.78846153846149</v>
      </c>
      <c r="EK54" s="17">
        <f>EJ54*VLOOKUP('Données projet'!$B$15,Paramètres!$A$1:$I$89,3,0)*VLOOKUP('Données projet'!$B$15,Paramètres!$A$1:$I$89,5,0)</f>
        <v>141.00659999999993</v>
      </c>
      <c r="EL54" s="13">
        <f t="shared" si="45"/>
        <v>36.527507181529174</v>
      </c>
      <c r="EM54" s="20">
        <f t="shared" si="19"/>
        <v>309.20523667449658</v>
      </c>
      <c r="EN54" s="59">
        <f t="shared" si="20"/>
        <v>602.53857000782989</v>
      </c>
      <c r="EO54" s="59">
        <f ca="1">AVERAGE(OFFSET($EN$3,0,0,'Données projet'!$E$15+1,1))-AVERAGE(OFFSET($H$3,0,0,'Données projet'!$E$15+1,1))</f>
        <v>234.56750794375012</v>
      </c>
      <c r="EP54" s="59">
        <f t="shared" si="46"/>
        <v>150.32420541314724</v>
      </c>
      <c r="EQ54" s="15">
        <f>IF(ISNA(VLOOKUP(A54,'Données projet'!$A$191:$I$211,3,0)),0,VLOOKUP(A54,'Données projet'!$A$191:$I$211,3,0))</f>
        <v>2</v>
      </c>
      <c r="ER54" s="15">
        <f>IF(ISNA(VLOOKUP(A54,'Données projet'!$A$191:$I$211,4,0)),0,VLOOKUP(A54,'Données projet'!$A$191:$I$211,4,0))</f>
        <v>37.685897435897431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14.668131868131875</v>
      </c>
      <c r="N55" s="13">
        <f>IF('Données projet'!$A$36&gt;35,N54+M55-V54,IF(A55&lt;'Données projet'!$A$36,$K$205^A55,IF(A55='Données projet'!$A$36,'Données projet'!$B$36,N54+M55-V54)))</f>
        <v>289.3813186813187</v>
      </c>
      <c r="O55" s="13">
        <f>N55*VLOOKUP('Données projet'!$B$9,Paramètres!$A$1:$I$89,3,0)*VLOOKUP('Données projet'!$B$9,Paramètres!$A$1:$I$89,5,0)</f>
        <v>135.43045714285716</v>
      </c>
      <c r="P55" s="13">
        <f t="shared" si="33"/>
        <v>35.248174253598229</v>
      </c>
      <c r="Q55" s="20">
        <f t="shared" si="53"/>
        <v>297.26528301549314</v>
      </c>
      <c r="R55" s="59">
        <f t="shared" si="0"/>
        <v>590.59861634882645</v>
      </c>
      <c r="S55" s="59">
        <f ca="1">AVERAGE(OFFSET($R$3,0,0,'Données projet'!$E$9+1,1))-AVERAGE(OFFSET($H$3,0,0,'Données projet'!$E$9+1,1))</f>
        <v>198.17898804494365</v>
      </c>
      <c r="T55" s="59">
        <f t="shared" si="34"/>
        <v>186.24772922797723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21.279337792591274</v>
      </c>
      <c r="AA55" s="21">
        <f>EXP(-LN(2)/25)*AA54+(1-EXP(-LN(2)/25))/(LN(2)/25)*Calculateur!V55*Calculateur!X55*VLOOKUP('Données projet'!$B$9,Paramètres!$A$1:$I$89,3,0)*0.475*44/12</f>
        <v>30.927229745292831</v>
      </c>
      <c r="AB55" s="21">
        <f>EXP(-LN(2)/2)*AB54+(1-EXP(-LN(2)/2))/(LN(2)/2)*V55*Y55*VLOOKUP('Données projet'!$B$9,Paramètres!$A$1:$I$89,3,0)*0.475*44/12</f>
        <v>3.6466839012971763</v>
      </c>
      <c r="AC55" s="22">
        <f t="shared" si="3"/>
        <v>55.853251439181278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278.21846622758881</v>
      </c>
      <c r="AO55" s="59">
        <f t="shared" si="36"/>
        <v>245.37578316242906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8.8736263736263741</v>
      </c>
      <c r="BD55" s="12">
        <f>IF('Données projet'!$A$88&gt;35,BD54+BC55-BL54,IF(A55&lt;'Données projet'!$A$88,$BA$205^A55,IF(A55='Données projet'!$A$88,'Données projet'!$B$88,BD54+BC55-BL54)))</f>
        <v>171.82142857142864</v>
      </c>
      <c r="BE55" s="13">
        <f>BD55*VLOOKUP('Données projet'!$B$11,Paramètres!$A$1:$I$89,3,0)*VLOOKUP('Données projet'!$B$11,Paramètres!$A$1:$I$89,5,0)</f>
        <v>155.46402857142863</v>
      </c>
      <c r="BF55" s="13">
        <f t="shared" si="37"/>
        <v>39.817708233223598</v>
      </c>
      <c r="BG55" s="20">
        <f t="shared" si="7"/>
        <v>340.11569160143591</v>
      </c>
      <c r="BH55" s="59">
        <f t="shared" si="8"/>
        <v>633.44902493476923</v>
      </c>
      <c r="BI55" s="59">
        <f ca="1">AVERAGE(OFFSET($BH$3,0,0,'Données projet'!$E$11+1,1))-AVERAGE(OFFSET($H$3,0,0,'Données projet'!$E$11+1,1))</f>
        <v>270.87836509222456</v>
      </c>
      <c r="BJ55" s="59">
        <f t="shared" si="38"/>
        <v>205.24998237949734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8.8736263736263741</v>
      </c>
      <c r="BY55" s="12">
        <f>IF('Données projet'!$A$114&gt;35,BY54+BX55-CG54,IF(A55&lt;'Données projet'!$A$114,$BV$205^A55,IF(A55='Données projet'!$A$114,'Données projet'!$B$114,BY54+BX55-CG54)))</f>
        <v>171.82142857142864</v>
      </c>
      <c r="BZ55" s="13">
        <f>BY55*VLOOKUP('Données projet'!$B$12,Paramètres!$A$1:$I$89,3,0)*VLOOKUP('Données projet'!$B$12,Paramètres!$A$1:$I$89,5,0)</f>
        <v>174.22692857142866</v>
      </c>
      <c r="CA55" s="13">
        <f t="shared" si="39"/>
        <v>44.035357527108694</v>
      </c>
      <c r="CB55" s="20">
        <f t="shared" si="10"/>
        <v>380.1401482882859</v>
      </c>
      <c r="CC55" s="59">
        <f t="shared" si="11"/>
        <v>673.47348162161916</v>
      </c>
      <c r="CD55" s="59">
        <f ca="1">AVERAGE(OFFSET($CC$3,0,0,'Données projet'!$E$12+1,1))-AVERAGE(OFFSET($H$3,0,0,'Données projet'!$E$12+1,1))</f>
        <v>312.29056285877169</v>
      </c>
      <c r="CE55" s="59">
        <f t="shared" si="40"/>
        <v>233.85454224241693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6.3942307692307701</v>
      </c>
      <c r="CT55" s="12">
        <f>IF('Données projet'!$A$140&gt;35,CT54+CS55-DB54,IF(A55&lt;'Données projet'!$A$140,$CQ$205^A55,IF(A55='Données projet'!$A$140,'Données projet'!$B$140,CT54+CS55-DB54)))</f>
        <v>114.49679487179483</v>
      </c>
      <c r="CU55" s="17">
        <f>CT55*VLOOKUP('Données projet'!$B$13,Paramètres!$A$1:$I$89,3,0)*VLOOKUP('Données projet'!$B$13,Paramètres!$A$1:$I$89,5,0)</f>
        <v>130.38894999999994</v>
      </c>
      <c r="CV55" s="13">
        <f t="shared" si="41"/>
        <v>34.086218624979907</v>
      </c>
      <c r="CW55" s="20">
        <f t="shared" si="13"/>
        <v>286.46091868850658</v>
      </c>
      <c r="CX55" s="59">
        <f t="shared" si="14"/>
        <v>579.79425202183984</v>
      </c>
      <c r="CY55" s="59">
        <f ca="1">AVERAGE(OFFSET($CX$3,0,0,'Données projet'!$E$13+1,1))-AVERAGE(OFFSET($H$3,0,0,'Données projet'!$E$13+1,1))</f>
        <v>292.22737648725354</v>
      </c>
      <c r="CZ55" s="59">
        <f t="shared" si="42"/>
        <v>182.84038581199871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6.3942307692307701</v>
      </c>
      <c r="DO55" s="12">
        <f>IF('Données projet'!$A$166&gt;35,DO54+DN55-DW54,IF(A55&lt;'Données projet'!$A$166,$DL$205^A55,IF(A55='Données projet'!$A$166,'Données projet'!$B$166,DO54+DN55-DW54)))</f>
        <v>114.49679487179483</v>
      </c>
      <c r="DP55" s="17">
        <f>DO55*VLOOKUP('Données projet'!$B$14,Paramètres!$A$1:$I$89,3,0)*VLOOKUP('Données projet'!$B$14,Paramètres!$A$1:$I$89,5,0)</f>
        <v>125.03049999999995</v>
      </c>
      <c r="DQ55" s="13">
        <f t="shared" si="43"/>
        <v>32.845461936548517</v>
      </c>
      <c r="DR55" s="20">
        <f t="shared" si="16"/>
        <v>274.96730037282191</v>
      </c>
      <c r="DS55" s="59">
        <f t="shared" si="17"/>
        <v>568.30063370615517</v>
      </c>
      <c r="DT55" s="59">
        <f ca="1">AVERAGE(OFFSET($DS$3,0,0,'Données projet'!$E$14+1,1))-AVERAGE(OFFSET($H$3,0,0,'Données projet'!$E$14+1,1))</f>
        <v>276.52126514622455</v>
      </c>
      <c r="DU55" s="59">
        <f t="shared" si="44"/>
        <v>173.98404849503186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6.3942307692307701</v>
      </c>
      <c r="EJ55" s="12">
        <f>IF('Données projet'!$A$192&gt;35,EJ54+EI55-ER54,IF(A55&lt;'Données projet'!$A$192,$EG$205^A55,IF(A55='Données projet'!$A$192,'Données projet'!$B$192,EJ54+EI55-ER54)))</f>
        <v>114.49679487179483</v>
      </c>
      <c r="EK55" s="17">
        <f>EJ55*VLOOKUP('Données projet'!$B$15,Paramètres!$A$1:$I$89,3,0)*VLOOKUP('Données projet'!$B$15,Paramètres!$A$1:$I$89,5,0)</f>
        <v>110.74129999999997</v>
      </c>
      <c r="EL55" s="13">
        <f t="shared" si="45"/>
        <v>29.505572302926247</v>
      </c>
      <c r="EM55" s="20">
        <f t="shared" si="19"/>
        <v>244.26330259426319</v>
      </c>
      <c r="EN55" s="59">
        <f t="shared" si="20"/>
        <v>537.59663592759648</v>
      </c>
      <c r="EO55" s="59">
        <f ca="1">AVERAGE(OFFSET($EN$3,0,0,'Données projet'!$E$15+1,1))-AVERAGE(OFFSET($H$3,0,0,'Données projet'!$E$15+1,1))</f>
        <v>234.56750794375012</v>
      </c>
      <c r="EP55" s="59">
        <f t="shared" si="46"/>
        <v>150.32420541314724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14.668131868131875</v>
      </c>
      <c r="N56" s="13">
        <f>IF('Données projet'!$A$36&gt;35,N55+M56-V55,IF(A56&lt;'Données projet'!$A$36,$K$205^A56,IF(A56='Données projet'!$A$36,'Données projet'!$B$36,N55+M56-V55)))</f>
        <v>304.04945054945057</v>
      </c>
      <c r="O56" s="13">
        <f>N56*VLOOKUP('Données projet'!$B$9,Paramètres!$A$1:$I$89,3,0)*VLOOKUP('Données projet'!$B$9,Paramètres!$A$1:$I$89,5,0)</f>
        <v>142.29514285714285</v>
      </c>
      <c r="P56" s="13">
        <f t="shared" si="33"/>
        <v>36.822291864436032</v>
      </c>
      <c r="Q56" s="20">
        <f t="shared" si="53"/>
        <v>311.96286547341651</v>
      </c>
      <c r="R56" s="59">
        <f t="shared" si="0"/>
        <v>605.29619880674977</v>
      </c>
      <c r="S56" s="59">
        <f ca="1">AVERAGE(OFFSET($R$3,0,0,'Données projet'!$E$9+1,1))-AVERAGE(OFFSET($H$3,0,0,'Données projet'!$E$9+1,1))</f>
        <v>198.17898804494365</v>
      </c>
      <c r="T56" s="59">
        <f t="shared" si="34"/>
        <v>186.24772922797723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20.862062957593032</v>
      </c>
      <c r="AA56" s="21">
        <f>EXP(-LN(2)/25)*AA55+(1-EXP(-LN(2)/25))/(LN(2)/25)*Calculateur!V56*Calculateur!X56*VLOOKUP('Données projet'!$B$9,Paramètres!$A$1:$I$89,3,0)*0.475*44/12</f>
        <v>30.081523021515473</v>
      </c>
      <c r="AB56" s="21">
        <f>EXP(-LN(2)/2)*AB55+(1-EXP(-LN(2)/2))/(LN(2)/2)*V56*Y56*VLOOKUP('Données projet'!$B$9,Paramètres!$A$1:$I$89,3,0)*0.475*44/12</f>
        <v>2.5785949154510481</v>
      </c>
      <c r="AC56" s="22">
        <f t="shared" si="3"/>
        <v>53.522180894559554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278.21846622758881</v>
      </c>
      <c r="AO56" s="59">
        <f t="shared" si="36"/>
        <v>245.37578316242906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8.8736263736263741</v>
      </c>
      <c r="BD56" s="12">
        <f>IF('Données projet'!$A$88&gt;35,BD55+BC56-BL55,IF(A56&lt;'Données projet'!$A$88,$BA$205^A56,IF(A56='Données projet'!$A$88,'Données projet'!$B$88,BD55+BC56-BL55)))</f>
        <v>180.69505494505501</v>
      </c>
      <c r="BE56" s="13">
        <f>BD56*VLOOKUP('Données projet'!$B$11,Paramètres!$A$1:$I$89,3,0)*VLOOKUP('Données projet'!$B$11,Paramètres!$A$1:$I$89,5,0)</f>
        <v>163.49288571428576</v>
      </c>
      <c r="BF56" s="13">
        <f t="shared" si="37"/>
        <v>41.629352600963465</v>
      </c>
      <c r="BG56" s="20">
        <f t="shared" si="7"/>
        <v>357.25456506572573</v>
      </c>
      <c r="BH56" s="59">
        <f t="shared" si="8"/>
        <v>650.58789839905899</v>
      </c>
      <c r="BI56" s="59">
        <f ca="1">AVERAGE(OFFSET($BH$3,0,0,'Données projet'!$E$11+1,1))-AVERAGE(OFFSET($H$3,0,0,'Données projet'!$E$11+1,1))</f>
        <v>270.87836509222456</v>
      </c>
      <c r="BJ56" s="59">
        <f t="shared" si="38"/>
        <v>205.24998237949734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8.8736263736263741</v>
      </c>
      <c r="BY56" s="12">
        <f>IF('Données projet'!$A$114&gt;35,BY55+BX56-CG55,IF(A56&lt;'Données projet'!$A$114,$BV$205^A56,IF(A56='Données projet'!$A$114,'Données projet'!$B$114,BY55+BX56-CG55)))</f>
        <v>180.69505494505501</v>
      </c>
      <c r="BZ56" s="13">
        <f>BY56*VLOOKUP('Données projet'!$B$12,Paramètres!$A$1:$I$89,3,0)*VLOOKUP('Données projet'!$B$12,Paramètres!$A$1:$I$89,5,0)</f>
        <v>183.22478571428579</v>
      </c>
      <c r="CA56" s="13">
        <f t="shared" si="39"/>
        <v>46.038898438557553</v>
      </c>
      <c r="CB56" s="20">
        <f t="shared" si="10"/>
        <v>399.30091656620215</v>
      </c>
      <c r="CC56" s="59">
        <f t="shared" si="11"/>
        <v>692.63424989953546</v>
      </c>
      <c r="CD56" s="59">
        <f ca="1">AVERAGE(OFFSET($CC$3,0,0,'Données projet'!$E$12+1,1))-AVERAGE(OFFSET($H$3,0,0,'Données projet'!$E$12+1,1))</f>
        <v>312.29056285877169</v>
      </c>
      <c r="CE56" s="59">
        <f t="shared" si="40"/>
        <v>233.85454224241693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6.3942307692307701</v>
      </c>
      <c r="CT56" s="12">
        <f>IF('Données projet'!$A$140&gt;35,CT55+CS56-DB55,IF(A56&lt;'Données projet'!$A$140,$CQ$205^A56,IF(A56='Données projet'!$A$140,'Données projet'!$B$140,CT55+CS56-DB55)))</f>
        <v>120.89102564102561</v>
      </c>
      <c r="CU56" s="17">
        <f>CT56*VLOOKUP('Données projet'!$B$13,Paramètres!$A$1:$I$89,3,0)*VLOOKUP('Données projet'!$B$13,Paramètres!$A$1:$I$89,5,0)</f>
        <v>137.67069999999995</v>
      </c>
      <c r="CV56" s="13">
        <f t="shared" si="41"/>
        <v>35.762875639552028</v>
      </c>
      <c r="CW56" s="20">
        <f t="shared" si="13"/>
        <v>302.06347757221965</v>
      </c>
      <c r="CX56" s="59">
        <f t="shared" si="14"/>
        <v>595.39681090555291</v>
      </c>
      <c r="CY56" s="59">
        <f ca="1">AVERAGE(OFFSET($CX$3,0,0,'Données projet'!$E$13+1,1))-AVERAGE(OFFSET($H$3,0,0,'Données projet'!$E$13+1,1))</f>
        <v>292.22737648725354</v>
      </c>
      <c r="CZ56" s="59">
        <f t="shared" si="42"/>
        <v>182.84038581199871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6.3942307692307701</v>
      </c>
      <c r="DO56" s="12">
        <f>IF('Données projet'!$A$166&gt;35,DO55+DN56-DW55,IF(A56&lt;'Données projet'!$A$166,$DL$205^A56,IF(A56='Données projet'!$A$166,'Données projet'!$B$166,DO55+DN56-DW55)))</f>
        <v>120.89102564102561</v>
      </c>
      <c r="DP56" s="17">
        <f>DO56*VLOOKUP('Données projet'!$B$14,Paramètres!$A$1:$I$89,3,0)*VLOOKUP('Données projet'!$B$14,Paramètres!$A$1:$I$89,5,0)</f>
        <v>132.01299999999998</v>
      </c>
      <c r="DQ56" s="13">
        <f t="shared" si="43"/>
        <v>34.4610877341375</v>
      </c>
      <c r="DR56" s="20">
        <f t="shared" si="16"/>
        <v>289.94236947028941</v>
      </c>
      <c r="DS56" s="59">
        <f t="shared" si="17"/>
        <v>583.27570280362272</v>
      </c>
      <c r="DT56" s="59">
        <f ca="1">AVERAGE(OFFSET($DS$3,0,0,'Données projet'!$E$14+1,1))-AVERAGE(OFFSET($H$3,0,0,'Données projet'!$E$14+1,1))</f>
        <v>276.52126514622455</v>
      </c>
      <c r="DU56" s="59">
        <f t="shared" si="44"/>
        <v>173.98404849503186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6.3942307692307701</v>
      </c>
      <c r="EJ56" s="12">
        <f>IF('Données projet'!$A$192&gt;35,EJ55+EI56-ER55,IF(A56&lt;'Données projet'!$A$192,$EG$205^A56,IF(A56='Données projet'!$A$192,'Données projet'!$B$192,EJ55+EI56-ER55)))</f>
        <v>120.89102564102561</v>
      </c>
      <c r="EK56" s="17">
        <f>EJ56*VLOOKUP('Données projet'!$B$15,Paramètres!$A$1:$I$89,3,0)*VLOOKUP('Données projet'!$B$15,Paramètres!$A$1:$I$89,5,0)</f>
        <v>116.92579999999997</v>
      </c>
      <c r="EL56" s="13">
        <f t="shared" si="45"/>
        <v>30.956913248513292</v>
      </c>
      <c r="EM56" s="20">
        <f t="shared" si="19"/>
        <v>257.56239224116058</v>
      </c>
      <c r="EN56" s="59">
        <f t="shared" si="20"/>
        <v>550.89572557449389</v>
      </c>
      <c r="EO56" s="59">
        <f ca="1">AVERAGE(OFFSET($EN$3,0,0,'Données projet'!$E$15+1,1))-AVERAGE(OFFSET($H$3,0,0,'Données projet'!$E$15+1,1))</f>
        <v>234.56750794375012</v>
      </c>
      <c r="EP56" s="59">
        <f t="shared" si="46"/>
        <v>150.32420541314724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14.668131868131875</v>
      </c>
      <c r="N57" s="13">
        <f>IF('Données projet'!$A$36&gt;35,N56+M57-V56,IF(A57&lt;'Données projet'!$A$36,$K$205^A57,IF(A57='Données projet'!$A$36,'Données projet'!$B$36,N56+M57-V56)))</f>
        <v>318.71758241758243</v>
      </c>
      <c r="O57" s="13">
        <f>N57*VLOOKUP('Données projet'!$B$9,Paramètres!$A$1:$I$89,3,0)*VLOOKUP('Données projet'!$B$9,Paramètres!$A$1:$I$89,5,0)</f>
        <v>149.15982857142859</v>
      </c>
      <c r="P57" s="13">
        <f t="shared" si="33"/>
        <v>38.387591277502224</v>
      </c>
      <c r="Q57" s="20">
        <f t="shared" si="53"/>
        <v>326.64508957022116</v>
      </c>
      <c r="R57" s="59">
        <f t="shared" si="0"/>
        <v>619.97842290355447</v>
      </c>
      <c r="S57" s="59">
        <f ca="1">AVERAGE(OFFSET($R$3,0,0,'Données projet'!$E$9+1,1))-AVERAGE(OFFSET($H$3,0,0,'Données projet'!$E$9+1,1))</f>
        <v>198.17898804494365</v>
      </c>
      <c r="T57" s="59">
        <f t="shared" si="34"/>
        <v>186.24772922797723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20.452970627596589</v>
      </c>
      <c r="AA57" s="21">
        <f>EXP(-LN(2)/25)*AA56+(1-EXP(-LN(2)/25))/(LN(2)/25)*Calculateur!V57*Calculateur!X57*VLOOKUP('Données projet'!$B$9,Paramètres!$A$1:$I$89,3,0)*0.475*44/12</f>
        <v>29.258942192573588</v>
      </c>
      <c r="AB57" s="21">
        <f>EXP(-LN(2)/2)*AB56+(1-EXP(-LN(2)/2))/(LN(2)/2)*V57*Y57*VLOOKUP('Données projet'!$B$9,Paramètres!$A$1:$I$89,3,0)*0.475*44/12</f>
        <v>1.8233419506485884</v>
      </c>
      <c r="AC57" s="22">
        <f t="shared" si="3"/>
        <v>51.535254770818767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278.21846622758881</v>
      </c>
      <c r="AO57" s="59">
        <f t="shared" si="36"/>
        <v>245.37578316242906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8.8736263736263741</v>
      </c>
      <c r="BD57" s="12">
        <f>IF('Données projet'!$A$88&gt;35,BD56+BC57-BL56,IF(A57&lt;'Données projet'!$A$88,$BA$205^A57,IF(A57='Données projet'!$A$88,'Données projet'!$B$88,BD56+BC57-BL56)))</f>
        <v>189.56868131868137</v>
      </c>
      <c r="BE57" s="13">
        <f>BD57*VLOOKUP('Données projet'!$B$11,Paramètres!$A$1:$I$89,3,0)*VLOOKUP('Données projet'!$B$11,Paramètres!$A$1:$I$89,5,0)</f>
        <v>171.5217428571429</v>
      </c>
      <c r="BF57" s="13">
        <f t="shared" si="37"/>
        <v>43.430666394282092</v>
      </c>
      <c r="BG57" s="20">
        <f t="shared" si="7"/>
        <v>374.37544611289854</v>
      </c>
      <c r="BH57" s="59">
        <f t="shared" si="8"/>
        <v>667.7087794462318</v>
      </c>
      <c r="BI57" s="59">
        <f ca="1">AVERAGE(OFFSET($BH$3,0,0,'Données projet'!$E$11+1,1))-AVERAGE(OFFSET($H$3,0,0,'Données projet'!$E$11+1,1))</f>
        <v>270.87836509222456</v>
      </c>
      <c r="BJ57" s="59">
        <f t="shared" si="38"/>
        <v>205.24998237949734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8.8736263736263741</v>
      </c>
      <c r="BY57" s="12">
        <f>IF('Données projet'!$A$114&gt;35,BY56+BX57-CG56,IF(A57&lt;'Données projet'!$A$114,$BV$205^A57,IF(A57='Données projet'!$A$114,'Données projet'!$B$114,BY56+BX57-CG56)))</f>
        <v>189.56868131868137</v>
      </c>
      <c r="BZ57" s="13">
        <f>BY57*VLOOKUP('Données projet'!$B$12,Paramètres!$A$1:$I$89,3,0)*VLOOKUP('Données projet'!$B$12,Paramètres!$A$1:$I$89,5,0)</f>
        <v>192.22264285714294</v>
      </c>
      <c r="CA57" s="13">
        <f t="shared" si="39"/>
        <v>48.031014520243914</v>
      </c>
      <c r="CB57" s="20">
        <f t="shared" si="10"/>
        <v>418.44178659894874</v>
      </c>
      <c r="CC57" s="59">
        <f t="shared" si="11"/>
        <v>711.775119932282</v>
      </c>
      <c r="CD57" s="59">
        <f ca="1">AVERAGE(OFFSET($CC$3,0,0,'Données projet'!$E$12+1,1))-AVERAGE(OFFSET($H$3,0,0,'Données projet'!$E$12+1,1))</f>
        <v>312.29056285877169</v>
      </c>
      <c r="CE57" s="59">
        <f t="shared" si="40"/>
        <v>233.85454224241693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6.3942307692307701</v>
      </c>
      <c r="CT57" s="12">
        <f>IF('Données projet'!$A$140&gt;35,CT56+CS57-DB56,IF(A57&lt;'Données projet'!$A$140,$CQ$205^A57,IF(A57='Données projet'!$A$140,'Données projet'!$B$140,CT56+CS57-DB56)))</f>
        <v>127.28525641025638</v>
      </c>
      <c r="CU57" s="17">
        <f>CT57*VLOOKUP('Données projet'!$B$13,Paramètres!$A$1:$I$89,3,0)*VLOOKUP('Données projet'!$B$13,Paramètres!$A$1:$I$89,5,0)</f>
        <v>144.95244999999997</v>
      </c>
      <c r="CV57" s="13">
        <f t="shared" si="41"/>
        <v>37.429236641776356</v>
      </c>
      <c r="CW57" s="20">
        <f t="shared" si="13"/>
        <v>317.64810423442708</v>
      </c>
      <c r="CX57" s="59">
        <f t="shared" si="14"/>
        <v>610.98143756776039</v>
      </c>
      <c r="CY57" s="59">
        <f ca="1">AVERAGE(OFFSET($CX$3,0,0,'Données projet'!$E$13+1,1))-AVERAGE(OFFSET($H$3,0,0,'Données projet'!$E$13+1,1))</f>
        <v>292.22737648725354</v>
      </c>
      <c r="CZ57" s="59">
        <f t="shared" si="42"/>
        <v>182.84038581199871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6.3942307692307701</v>
      </c>
      <c r="DO57" s="12">
        <f>IF('Données projet'!$A$166&gt;35,DO56+DN57-DW56,IF(A57&lt;'Données projet'!$A$166,$DL$205^A57,IF(A57='Données projet'!$A$166,'Données projet'!$B$166,DO56+DN57-DW56)))</f>
        <v>127.28525641025638</v>
      </c>
      <c r="DP57" s="17">
        <f>DO57*VLOOKUP('Données projet'!$B$14,Paramètres!$A$1:$I$89,3,0)*VLOOKUP('Données projet'!$B$14,Paramètres!$A$1:$I$89,5,0)</f>
        <v>138.99549999999996</v>
      </c>
      <c r="DQ57" s="13">
        <f t="shared" si="43"/>
        <v>36.066792299765048</v>
      </c>
      <c r="DR57" s="20">
        <f t="shared" si="16"/>
        <v>304.90015908875739</v>
      </c>
      <c r="DS57" s="59">
        <f t="shared" si="17"/>
        <v>598.23349242209065</v>
      </c>
      <c r="DT57" s="59">
        <f ca="1">AVERAGE(OFFSET($DS$3,0,0,'Données projet'!$E$14+1,1))-AVERAGE(OFFSET($H$3,0,0,'Données projet'!$E$14+1,1))</f>
        <v>276.52126514622455</v>
      </c>
      <c r="DU57" s="59">
        <f t="shared" si="44"/>
        <v>173.98404849503186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6.3942307692307701</v>
      </c>
      <c r="EJ57" s="12">
        <f>IF('Données projet'!$A$192&gt;35,EJ56+EI57-ER56,IF(A57&lt;'Données projet'!$A$192,$EG$205^A57,IF(A57='Données projet'!$A$192,'Données projet'!$B$192,EJ56+EI57-ER56)))</f>
        <v>127.28525641025638</v>
      </c>
      <c r="EK57" s="17">
        <f>EJ57*VLOOKUP('Données projet'!$B$15,Paramètres!$A$1:$I$89,3,0)*VLOOKUP('Données projet'!$B$15,Paramètres!$A$1:$I$89,5,0)</f>
        <v>123.11029999999998</v>
      </c>
      <c r="EL57" s="13">
        <f t="shared" si="45"/>
        <v>32.399341802259549</v>
      </c>
      <c r="EM57" s="20">
        <f t="shared" si="19"/>
        <v>270.8459594722687</v>
      </c>
      <c r="EN57" s="59">
        <f t="shared" si="20"/>
        <v>564.17929280560202</v>
      </c>
      <c r="EO57" s="59">
        <f ca="1">AVERAGE(OFFSET($EN$3,0,0,'Données projet'!$E$15+1,1))-AVERAGE(OFFSET($H$3,0,0,'Données projet'!$E$15+1,1))</f>
        <v>234.56750794375012</v>
      </c>
      <c r="EP57" s="59">
        <f t="shared" si="46"/>
        <v>150.32420541314724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14.668131868131875</v>
      </c>
      <c r="N58" s="13">
        <f>IF('Données projet'!$A$36&gt;35,N57+M58-V57,IF(A58&lt;'Données projet'!$A$36,$K$205^A58,IF(A58='Données projet'!$A$36,'Données projet'!$B$36,N57+M58-V57)))</f>
        <v>333.3857142857143</v>
      </c>
      <c r="O58" s="13">
        <f>N58*VLOOKUP('Données projet'!$B$9,Paramètres!$A$1:$I$89,3,0)*VLOOKUP('Données projet'!$B$9,Paramètres!$A$1:$I$89,5,0)</f>
        <v>156.0245142857143</v>
      </c>
      <c r="P58" s="13">
        <f t="shared" si="33"/>
        <v>39.944524680961258</v>
      </c>
      <c r="Q58" s="20">
        <f t="shared" si="53"/>
        <v>341.31274286695992</v>
      </c>
      <c r="R58" s="59">
        <f t="shared" si="0"/>
        <v>634.64607620029324</v>
      </c>
      <c r="S58" s="59">
        <f ca="1">AVERAGE(OFFSET($R$3,0,0,'Données projet'!$E$9+1,1))-AVERAGE(OFFSET($H$3,0,0,'Données projet'!$E$9+1,1))</f>
        <v>198.17898804494365</v>
      </c>
      <c r="T58" s="59">
        <f t="shared" si="34"/>
        <v>186.24772922797723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20.05190034866969</v>
      </c>
      <c r="AA58" s="21">
        <f>EXP(-LN(2)/25)*AA57+(1-EXP(-LN(2)/25))/(LN(2)/25)*Calculateur!V58*Calculateur!X58*VLOOKUP('Données projet'!$B$9,Paramètres!$A$1:$I$89,3,0)*0.475*44/12</f>
        <v>28.458854879656766</v>
      </c>
      <c r="AB58" s="21">
        <f>EXP(-LN(2)/2)*AB57+(1-EXP(-LN(2)/2))/(LN(2)/2)*V58*Y58*VLOOKUP('Données projet'!$B$9,Paramètres!$A$1:$I$89,3,0)*0.475*44/12</f>
        <v>1.2892974577255243</v>
      </c>
      <c r="AC58" s="22">
        <f t="shared" si="3"/>
        <v>49.800052686051984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278.21846622758881</v>
      </c>
      <c r="AO58" s="59">
        <f t="shared" si="36"/>
        <v>245.37578316242906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198.44230769230768</v>
      </c>
      <c r="BB58" s="12">
        <f>VLOOKUP(A58,'Données projet'!$A$87:$I$107,9,0)</f>
        <v>8.8736263736263741</v>
      </c>
      <c r="BC58" s="12">
        <f t="array" ref="BC58">INDEX(BB:BB,MIN(IF(ISNUMBER(BB58:BB254),ROW(BB58:BB254),"")))</f>
        <v>8.8736263736263741</v>
      </c>
      <c r="BD58" s="12">
        <f>IF('Données projet'!$A$88&gt;35,BD57+BC58-BL57,IF(A58&lt;'Données projet'!$A$88,$BA$205^A58,IF(A58='Données projet'!$A$88,'Données projet'!$B$88,BD57+BC58-BL57)))</f>
        <v>198.44230769230774</v>
      </c>
      <c r="BE58" s="13">
        <f>BD58*VLOOKUP('Données projet'!$B$11,Paramètres!$A$1:$I$89,3,0)*VLOOKUP('Données projet'!$B$11,Paramètres!$A$1:$I$89,5,0)</f>
        <v>179.55060000000003</v>
      </c>
      <c r="BF58" s="13">
        <f t="shared" si="37"/>
        <v>45.22218840459005</v>
      </c>
      <c r="BG58" s="20">
        <f t="shared" si="7"/>
        <v>391.47927313799437</v>
      </c>
      <c r="BH58" s="59">
        <f t="shared" si="8"/>
        <v>684.81260647132763</v>
      </c>
      <c r="BI58" s="59">
        <f ca="1">AVERAGE(OFFSET($BH$3,0,0,'Données projet'!$E$11+1,1))-AVERAGE(OFFSET($H$3,0,0,'Données projet'!$E$11+1,1))</f>
        <v>270.87836509222456</v>
      </c>
      <c r="BJ58" s="59">
        <f t="shared" si="38"/>
        <v>205.24998237949734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45.147435897435898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198.44230769230768</v>
      </c>
      <c r="BW58" s="12">
        <f>VLOOKUP(A58,'Données projet'!$A$113:$I$133,9,0)</f>
        <v>8.8736263736263741</v>
      </c>
      <c r="BX58" s="12">
        <f t="array" ref="BX58">INDEX(BW:BW,MIN(IF(ISNUMBER(BW58:BW254),ROW(BW58:BW254),"")))</f>
        <v>8.8736263736263741</v>
      </c>
      <c r="BY58" s="12">
        <f>IF('Données projet'!$A$114&gt;35,BY57+BX58-CG57,IF(A58&lt;'Données projet'!$A$114,$BV$205^A58,IF(A58='Données projet'!$A$114,'Données projet'!$B$114,BY57+BX58-CG57)))</f>
        <v>198.44230769230774</v>
      </c>
      <c r="BZ58" s="13">
        <f>BY58*VLOOKUP('Données projet'!$B$12,Paramètres!$A$1:$I$89,3,0)*VLOOKUP('Données projet'!$B$12,Paramètres!$A$1:$I$89,5,0)</f>
        <v>201.22050000000007</v>
      </c>
      <c r="CA58" s="13">
        <f t="shared" si="39"/>
        <v>50.012301634497518</v>
      </c>
      <c r="CB58" s="20">
        <f t="shared" si="10"/>
        <v>437.56379618008327</v>
      </c>
      <c r="CC58" s="59">
        <f t="shared" si="11"/>
        <v>730.89712951341653</v>
      </c>
      <c r="CD58" s="59">
        <f ca="1">AVERAGE(OFFSET($CC$3,0,0,'Données projet'!$E$12+1,1))-AVERAGE(OFFSET($H$3,0,0,'Données projet'!$E$12+1,1))</f>
        <v>312.29056285877169</v>
      </c>
      <c r="CE58" s="59">
        <f t="shared" si="40"/>
        <v>233.85454224241693</v>
      </c>
      <c r="CF58" s="15">
        <f>IF(ISNA(VLOOKUP(A58,'Données projet'!$A$113:$I$133,3,0)),0,VLOOKUP(A58,'Données projet'!$A$113:$I$133,3,0))</f>
        <v>4</v>
      </c>
      <c r="CG58" s="15">
        <f>IF(ISNA(VLOOKUP(A58,'Données projet'!$A$113:$I$133,4,0)),0,VLOOKUP(A58,'Données projet'!$A$113:$I$133,4,0))</f>
        <v>45.147435897435898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6.3942307692307701</v>
      </c>
      <c r="CT58" s="12">
        <f>IF('Données projet'!$A$140&gt;35,CT57+CS58-DB57,IF(A58&lt;'Données projet'!$A$140,$CQ$205^A58,IF(A58='Données projet'!$A$140,'Données projet'!$B$140,CT57+CS58-DB57)))</f>
        <v>133.67948717948715</v>
      </c>
      <c r="CU58" s="17">
        <f>CT58*VLOOKUP('Données projet'!$B$13,Paramètres!$A$1:$I$89,3,0)*VLOOKUP('Données projet'!$B$13,Paramètres!$A$1:$I$89,5,0)</f>
        <v>152.23419999999996</v>
      </c>
      <c r="CV58" s="13">
        <f t="shared" si="41"/>
        <v>39.085877872838545</v>
      </c>
      <c r="CW58" s="20">
        <f t="shared" si="13"/>
        <v>333.21580229519378</v>
      </c>
      <c r="CX58" s="59">
        <f t="shared" si="14"/>
        <v>626.5491356285271</v>
      </c>
      <c r="CY58" s="59">
        <f ca="1">AVERAGE(OFFSET($CX$3,0,0,'Données projet'!$E$13+1,1))-AVERAGE(OFFSET($H$3,0,0,'Données projet'!$E$13+1,1))</f>
        <v>292.22737648725354</v>
      </c>
      <c r="CZ58" s="59">
        <f t="shared" si="42"/>
        <v>182.84038581199871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6.3942307692307701</v>
      </c>
      <c r="DO58" s="12">
        <f>IF('Données projet'!$A$166&gt;35,DO57+DN58-DW57,IF(A58&lt;'Données projet'!$A$166,$DL$205^A58,IF(A58='Données projet'!$A$166,'Données projet'!$B$166,DO57+DN58-DW57)))</f>
        <v>133.67948717948715</v>
      </c>
      <c r="DP58" s="17">
        <f>DO58*VLOOKUP('Données projet'!$B$14,Paramètres!$A$1:$I$89,3,0)*VLOOKUP('Données projet'!$B$14,Paramètres!$A$1:$I$89,5,0)</f>
        <v>145.97799999999998</v>
      </c>
      <c r="DQ58" s="13">
        <f t="shared" si="43"/>
        <v>37.663130899127715</v>
      </c>
      <c r="DR58" s="20">
        <f t="shared" si="16"/>
        <v>319.84163631598068</v>
      </c>
      <c r="DS58" s="59">
        <f t="shared" si="17"/>
        <v>613.17496964931399</v>
      </c>
      <c r="DT58" s="59">
        <f ca="1">AVERAGE(OFFSET($DS$3,0,0,'Données projet'!$E$14+1,1))-AVERAGE(OFFSET($H$3,0,0,'Données projet'!$E$14+1,1))</f>
        <v>276.52126514622455</v>
      </c>
      <c r="DU58" s="59">
        <f t="shared" si="44"/>
        <v>173.98404849503186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6.3942307692307701</v>
      </c>
      <c r="EJ58" s="12">
        <f>IF('Données projet'!$A$192&gt;35,EJ57+EI58-ER57,IF(A58&lt;'Données projet'!$A$192,$EG$205^A58,IF(A58='Données projet'!$A$192,'Données projet'!$B$192,EJ57+EI58-ER57)))</f>
        <v>133.67948717948715</v>
      </c>
      <c r="EK58" s="17">
        <f>EJ58*VLOOKUP('Données projet'!$B$15,Paramètres!$A$1:$I$89,3,0)*VLOOKUP('Données projet'!$B$15,Paramètres!$A$1:$I$89,5,0)</f>
        <v>129.29479999999998</v>
      </c>
      <c r="EL58" s="13">
        <f t="shared" si="45"/>
        <v>33.833356767688763</v>
      </c>
      <c r="EM58" s="20">
        <f t="shared" si="19"/>
        <v>284.11487303705792</v>
      </c>
      <c r="EN58" s="59">
        <f t="shared" si="20"/>
        <v>577.44820637039129</v>
      </c>
      <c r="EO58" s="59">
        <f ca="1">AVERAGE(OFFSET($EN$3,0,0,'Données projet'!$E$15+1,1))-AVERAGE(OFFSET($H$3,0,0,'Données projet'!$E$15+1,1))</f>
        <v>234.56750794375012</v>
      </c>
      <c r="EP58" s="59">
        <f t="shared" si="46"/>
        <v>150.32420541314724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348.05384615384617</v>
      </c>
      <c r="L59" s="12">
        <f>VLOOKUP(A59,'Données projet'!$A$35:$I$55,9,0)</f>
        <v>14.668131868131875</v>
      </c>
      <c r="M59" s="12">
        <f t="array" ref="M59">INDEX(L:L,MIN(IF(ISNUMBER(L59:L255),ROW(L59:L255),"")))</f>
        <v>14.668131868131875</v>
      </c>
      <c r="N59" s="13">
        <f>IF('Données projet'!$A$36&gt;35,N58+M59-V58,IF(A59&lt;'Données projet'!$A$36,$K$205^A59,IF(A59='Données projet'!$A$36,'Données projet'!$B$36,N58+M59-V58)))</f>
        <v>348.05384615384617</v>
      </c>
      <c r="O59" s="13">
        <f>N59*VLOOKUP('Données projet'!$B$9,Paramètres!$A$1:$I$89,3,0)*VLOOKUP('Données projet'!$B$9,Paramètres!$A$1:$I$89,5,0)</f>
        <v>162.88919999999999</v>
      </c>
      <c r="P59" s="13">
        <f t="shared" si="33"/>
        <v>41.493502222820894</v>
      </c>
      <c r="Q59" s="20">
        <f t="shared" si="53"/>
        <v>355.96653970474637</v>
      </c>
      <c r="R59" s="59">
        <f t="shared" si="0"/>
        <v>649.29987303807968</v>
      </c>
      <c r="S59" s="59">
        <f ca="1">AVERAGE(OFFSET($R$3,0,0,'Données projet'!$E$9+1,1))-AVERAGE(OFFSET($H$3,0,0,'Données projet'!$E$9+1,1))</f>
        <v>198.17898804494365</v>
      </c>
      <c r="T59" s="59">
        <f t="shared" si="34"/>
        <v>186.24772922797723</v>
      </c>
      <c r="U59" s="15">
        <f>IF(ISNA(VLOOKUP(A59,'Données projet'!$A$35:$I$55,3,0)),0,VLOOKUP(A59,'Données projet'!$A$35:$I$55,3,0))</f>
        <v>3</v>
      </c>
      <c r="V59" s="15">
        <f>IF(ISNA(VLOOKUP(A59,'Données projet'!$A$35:$I$55,4,0)),0,VLOOKUP(A59,'Données projet'!$A$35:$I$55,4,0))</f>
        <v>72.769230769230759</v>
      </c>
      <c r="W59" s="16">
        <f>IF(ISNA(VLOOKUP(A59,'Données projet'!$A$35:$I$55,5,0)),0%,VLOOKUP(A59,'Données projet'!$A$35:$I$55,5,0)*VLOOKUP('Données projet'!$B$9,Paramètres!$A$1:$I$89,7,0))</f>
        <v>0.38500000000000001</v>
      </c>
      <c r="X59" s="16">
        <f>IF(ISNA(VLOOKUP(A59,'Données projet'!$A$35:$I$55,6,0)),0%,VLOOKUP(A59,'Données projet'!$A$35:$I$55,6,0)*VLOOKUP('Données projet'!$B$9,Paramètres!$A$1:$I$89,7,0))</f>
        <v>9.240000000000001E-2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37.05202426464669</v>
      </c>
      <c r="AA59" s="21">
        <f>EXP(-LN(2)/25)*AA58+(1-EXP(-LN(2)/25))/(LN(2)/25)*Calculateur!V59*Calculateur!X59*VLOOKUP('Données projet'!$B$9,Paramètres!$A$1:$I$89,3,0)*0.475*44/12</f>
        <v>31.838608865010755</v>
      </c>
      <c r="AB59" s="21">
        <f>EXP(-LN(2)/2)*AB58+(1-EXP(-LN(2)/2))/(LN(2)/2)*V59*Y59*VLOOKUP('Données projet'!$B$9,Paramètres!$A$1:$I$89,3,0)*0.475*44/12</f>
        <v>6.0014989877663876</v>
      </c>
      <c r="AC59" s="22">
        <f t="shared" si="3"/>
        <v>74.892132117423827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278.21846622758881</v>
      </c>
      <c r="AO59" s="59">
        <f t="shared" si="36"/>
        <v>245.37578316242906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8.374198717948719</v>
      </c>
      <c r="BD59" s="12">
        <f>IF('Données projet'!$A$88&gt;35,BD58+BC59-BL58,IF(A59&lt;'Données projet'!$A$88,$BA$205^A59,IF(A59='Données projet'!$A$88,'Données projet'!$B$88,BD58+BC59-BL58)))</f>
        <v>161.66907051282055</v>
      </c>
      <c r="BE59" s="13">
        <f>BD59*VLOOKUP('Données projet'!$B$11,Paramètres!$A$1:$I$89,3,0)*VLOOKUP('Données projet'!$B$11,Paramètres!$A$1:$I$89,5,0)</f>
        <v>146.27817500000003</v>
      </c>
      <c r="BF59" s="13">
        <f t="shared" si="37"/>
        <v>37.731554716297467</v>
      </c>
      <c r="BG59" s="20">
        <f t="shared" si="7"/>
        <v>320.48361258921813</v>
      </c>
      <c r="BH59" s="59">
        <f t="shared" si="8"/>
        <v>613.81694592255144</v>
      </c>
      <c r="BI59" s="59">
        <f ca="1">AVERAGE(OFFSET($BH$3,0,0,'Données projet'!$E$11+1,1))-AVERAGE(OFFSET($H$3,0,0,'Données projet'!$E$11+1,1))</f>
        <v>270.87836509222456</v>
      </c>
      <c r="BJ59" s="59">
        <f t="shared" si="38"/>
        <v>205.24998237949734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8.374198717948719</v>
      </c>
      <c r="BY59" s="12">
        <f>IF('Données projet'!$A$114&gt;35,BY58+BX59-CG58,IF(A59&lt;'Données projet'!$A$114,$BV$205^A59,IF(A59='Données projet'!$A$114,'Données projet'!$B$114,BY58+BX59-CG58)))</f>
        <v>161.66907051282055</v>
      </c>
      <c r="BZ59" s="13">
        <f>BY59*VLOOKUP('Données projet'!$B$12,Paramètres!$A$1:$I$89,3,0)*VLOOKUP('Données projet'!$B$12,Paramètres!$A$1:$I$89,5,0)</f>
        <v>163.93243750000005</v>
      </c>
      <c r="CA59" s="13">
        <f t="shared" si="39"/>
        <v>41.728230370613375</v>
      </c>
      <c r="CB59" s="20">
        <f t="shared" si="10"/>
        <v>358.1923298746517</v>
      </c>
      <c r="CC59" s="59">
        <f t="shared" si="11"/>
        <v>651.52566320798496</v>
      </c>
      <c r="CD59" s="59">
        <f ca="1">AVERAGE(OFFSET($CC$3,0,0,'Données projet'!$E$12+1,1))-AVERAGE(OFFSET($H$3,0,0,'Données projet'!$E$12+1,1))</f>
        <v>312.29056285877169</v>
      </c>
      <c r="CE59" s="59">
        <f t="shared" si="40"/>
        <v>233.85454224241693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6.3942307692307701</v>
      </c>
      <c r="CT59" s="12">
        <f>IF('Données projet'!$A$140&gt;35,CT58+CS59-DB58,IF(A59&lt;'Données projet'!$A$140,$CQ$205^A59,IF(A59='Données projet'!$A$140,'Données projet'!$B$140,CT58+CS59-DB58)))</f>
        <v>140.07371794871793</v>
      </c>
      <c r="CU59" s="17">
        <f>CT59*VLOOKUP('Données projet'!$B$13,Paramètres!$A$1:$I$89,3,0)*VLOOKUP('Données projet'!$B$13,Paramètres!$A$1:$I$89,5,0)</f>
        <v>159.51594999999998</v>
      </c>
      <c r="CV59" s="13">
        <f t="shared" si="41"/>
        <v>40.733317332909607</v>
      </c>
      <c r="CW59" s="20">
        <f t="shared" si="13"/>
        <v>348.76747393815089</v>
      </c>
      <c r="CX59" s="59">
        <f t="shared" si="14"/>
        <v>642.1008072714842</v>
      </c>
      <c r="CY59" s="59">
        <f ca="1">AVERAGE(OFFSET($CX$3,0,0,'Données projet'!$E$13+1,1))-AVERAGE(OFFSET($H$3,0,0,'Données projet'!$E$13+1,1))</f>
        <v>292.22737648725354</v>
      </c>
      <c r="CZ59" s="59">
        <f t="shared" si="42"/>
        <v>182.84038581199871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6.3942307692307701</v>
      </c>
      <c r="DO59" s="12">
        <f>IF('Données projet'!$A$166&gt;35,DO58+DN59-DW58,IF(A59&lt;'Données projet'!$A$166,$DL$205^A59,IF(A59='Données projet'!$A$166,'Données projet'!$B$166,DO58+DN59-DW58)))</f>
        <v>140.07371794871793</v>
      </c>
      <c r="DP59" s="17">
        <f>DO59*VLOOKUP('Données projet'!$B$14,Paramètres!$A$1:$I$89,3,0)*VLOOKUP('Données projet'!$B$14,Paramètres!$A$1:$I$89,5,0)</f>
        <v>152.96049999999997</v>
      </c>
      <c r="DQ59" s="13">
        <f t="shared" si="43"/>
        <v>39.250602676911754</v>
      </c>
      <c r="DR59" s="20">
        <f t="shared" si="16"/>
        <v>334.76767049562119</v>
      </c>
      <c r="DS59" s="59">
        <f t="shared" si="17"/>
        <v>628.1010038289545</v>
      </c>
      <c r="DT59" s="59">
        <f ca="1">AVERAGE(OFFSET($DS$3,0,0,'Données projet'!$E$14+1,1))-AVERAGE(OFFSET($H$3,0,0,'Données projet'!$E$14+1,1))</f>
        <v>276.52126514622455</v>
      </c>
      <c r="DU59" s="59">
        <f t="shared" si="44"/>
        <v>173.98404849503186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6.3942307692307701</v>
      </c>
      <c r="EJ59" s="12">
        <f>IF('Données projet'!$A$192&gt;35,EJ58+EI59-ER58,IF(A59&lt;'Données projet'!$A$192,$EG$205^A59,IF(A59='Données projet'!$A$192,'Données projet'!$B$192,EJ58+EI59-ER58)))</f>
        <v>140.07371794871793</v>
      </c>
      <c r="EK59" s="17">
        <f>EJ59*VLOOKUP('Données projet'!$B$15,Paramètres!$A$1:$I$89,3,0)*VLOOKUP('Données projet'!$B$15,Paramètres!$A$1:$I$89,5,0)</f>
        <v>135.47929999999997</v>
      </c>
      <c r="EL59" s="13">
        <f t="shared" si="45"/>
        <v>35.259406533977533</v>
      </c>
      <c r="EM59" s="20">
        <f t="shared" si="19"/>
        <v>297.36991388001081</v>
      </c>
      <c r="EN59" s="59">
        <f t="shared" si="20"/>
        <v>590.70324721334418</v>
      </c>
      <c r="EO59" s="59">
        <f ca="1">AVERAGE(OFFSET($EN$3,0,0,'Données projet'!$E$15+1,1))-AVERAGE(OFFSET($H$3,0,0,'Données projet'!$E$15+1,1))</f>
        <v>234.56750794375012</v>
      </c>
      <c r="EP59" s="59">
        <f t="shared" si="46"/>
        <v>150.32420541314724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14.270329670329668</v>
      </c>
      <c r="N60" s="13">
        <f>IF('Données projet'!$A$36&gt;35,N59+M60-V59,IF(A60&lt;'Données projet'!$A$36,$K$205^A60,IF(A60='Données projet'!$A$36,'Données projet'!$B$36,N59+M60-V59)))</f>
        <v>289.55494505494505</v>
      </c>
      <c r="O60" s="13">
        <f>N60*VLOOKUP('Données projet'!$B$9,Paramètres!$A$1:$I$89,3,0)*VLOOKUP('Données projet'!$B$9,Paramètres!$A$1:$I$89,5,0)</f>
        <v>135.51171428571428</v>
      </c>
      <c r="P60" s="13">
        <f t="shared" si="33"/>
        <v>35.26686051307076</v>
      </c>
      <c r="Q60" s="20">
        <f t="shared" si="53"/>
        <v>297.43935110788397</v>
      </c>
      <c r="R60" s="59">
        <f t="shared" si="0"/>
        <v>590.77268444121728</v>
      </c>
      <c r="S60" s="59">
        <f ca="1">AVERAGE(OFFSET($R$3,0,0,'Données projet'!$E$9+1,1))-AVERAGE(OFFSET($H$3,0,0,'Données projet'!$E$9+1,1))</f>
        <v>198.17898804494365</v>
      </c>
      <c r="T60" s="59">
        <f t="shared" si="34"/>
        <v>186.24772922797723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36.325456668320257</v>
      </c>
      <c r="AA60" s="21">
        <f>EXP(-LN(2)/25)*AA59+(1-EXP(-LN(2)/25))/(LN(2)/25)*Calculateur!V60*Calculateur!X60*VLOOKUP('Données projet'!$B$9,Paramètres!$A$1:$I$89,3,0)*0.475*44/12</f>
        <v>30.967980431277365</v>
      </c>
      <c r="AB60" s="21">
        <f>EXP(-LN(2)/2)*AB59+(1-EXP(-LN(2)/2))/(LN(2)/2)*V60*Y60*VLOOKUP('Données projet'!$B$9,Paramètres!$A$1:$I$89,3,0)*0.475*44/12</f>
        <v>4.2437006315338142</v>
      </c>
      <c r="AC60" s="22">
        <f t="shared" si="3"/>
        <v>71.537137731131438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278.21846622758881</v>
      </c>
      <c r="AO60" s="59">
        <f t="shared" si="36"/>
        <v>245.37578316242906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8.374198717948719</v>
      </c>
      <c r="BD60" s="12">
        <f>IF('Données projet'!$A$88&gt;35,BD59+BC60-BL59,IF(A60&lt;'Données projet'!$A$88,$BA$205^A60,IF(A60='Données projet'!$A$88,'Données projet'!$B$88,BD59+BC60-BL59)))</f>
        <v>170.04326923076928</v>
      </c>
      <c r="BE60" s="13">
        <f>BD60*VLOOKUP('Données projet'!$B$11,Paramètres!$A$1:$I$89,3,0)*VLOOKUP('Données projet'!$B$11,Paramètres!$A$1:$I$89,5,0)</f>
        <v>153.85515000000004</v>
      </c>
      <c r="BF60" s="13">
        <f t="shared" si="37"/>
        <v>39.453384193994481</v>
      </c>
      <c r="BG60" s="20">
        <f t="shared" si="7"/>
        <v>336.67903038787375</v>
      </c>
      <c r="BH60" s="59">
        <f t="shared" si="8"/>
        <v>630.01236372120707</v>
      </c>
      <c r="BI60" s="59">
        <f ca="1">AVERAGE(OFFSET($BH$3,0,0,'Données projet'!$E$11+1,1))-AVERAGE(OFFSET($H$3,0,0,'Données projet'!$E$11+1,1))</f>
        <v>270.87836509222456</v>
      </c>
      <c r="BJ60" s="59">
        <f t="shared" si="38"/>
        <v>205.24998237949734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8.374198717948719</v>
      </c>
      <c r="BY60" s="12">
        <f>IF('Données projet'!$A$114&gt;35,BY59+BX60-CG59,IF(A60&lt;'Données projet'!$A$114,$BV$205^A60,IF(A60='Données projet'!$A$114,'Données projet'!$B$114,BY59+BX60-CG59)))</f>
        <v>170.04326923076928</v>
      </c>
      <c r="BZ60" s="13">
        <f>BY60*VLOOKUP('Données projet'!$B$12,Paramètres!$A$1:$I$89,3,0)*VLOOKUP('Données projet'!$B$12,Paramètres!$A$1:$I$89,5,0)</f>
        <v>172.42387500000007</v>
      </c>
      <c r="CA60" s="13">
        <f t="shared" si="39"/>
        <v>43.632442843290029</v>
      </c>
      <c r="CB60" s="20">
        <f t="shared" si="10"/>
        <v>376.29808691039688</v>
      </c>
      <c r="CC60" s="59">
        <f t="shared" si="11"/>
        <v>669.63142024373019</v>
      </c>
      <c r="CD60" s="59">
        <f ca="1">AVERAGE(OFFSET($CC$3,0,0,'Données projet'!$E$12+1,1))-AVERAGE(OFFSET($H$3,0,0,'Données projet'!$E$12+1,1))</f>
        <v>312.29056285877169</v>
      </c>
      <c r="CE60" s="59">
        <f t="shared" si="40"/>
        <v>233.85454224241693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6.3942307692307701</v>
      </c>
      <c r="CT60" s="12">
        <f>IF('Données projet'!$A$140&gt;35,CT59+CS60-DB59,IF(A60&lt;'Données projet'!$A$140,$CQ$205^A60,IF(A60='Données projet'!$A$140,'Données projet'!$B$140,CT59+CS60-DB59)))</f>
        <v>146.4679487179487</v>
      </c>
      <c r="CU60" s="17">
        <f>CT60*VLOOKUP('Données projet'!$B$13,Paramètres!$A$1:$I$89,3,0)*VLOOKUP('Données projet'!$B$13,Paramètres!$A$1:$I$89,5,0)</f>
        <v>166.79769999999996</v>
      </c>
      <c r="CV60" s="13">
        <f t="shared" si="41"/>
        <v>42.372023056573759</v>
      </c>
      <c r="CW60" s="20">
        <f t="shared" si="13"/>
        <v>364.30393432353253</v>
      </c>
      <c r="CX60" s="59">
        <f t="shared" si="14"/>
        <v>657.63726765686579</v>
      </c>
      <c r="CY60" s="59">
        <f ca="1">AVERAGE(OFFSET($CX$3,0,0,'Données projet'!$E$13+1,1))-AVERAGE(OFFSET($H$3,0,0,'Données projet'!$E$13+1,1))</f>
        <v>292.22737648725354</v>
      </c>
      <c r="CZ60" s="59">
        <f t="shared" si="42"/>
        <v>182.84038581199871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6.3942307692307701</v>
      </c>
      <c r="DO60" s="12">
        <f>IF('Données projet'!$A$166&gt;35,DO59+DN60-DW59,IF(A60&lt;'Données projet'!$A$166,$DL$205^A60,IF(A60='Données projet'!$A$166,'Données projet'!$B$166,DO59+DN60-DW59)))</f>
        <v>146.4679487179487</v>
      </c>
      <c r="DP60" s="17">
        <f>DO60*VLOOKUP('Données projet'!$B$14,Paramètres!$A$1:$I$89,3,0)*VLOOKUP('Données projet'!$B$14,Paramètres!$A$1:$I$89,5,0)</f>
        <v>159.94299999999998</v>
      </c>
      <c r="DQ60" s="13">
        <f t="shared" si="43"/>
        <v>40.829658630990821</v>
      </c>
      <c r="DR60" s="20">
        <f t="shared" si="16"/>
        <v>349.67904711564228</v>
      </c>
      <c r="DS60" s="59">
        <f t="shared" si="17"/>
        <v>643.01238044897559</v>
      </c>
      <c r="DT60" s="59">
        <f ca="1">AVERAGE(OFFSET($DS$3,0,0,'Données projet'!$E$14+1,1))-AVERAGE(OFFSET($H$3,0,0,'Données projet'!$E$14+1,1))</f>
        <v>276.52126514622455</v>
      </c>
      <c r="DU60" s="59">
        <f t="shared" si="44"/>
        <v>173.98404849503186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6.3942307692307701</v>
      </c>
      <c r="EJ60" s="12">
        <f>IF('Données projet'!$A$192&gt;35,EJ59+EI60-ER59,IF(A60&lt;'Données projet'!$A$192,$EG$205^A60,IF(A60='Données projet'!$A$192,'Données projet'!$B$192,EJ59+EI60-ER59)))</f>
        <v>146.4679487179487</v>
      </c>
      <c r="EK60" s="17">
        <f>EJ60*VLOOKUP('Données projet'!$B$15,Paramètres!$A$1:$I$89,3,0)*VLOOKUP('Données projet'!$B$15,Paramètres!$A$1:$I$89,5,0)</f>
        <v>141.66379999999998</v>
      </c>
      <c r="EL60" s="13">
        <f t="shared" si="45"/>
        <v>36.677896239296679</v>
      </c>
      <c r="EM60" s="20">
        <f t="shared" si="19"/>
        <v>310.61178761677502</v>
      </c>
      <c r="EN60" s="59">
        <f t="shared" si="20"/>
        <v>603.94512095010828</v>
      </c>
      <c r="EO60" s="59">
        <f ca="1">AVERAGE(OFFSET($EN$3,0,0,'Données projet'!$E$15+1,1))-AVERAGE(OFFSET($H$3,0,0,'Données projet'!$E$15+1,1))</f>
        <v>234.56750794375012</v>
      </c>
      <c r="EP60" s="59">
        <f t="shared" si="46"/>
        <v>150.32420541314724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14.270329670329668</v>
      </c>
      <c r="N61" s="13">
        <f>IF('Données projet'!$A$36&gt;35,N60+M61-V60,IF(A61&lt;'Données projet'!$A$36,$K$205^A61,IF(A61='Données projet'!$A$36,'Données projet'!$B$36,N60+M61-V60)))</f>
        <v>303.82527472527471</v>
      </c>
      <c r="O61" s="13">
        <f>N61*VLOOKUP('Données projet'!$B$9,Paramètres!$A$1:$I$89,3,0)*VLOOKUP('Données projet'!$B$9,Paramètres!$A$1:$I$89,5,0)</f>
        <v>142.19022857142855</v>
      </c>
      <c r="P61" s="13">
        <f t="shared" si="33"/>
        <v>36.798301893816983</v>
      </c>
      <c r="Q61" s="20">
        <f t="shared" si="53"/>
        <v>311.7383572269693</v>
      </c>
      <c r="R61" s="59">
        <f t="shared" si="0"/>
        <v>605.07169056030261</v>
      </c>
      <c r="S61" s="59">
        <f ca="1">AVERAGE(OFFSET($R$3,0,0,'Données projet'!$E$9+1,1))-AVERAGE(OFFSET($H$3,0,0,'Données projet'!$E$9+1,1))</f>
        <v>198.17898804494365</v>
      </c>
      <c r="T61" s="59">
        <f t="shared" si="34"/>
        <v>186.24772922797723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35.613136619395306</v>
      </c>
      <c r="AA61" s="21">
        <f>EXP(-LN(2)/25)*AA60+(1-EXP(-LN(2)/25))/(LN(2)/25)*Calculateur!V61*Calculateur!X61*VLOOKUP('Données projet'!$B$9,Paramètres!$A$1:$I$89,3,0)*0.475*44/12</f>
        <v>30.121159377848773</v>
      </c>
      <c r="AB61" s="21">
        <f>EXP(-LN(2)/2)*AB60+(1-EXP(-LN(2)/2))/(LN(2)/2)*V61*Y61*VLOOKUP('Données projet'!$B$9,Paramètres!$A$1:$I$89,3,0)*0.475*44/12</f>
        <v>3.0007494938831947</v>
      </c>
      <c r="AC61" s="22">
        <f t="shared" si="3"/>
        <v>68.735045491127266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278.21846622758881</v>
      </c>
      <c r="AO61" s="59">
        <f t="shared" si="36"/>
        <v>245.37578316242906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8.374198717948719</v>
      </c>
      <c r="BD61" s="12">
        <f>IF('Données projet'!$A$88&gt;35,BD60+BC61-BL60,IF(A61&lt;'Données projet'!$A$88,$BA$205^A61,IF(A61='Données projet'!$A$88,'Données projet'!$B$88,BD60+BC61-BL60)))</f>
        <v>178.41746794871801</v>
      </c>
      <c r="BE61" s="13">
        <f>BD61*VLOOKUP('Données projet'!$B$11,Paramètres!$A$1:$I$89,3,0)*VLOOKUP('Données projet'!$B$11,Paramètres!$A$1:$I$89,5,0)</f>
        <v>161.43212500000007</v>
      </c>
      <c r="BF61" s="13">
        <f t="shared" si="37"/>
        <v>41.16536748337429</v>
      </c>
      <c r="BG61" s="20">
        <f t="shared" si="7"/>
        <v>352.85729940854367</v>
      </c>
      <c r="BH61" s="59">
        <f t="shared" si="8"/>
        <v>646.19063274187693</v>
      </c>
      <c r="BI61" s="59">
        <f ca="1">AVERAGE(OFFSET($BH$3,0,0,'Données projet'!$E$11+1,1))-AVERAGE(OFFSET($H$3,0,0,'Données projet'!$E$11+1,1))</f>
        <v>270.87836509222456</v>
      </c>
      <c r="BJ61" s="59">
        <f t="shared" si="38"/>
        <v>205.24998237949734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8.374198717948719</v>
      </c>
      <c r="BY61" s="12">
        <f>IF('Données projet'!$A$114&gt;35,BY60+BX61-CG60,IF(A61&lt;'Données projet'!$A$114,$BV$205^A61,IF(A61='Données projet'!$A$114,'Données projet'!$B$114,BY60+BX61-CG60)))</f>
        <v>178.41746794871801</v>
      </c>
      <c r="BZ61" s="13">
        <f>BY61*VLOOKUP('Données projet'!$B$12,Paramètres!$A$1:$I$89,3,0)*VLOOKUP('Données projet'!$B$12,Paramètres!$A$1:$I$89,5,0)</f>
        <v>180.91531250000008</v>
      </c>
      <c r="CA61" s="13">
        <f t="shared" si="39"/>
        <v>45.525766180401902</v>
      </c>
      <c r="CB61" s="20">
        <f t="shared" si="10"/>
        <v>394.38487870170007</v>
      </c>
      <c r="CC61" s="59">
        <f t="shared" si="11"/>
        <v>687.71821203503339</v>
      </c>
      <c r="CD61" s="59">
        <f ca="1">AVERAGE(OFFSET($CC$3,0,0,'Données projet'!$E$12+1,1))-AVERAGE(OFFSET($H$3,0,0,'Données projet'!$E$12+1,1))</f>
        <v>312.29056285877169</v>
      </c>
      <c r="CE61" s="59">
        <f t="shared" si="40"/>
        <v>233.85454224241693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6.3942307692307701</v>
      </c>
      <c r="CT61" s="12">
        <f>IF('Données projet'!$A$140&gt;35,CT60+CS61-DB60,IF(A61&lt;'Données projet'!$A$140,$CQ$205^A61,IF(A61='Données projet'!$A$140,'Données projet'!$B$140,CT60+CS61-DB60)))</f>
        <v>152.86217948717947</v>
      </c>
      <c r="CU61" s="17">
        <f>CT61*VLOOKUP('Données projet'!$B$13,Paramètres!$A$1:$I$89,3,0)*VLOOKUP('Données projet'!$B$13,Paramètres!$A$1:$I$89,5,0)</f>
        <v>174.07945000000001</v>
      </c>
      <c r="CV61" s="13">
        <f t="shared" si="41"/>
        <v>44.002419902379813</v>
      </c>
      <c r="CW61" s="20">
        <f t="shared" si="13"/>
        <v>379.8259234133115</v>
      </c>
      <c r="CX61" s="59">
        <f t="shared" si="14"/>
        <v>673.15925674664481</v>
      </c>
      <c r="CY61" s="59">
        <f ca="1">AVERAGE(OFFSET($CX$3,0,0,'Données projet'!$E$13+1,1))-AVERAGE(OFFSET($H$3,0,0,'Données projet'!$E$13+1,1))</f>
        <v>292.22737648725354</v>
      </c>
      <c r="CZ61" s="59">
        <f t="shared" si="42"/>
        <v>182.84038581199871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6.3942307692307701</v>
      </c>
      <c r="DO61" s="12">
        <f>IF('Données projet'!$A$166&gt;35,DO60+DN61-DW60,IF(A61&lt;'Données projet'!$A$166,$DL$205^A61,IF(A61='Données projet'!$A$166,'Données projet'!$B$166,DO60+DN61-DW60)))</f>
        <v>152.86217948717947</v>
      </c>
      <c r="DP61" s="17">
        <f>DO61*VLOOKUP('Données projet'!$B$14,Paramètres!$A$1:$I$89,3,0)*VLOOKUP('Données projet'!$B$14,Paramètres!$A$1:$I$89,5,0)</f>
        <v>166.9255</v>
      </c>
      <c r="DQ61" s="13">
        <f t="shared" si="43"/>
        <v>42.400708154834064</v>
      </c>
      <c r="DR61" s="20">
        <f t="shared" si="16"/>
        <v>364.57647920300269</v>
      </c>
      <c r="DS61" s="59">
        <f t="shared" si="17"/>
        <v>657.90981253633595</v>
      </c>
      <c r="DT61" s="59">
        <f ca="1">AVERAGE(OFFSET($DS$3,0,0,'Données projet'!$E$14+1,1))-AVERAGE(OFFSET($H$3,0,0,'Données projet'!$E$14+1,1))</f>
        <v>276.52126514622455</v>
      </c>
      <c r="DU61" s="59">
        <f t="shared" si="44"/>
        <v>173.98404849503186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6.3942307692307701</v>
      </c>
      <c r="EJ61" s="12">
        <f>IF('Données projet'!$A$192&gt;35,EJ60+EI61-ER60,IF(A61&lt;'Données projet'!$A$192,$EG$205^A61,IF(A61='Données projet'!$A$192,'Données projet'!$B$192,EJ60+EI61-ER60)))</f>
        <v>152.86217948717947</v>
      </c>
      <c r="EK61" s="17">
        <f>EJ61*VLOOKUP('Données projet'!$B$15,Paramètres!$A$1:$I$89,3,0)*VLOOKUP('Données projet'!$B$15,Paramètres!$A$1:$I$89,5,0)</f>
        <v>147.84829999999999</v>
      </c>
      <c r="EL61" s="13">
        <f t="shared" si="45"/>
        <v>38.08919364795495</v>
      </c>
      <c r="EM61" s="20">
        <f t="shared" si="19"/>
        <v>323.84113477018821</v>
      </c>
      <c r="EN61" s="59">
        <f t="shared" si="20"/>
        <v>617.17446810352158</v>
      </c>
      <c r="EO61" s="59">
        <f ca="1">AVERAGE(OFFSET($EN$3,0,0,'Données projet'!$E$15+1,1))-AVERAGE(OFFSET($H$3,0,0,'Données projet'!$E$15+1,1))</f>
        <v>234.56750794375012</v>
      </c>
      <c r="EP61" s="59">
        <f t="shared" si="46"/>
        <v>150.32420541314724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14.270329670329668</v>
      </c>
      <c r="N62" s="13">
        <f>IF('Données projet'!$A$36&gt;35,N61+M62-V61,IF(A62&lt;'Données projet'!$A$36,$K$205^A62,IF(A62='Données projet'!$A$36,'Données projet'!$B$36,N61+M62-V61)))</f>
        <v>318.09560439560437</v>
      </c>
      <c r="O62" s="13">
        <f>N62*VLOOKUP('Données projet'!$B$9,Paramètres!$A$1:$I$89,3,0)*VLOOKUP('Données projet'!$B$9,Paramètres!$A$1:$I$89,5,0)</f>
        <v>148.86874285714285</v>
      </c>
      <c r="P62" s="13">
        <f t="shared" si="33"/>
        <v>38.321390217280914</v>
      </c>
      <c r="Q62" s="20">
        <f t="shared" si="53"/>
        <v>326.02281510462137</v>
      </c>
      <c r="R62" s="59">
        <f t="shared" si="0"/>
        <v>619.35614843795474</v>
      </c>
      <c r="S62" s="59">
        <f ca="1">AVERAGE(OFFSET($R$3,0,0,'Données projet'!$E$9+1,1))-AVERAGE(OFFSET($H$3,0,0,'Données projet'!$E$9+1,1))</f>
        <v>198.17898804494365</v>
      </c>
      <c r="T62" s="59">
        <f t="shared" si="34"/>
        <v>186.24772922797723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34.914784732157443</v>
      </c>
      <c r="AA62" s="21">
        <f>EXP(-LN(2)/25)*AA61+(1-EXP(-LN(2)/25))/(LN(2)/25)*Calculateur!V62*Calculateur!X62*VLOOKUP('Données projet'!$B$9,Paramètres!$A$1:$I$89,3,0)*0.475*44/12</f>
        <v>29.297494690658571</v>
      </c>
      <c r="AB62" s="21">
        <f>EXP(-LN(2)/2)*AB61+(1-EXP(-LN(2)/2))/(LN(2)/2)*V62*Y62*VLOOKUP('Données projet'!$B$9,Paramètres!$A$1:$I$89,3,0)*0.475*44/12</f>
        <v>2.1218503157669075</v>
      </c>
      <c r="AC62" s="22">
        <f t="shared" si="3"/>
        <v>66.334129738582917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278.21846622758881</v>
      </c>
      <c r="AO62" s="59">
        <f t="shared" si="36"/>
        <v>245.37578316242906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8.374198717948719</v>
      </c>
      <c r="BD62" s="12">
        <f>IF('Données projet'!$A$88&gt;35,BD61+BC62-BL61,IF(A62&lt;'Données projet'!$A$88,$BA$205^A62,IF(A62='Données projet'!$A$88,'Données projet'!$B$88,BD61+BC62-BL61)))</f>
        <v>186.79166666666674</v>
      </c>
      <c r="BE62" s="13">
        <f>BD62*VLOOKUP('Données projet'!$B$11,Paramètres!$A$1:$I$89,3,0)*VLOOKUP('Données projet'!$B$11,Paramètres!$A$1:$I$89,5,0)</f>
        <v>169.00910000000005</v>
      </c>
      <c r="BF62" s="13">
        <f t="shared" si="37"/>
        <v>42.868019497909927</v>
      </c>
      <c r="BG62" s="20">
        <f t="shared" si="7"/>
        <v>369.01931645885981</v>
      </c>
      <c r="BH62" s="59">
        <f t="shared" si="8"/>
        <v>662.35264979219312</v>
      </c>
      <c r="BI62" s="59">
        <f ca="1">AVERAGE(OFFSET($BH$3,0,0,'Données projet'!$E$11+1,1))-AVERAGE(OFFSET($H$3,0,0,'Données projet'!$E$11+1,1))</f>
        <v>270.87836509222456</v>
      </c>
      <c r="BJ62" s="59">
        <f t="shared" si="38"/>
        <v>205.24998237949734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8.374198717948719</v>
      </c>
      <c r="BY62" s="12">
        <f>IF('Données projet'!$A$114&gt;35,BY61+BX62-CG61,IF(A62&lt;'Données projet'!$A$114,$BV$205^A62,IF(A62='Données projet'!$A$114,'Données projet'!$B$114,BY61+BX62-CG61)))</f>
        <v>186.79166666666674</v>
      </c>
      <c r="BZ62" s="13">
        <f>BY62*VLOOKUP('Données projet'!$B$12,Paramètres!$A$1:$I$89,3,0)*VLOOKUP('Données projet'!$B$12,Paramètres!$A$1:$I$89,5,0)</f>
        <v>189.40675000000007</v>
      </c>
      <c r="CA62" s="13">
        <f t="shared" si="39"/>
        <v>47.408769837095797</v>
      </c>
      <c r="CB62" s="20">
        <f t="shared" si="10"/>
        <v>412.45369704960859</v>
      </c>
      <c r="CC62" s="59">
        <f t="shared" si="11"/>
        <v>705.78703038294191</v>
      </c>
      <c r="CD62" s="59">
        <f ca="1">AVERAGE(OFFSET($CC$3,0,0,'Données projet'!$E$12+1,1))-AVERAGE(OFFSET($H$3,0,0,'Données projet'!$E$12+1,1))</f>
        <v>312.29056285877169</v>
      </c>
      <c r="CE62" s="59">
        <f t="shared" si="40"/>
        <v>233.85454224241693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159.25641025641025</v>
      </c>
      <c r="CR62" s="12">
        <f>VLOOKUP(A62,'Données projet'!$A$139:$I$159,9,0)</f>
        <v>6.3942307692307701</v>
      </c>
      <c r="CS62" s="12">
        <f t="array" ref="CS62">INDEX(CR:CR,MIN(IF(ISNUMBER(CR62:CR258),ROW(CR62:CR258),"")))</f>
        <v>6.3942307692307701</v>
      </c>
      <c r="CT62" s="12">
        <f>IF('Données projet'!$A$140&gt;35,CT61+CS62-DB61,IF(A62&lt;'Données projet'!$A$140,$CQ$205^A62,IF(A62='Données projet'!$A$140,'Données projet'!$B$140,CT61+CS62-DB61)))</f>
        <v>159.25641025641025</v>
      </c>
      <c r="CU62" s="17">
        <f>CT62*VLOOKUP('Données projet'!$B$13,Paramètres!$A$1:$I$89,3,0)*VLOOKUP('Données projet'!$B$13,Paramètres!$A$1:$I$89,5,0)</f>
        <v>181.3612</v>
      </c>
      <c r="CV62" s="13">
        <f t="shared" si="41"/>
        <v>45.624895174348893</v>
      </c>
      <c r="CW62" s="20">
        <f t="shared" si="13"/>
        <v>395.33411576199092</v>
      </c>
      <c r="CX62" s="59">
        <f t="shared" si="14"/>
        <v>688.66744909532417</v>
      </c>
      <c r="CY62" s="59">
        <f ca="1">AVERAGE(OFFSET($CX$3,0,0,'Données projet'!$E$13+1,1))-AVERAGE(OFFSET($H$3,0,0,'Données projet'!$E$13+1,1))</f>
        <v>292.22737648725354</v>
      </c>
      <c r="CZ62" s="59">
        <f t="shared" si="42"/>
        <v>182.84038581199871</v>
      </c>
      <c r="DA62" s="15">
        <f>IF(ISNA(VLOOKUP(A62,'Données projet'!$A$139:$I$159,3,0)),0,VLOOKUP(A62,'Données projet'!$A$139:$I$159,3,0))</f>
        <v>3</v>
      </c>
      <c r="DB62" s="15">
        <f>IF(ISNA(VLOOKUP(A62,'Données projet'!$A$139:$I$159,4,0)),0,VLOOKUP(A62,'Données projet'!$A$139:$I$159,4,0))</f>
        <v>38.942307692307693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159.25641025641025</v>
      </c>
      <c r="DM62" s="12">
        <f>VLOOKUP(A62,'Données projet'!$A$165:$I$185,9,0)</f>
        <v>6.3942307692307701</v>
      </c>
      <c r="DN62" s="12">
        <f t="array" ref="DN62">INDEX(DM:DM,MIN(IF(ISNUMBER(DM62:DM258),ROW(DM62:DM258),"")))</f>
        <v>6.3942307692307701</v>
      </c>
      <c r="DO62" s="12">
        <f>IF('Données projet'!$A$166&gt;35,DO61+DN62-DW61,IF(A62&lt;'Données projet'!$A$166,$DL$205^A62,IF(A62='Données projet'!$A$166,'Données projet'!$B$166,DO61+DN62-DW61)))</f>
        <v>159.25641025641025</v>
      </c>
      <c r="DP62" s="17">
        <f>DO62*VLOOKUP('Données projet'!$B$14,Paramètres!$A$1:$I$89,3,0)*VLOOKUP('Données projet'!$B$14,Paramètres!$A$1:$I$89,5,0)</f>
        <v>173.90799999999999</v>
      </c>
      <c r="DQ62" s="13">
        <f t="shared" si="43"/>
        <v>43.964124454387935</v>
      </c>
      <c r="DR62" s="20">
        <f t="shared" si="16"/>
        <v>379.46061675805896</v>
      </c>
      <c r="DS62" s="59">
        <f t="shared" si="17"/>
        <v>672.79395009139228</v>
      </c>
      <c r="DT62" s="59">
        <f ca="1">AVERAGE(OFFSET($DS$3,0,0,'Données projet'!$E$14+1,1))-AVERAGE(OFFSET($H$3,0,0,'Données projet'!$E$14+1,1))</f>
        <v>276.52126514622455</v>
      </c>
      <c r="DU62" s="59">
        <f t="shared" si="44"/>
        <v>173.98404849503186</v>
      </c>
      <c r="DV62" s="15">
        <f>IF(ISNA(VLOOKUP(A62,'Données projet'!$A$165:$I$185,3,0)),0,VLOOKUP(A62,'Données projet'!$A$165:$I$185,3,0))</f>
        <v>3</v>
      </c>
      <c r="DW62" s="15">
        <f>IF(ISNA(VLOOKUP(A62,'Données projet'!$A$165:$I$185,4,0)),0,VLOOKUP(A62,'Données projet'!$A$165:$I$185,4,0))</f>
        <v>38.942307692307693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>
        <f>VLOOKUP(A62,'Données projet'!$A$191:$I$211,2,0)</f>
        <v>159.25641025641025</v>
      </c>
      <c r="EH62" s="12">
        <f>VLOOKUP(A62,'Données projet'!$A$191:$I$211,9,0)</f>
        <v>6.3942307692307701</v>
      </c>
      <c r="EI62" s="12">
        <f t="array" ref="EI62">INDEX(EH:EH,MIN(IF(ISNUMBER(EH62:EH258),ROW(EH62:EH258),"")))</f>
        <v>6.3942307692307701</v>
      </c>
      <c r="EJ62" s="12">
        <f>IF('Données projet'!$A$192&gt;35,EJ61+EI62-ER61,IF(A62&lt;'Données projet'!$A$192,$EG$205^A62,IF(A62='Données projet'!$A$192,'Données projet'!$B$192,EJ61+EI62-ER61)))</f>
        <v>159.25641025641025</v>
      </c>
      <c r="EK62" s="17">
        <f>EJ62*VLOOKUP('Données projet'!$B$15,Paramètres!$A$1:$I$89,3,0)*VLOOKUP('Données projet'!$B$15,Paramètres!$A$1:$I$89,5,0)</f>
        <v>154.03280000000001</v>
      </c>
      <c r="EL62" s="13">
        <f t="shared" si="45"/>
        <v>39.493634016465371</v>
      </c>
      <c r="EM62" s="20">
        <f t="shared" si="19"/>
        <v>337.05853924534387</v>
      </c>
      <c r="EN62" s="59">
        <f t="shared" si="20"/>
        <v>630.39187257867718</v>
      </c>
      <c r="EO62" s="59">
        <f ca="1">AVERAGE(OFFSET($EN$3,0,0,'Données projet'!$E$15+1,1))-AVERAGE(OFFSET($H$3,0,0,'Données projet'!$E$15+1,1))</f>
        <v>234.56750794375012</v>
      </c>
      <c r="EP62" s="59">
        <f t="shared" si="46"/>
        <v>150.32420541314724</v>
      </c>
      <c r="EQ62" s="15">
        <f>IF(ISNA(VLOOKUP(A62,'Données projet'!$A$191:$I$211,3,0)),0,VLOOKUP(A62,'Données projet'!$A$191:$I$211,3,0))</f>
        <v>3</v>
      </c>
      <c r="ER62" s="15">
        <f>IF(ISNA(VLOOKUP(A62,'Données projet'!$A$191:$I$211,4,0)),0,VLOOKUP(A62,'Données projet'!$A$191:$I$211,4,0))</f>
        <v>38.942307692307693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14.270329670329668</v>
      </c>
      <c r="N63" s="13">
        <f>IF('Données projet'!$A$36&gt;35,N62+M63-V62,IF(A63&lt;'Données projet'!$A$36,$K$205^A63,IF(A63='Données projet'!$A$36,'Données projet'!$B$36,N62+M63-V62)))</f>
        <v>332.36593406593403</v>
      </c>
      <c r="O63" s="13">
        <f>N63*VLOOKUP('Données projet'!$B$9,Paramètres!$A$1:$I$89,3,0)*VLOOKUP('Données projet'!$B$9,Paramètres!$A$1:$I$89,5,0)</f>
        <v>155.54725714285712</v>
      </c>
      <c r="P63" s="13">
        <f t="shared" si="33"/>
        <v>39.836543030962723</v>
      </c>
      <c r="Q63" s="20">
        <f t="shared" si="53"/>
        <v>340.29345196940289</v>
      </c>
      <c r="R63" s="59">
        <f t="shared" si="0"/>
        <v>633.62678530273615</v>
      </c>
      <c r="S63" s="59">
        <f ca="1">AVERAGE(OFFSET($R$3,0,0,'Données projet'!$E$9+1,1))-AVERAGE(OFFSET($H$3,0,0,'Données projet'!$E$9+1,1))</f>
        <v>198.17898804494365</v>
      </c>
      <c r="T63" s="59">
        <f t="shared" si="34"/>
        <v>186.24772922797723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34.230127099475723</v>
      </c>
      <c r="AA63" s="21">
        <f>EXP(-LN(2)/25)*AA62+(1-EXP(-LN(2)/25))/(LN(2)/25)*Calculateur!V63*Calculateur!X63*VLOOKUP('Données projet'!$B$9,Paramètres!$A$1:$I$89,3,0)*0.475*44/12</f>
        <v>28.496353157654227</v>
      </c>
      <c r="AB63" s="21">
        <f>EXP(-LN(2)/2)*AB62+(1-EXP(-LN(2)/2))/(LN(2)/2)*V63*Y63*VLOOKUP('Données projet'!$B$9,Paramètres!$A$1:$I$89,3,0)*0.475*44/12</f>
        <v>1.5003747469415976</v>
      </c>
      <c r="AC63" s="22">
        <f t="shared" si="3"/>
        <v>64.226855004071552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278.21846622758881</v>
      </c>
      <c r="AO63" s="59">
        <f t="shared" si="36"/>
        <v>245.37578316242906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8.374198717948719</v>
      </c>
      <c r="BD63" s="12">
        <f>IF('Données projet'!$A$88&gt;35,BD62+BC63-BL62,IF(A63&lt;'Données projet'!$A$88,$BA$205^A63,IF(A63='Données projet'!$A$88,'Données projet'!$B$88,BD62+BC63-BL62)))</f>
        <v>195.16586538461547</v>
      </c>
      <c r="BE63" s="13">
        <f>BD63*VLOOKUP('Données projet'!$B$11,Paramètres!$A$1:$I$89,3,0)*VLOOKUP('Données projet'!$B$11,Paramètres!$A$1:$I$89,5,0)</f>
        <v>176.58607500000008</v>
      </c>
      <c r="BF63" s="13">
        <f t="shared" si="37"/>
        <v>44.561806372041367</v>
      </c>
      <c r="BG63" s="20">
        <f t="shared" si="7"/>
        <v>385.16589338963877</v>
      </c>
      <c r="BH63" s="59">
        <f t="shared" si="8"/>
        <v>678.49922672297203</v>
      </c>
      <c r="BI63" s="59">
        <f ca="1">AVERAGE(OFFSET($BH$3,0,0,'Données projet'!$E$11+1,1))-AVERAGE(OFFSET($H$3,0,0,'Données projet'!$E$11+1,1))</f>
        <v>270.87836509222456</v>
      </c>
      <c r="BJ63" s="59">
        <f t="shared" si="38"/>
        <v>205.24998237949734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8.374198717948719</v>
      </c>
      <c r="BY63" s="12">
        <f>IF('Données projet'!$A$114&gt;35,BY62+BX63-CG62,IF(A63&lt;'Données projet'!$A$114,$BV$205^A63,IF(A63='Données projet'!$A$114,'Données projet'!$B$114,BY62+BX63-CG62)))</f>
        <v>195.16586538461547</v>
      </c>
      <c r="BZ63" s="13">
        <f>BY63*VLOOKUP('Données projet'!$B$12,Paramètres!$A$1:$I$89,3,0)*VLOOKUP('Données projet'!$B$12,Paramètres!$A$1:$I$89,5,0)</f>
        <v>197.89818750000012</v>
      </c>
      <c r="CA63" s="13">
        <f t="shared" si="39"/>
        <v>49.281969322616803</v>
      </c>
      <c r="CB63" s="20">
        <f t="shared" si="10"/>
        <v>430.50543979939113</v>
      </c>
      <c r="CC63" s="59">
        <f t="shared" si="11"/>
        <v>723.83877313272444</v>
      </c>
      <c r="CD63" s="59">
        <f ca="1">AVERAGE(OFFSET($CC$3,0,0,'Données projet'!$E$12+1,1))-AVERAGE(OFFSET($H$3,0,0,'Données projet'!$E$12+1,1))</f>
        <v>312.29056285877169</v>
      </c>
      <c r="CE63" s="59">
        <f t="shared" si="40"/>
        <v>233.85454224241693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5.9431089743589762</v>
      </c>
      <c r="CT63" s="12">
        <f>IF('Données projet'!$A$140&gt;35,CT62+CS63-DB62,IF(A63&lt;'Données projet'!$A$140,$CQ$205^A63,IF(A63='Données projet'!$A$140,'Données projet'!$B$140,CT62+CS63-DB62)))</f>
        <v>126.25721153846153</v>
      </c>
      <c r="CU63" s="17">
        <f>CT63*VLOOKUP('Données projet'!$B$13,Paramètres!$A$1:$I$89,3,0)*VLOOKUP('Données projet'!$B$13,Paramètres!$A$1:$I$89,5,0)</f>
        <v>143.7817125</v>
      </c>
      <c r="CV63" s="13">
        <f t="shared" si="41"/>
        <v>37.161994243512687</v>
      </c>
      <c r="CW63" s="20">
        <f t="shared" si="13"/>
        <v>315.14362257828458</v>
      </c>
      <c r="CX63" s="59">
        <f t="shared" si="14"/>
        <v>608.47695591161789</v>
      </c>
      <c r="CY63" s="59">
        <f ca="1">AVERAGE(OFFSET($CX$3,0,0,'Données projet'!$E$13+1,1))-AVERAGE(OFFSET($H$3,0,0,'Données projet'!$E$13+1,1))</f>
        <v>292.22737648725354</v>
      </c>
      <c r="CZ63" s="59">
        <f t="shared" si="42"/>
        <v>182.84038581199871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5.9431089743589762</v>
      </c>
      <c r="DO63" s="12">
        <f>IF('Données projet'!$A$166&gt;35,DO62+DN63-DW62,IF(A63&lt;'Données projet'!$A$166,$DL$205^A63,IF(A63='Données projet'!$A$166,'Données projet'!$B$166,DO62+DN63-DW62)))</f>
        <v>126.25721153846153</v>
      </c>
      <c r="DP63" s="17">
        <f>DO63*VLOOKUP('Données projet'!$B$14,Paramètres!$A$1:$I$89,3,0)*VLOOKUP('Données projet'!$B$14,Paramètres!$A$1:$I$89,5,0)</f>
        <v>137.87287499999999</v>
      </c>
      <c r="DQ63" s="13">
        <f t="shared" si="43"/>
        <v>35.8092776685126</v>
      </c>
      <c r="DR63" s="20">
        <f t="shared" si="16"/>
        <v>302.49641589765946</v>
      </c>
      <c r="DS63" s="59">
        <f t="shared" si="17"/>
        <v>595.82974923099277</v>
      </c>
      <c r="DT63" s="59">
        <f ca="1">AVERAGE(OFFSET($DS$3,0,0,'Données projet'!$E$14+1,1))-AVERAGE(OFFSET($H$3,0,0,'Données projet'!$E$14+1,1))</f>
        <v>276.52126514622455</v>
      </c>
      <c r="DU63" s="59">
        <f t="shared" si="44"/>
        <v>173.98404849503186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5.9431089743589762</v>
      </c>
      <c r="EJ63" s="12">
        <f>IF('Données projet'!$A$192&gt;35,EJ62+EI63-ER62,IF(A63&lt;'Données projet'!$A$192,$EG$205^A63,IF(A63='Données projet'!$A$192,'Données projet'!$B$192,EJ62+EI63-ER62)))</f>
        <v>126.25721153846153</v>
      </c>
      <c r="EK63" s="17">
        <f>EJ63*VLOOKUP('Données projet'!$B$15,Paramètres!$A$1:$I$89,3,0)*VLOOKUP('Données projet'!$B$15,Paramètres!$A$1:$I$89,5,0)</f>
        <v>122.11597499999999</v>
      </c>
      <c r="EL63" s="13">
        <f t="shared" si="45"/>
        <v>32.168012537164756</v>
      </c>
      <c r="EM63" s="20">
        <f t="shared" si="19"/>
        <v>268.7112782938953</v>
      </c>
      <c r="EN63" s="59">
        <f t="shared" si="20"/>
        <v>562.04461162722862</v>
      </c>
      <c r="EO63" s="59">
        <f ca="1">AVERAGE(OFFSET($EN$3,0,0,'Données projet'!$E$15+1,1))-AVERAGE(OFFSET($H$3,0,0,'Données projet'!$E$15+1,1))</f>
        <v>234.56750794375012</v>
      </c>
      <c r="EP63" s="59">
        <f t="shared" si="46"/>
        <v>150.32420541314724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14.270329670329668</v>
      </c>
      <c r="N64" s="13">
        <f>IF('Données projet'!$A$36&gt;35,N63+M64-V63,IF(A64&lt;'Données projet'!$A$36,$K$205^A64,IF(A64='Données projet'!$A$36,'Données projet'!$B$36,N63+M64-V63)))</f>
        <v>346.63626373626369</v>
      </c>
      <c r="O64" s="13">
        <f>N64*VLOOKUP('Données projet'!$B$9,Paramètres!$A$1:$I$89,3,0)*VLOOKUP('Données projet'!$B$9,Paramètres!$A$1:$I$89,5,0)</f>
        <v>162.22577142857142</v>
      </c>
      <c r="P64" s="13">
        <f t="shared" si="33"/>
        <v>41.344139999178246</v>
      </c>
      <c r="Q64" s="20">
        <f t="shared" si="53"/>
        <v>354.55092906999738</v>
      </c>
      <c r="R64" s="59">
        <f t="shared" si="0"/>
        <v>647.88426240333069</v>
      </c>
      <c r="S64" s="59">
        <f ca="1">AVERAGE(OFFSET($R$3,0,0,'Données projet'!$E$9+1,1))-AVERAGE(OFFSET($H$3,0,0,'Données projet'!$E$9+1,1))</f>
        <v>198.17898804494365</v>
      </c>
      <c r="T64" s="59">
        <f t="shared" si="34"/>
        <v>186.24772922797723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33.558895185370972</v>
      </c>
      <c r="AA64" s="21">
        <f>EXP(-LN(2)/25)*AA63+(1-EXP(-LN(2)/25))/(LN(2)/25)*Calculateur!V64*Calculateur!X64*VLOOKUP('Données projet'!$B$9,Paramètres!$A$1:$I$89,3,0)*0.475*44/12</f>
        <v>27.71711888200009</v>
      </c>
      <c r="AB64" s="21">
        <f>EXP(-LN(2)/2)*AB63+(1-EXP(-LN(2)/2))/(LN(2)/2)*V64*Y64*VLOOKUP('Données projet'!$B$9,Paramètres!$A$1:$I$89,3,0)*0.475*44/12</f>
        <v>1.060925157883454</v>
      </c>
      <c r="AC64" s="22">
        <f t="shared" si="3"/>
        <v>62.336939225254518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278.21846622758881</v>
      </c>
      <c r="AO64" s="59">
        <f t="shared" si="36"/>
        <v>245.37578316242906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8.374198717948719</v>
      </c>
      <c r="BD64" s="12">
        <f>IF('Données projet'!$A$88&gt;35,BD63+BC64-BL63,IF(A64&lt;'Données projet'!$A$88,$BA$205^A64,IF(A64='Données projet'!$A$88,'Données projet'!$B$88,BD63+BC64-BL63)))</f>
        <v>203.5400641025642</v>
      </c>
      <c r="BE64" s="13">
        <f>BD64*VLOOKUP('Données projet'!$B$11,Paramètres!$A$1:$I$89,3,0)*VLOOKUP('Données projet'!$B$11,Paramètres!$A$1:$I$89,5,0)</f>
        <v>184.16305000000008</v>
      </c>
      <c r="BF64" s="13">
        <f t="shared" si="37"/>
        <v>46.247151975893182</v>
      </c>
      <c r="BG64" s="20">
        <f t="shared" si="7"/>
        <v>401.29776844134739</v>
      </c>
      <c r="BH64" s="59">
        <f t="shared" si="8"/>
        <v>694.6311017746807</v>
      </c>
      <c r="BI64" s="59">
        <f ca="1">AVERAGE(OFFSET($BH$3,0,0,'Données projet'!$E$11+1,1))-AVERAGE(OFFSET($H$3,0,0,'Données projet'!$E$11+1,1))</f>
        <v>270.87836509222456</v>
      </c>
      <c r="BJ64" s="59">
        <f t="shared" si="38"/>
        <v>205.24998237949734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8.374198717948719</v>
      </c>
      <c r="BY64" s="12">
        <f>IF('Données projet'!$A$114&gt;35,BY63+BX64-CG63,IF(A64&lt;'Données projet'!$A$114,$BV$205^A64,IF(A64='Données projet'!$A$114,'Données projet'!$B$114,BY63+BX64-CG63)))</f>
        <v>203.5400641025642</v>
      </c>
      <c r="BZ64" s="13">
        <f>BY64*VLOOKUP('Données projet'!$B$12,Paramètres!$A$1:$I$89,3,0)*VLOOKUP('Données projet'!$B$12,Paramètres!$A$1:$I$89,5,0)</f>
        <v>206.38962500000014</v>
      </c>
      <c r="CA64" s="13">
        <f t="shared" si="39"/>
        <v>51.145833405091373</v>
      </c>
      <c r="CB64" s="20">
        <f t="shared" si="10"/>
        <v>448.54092338886767</v>
      </c>
      <c r="CC64" s="59">
        <f t="shared" si="11"/>
        <v>741.87425672220093</v>
      </c>
      <c r="CD64" s="59">
        <f ca="1">AVERAGE(OFFSET($CC$3,0,0,'Données projet'!$E$12+1,1))-AVERAGE(OFFSET($H$3,0,0,'Données projet'!$E$12+1,1))</f>
        <v>312.29056285877169</v>
      </c>
      <c r="CE64" s="59">
        <f t="shared" si="40"/>
        <v>233.85454224241693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5.9431089743589762</v>
      </c>
      <c r="CT64" s="12">
        <f>IF('Données projet'!$A$140&gt;35,CT63+CS64-DB63,IF(A64&lt;'Données projet'!$A$140,$CQ$205^A64,IF(A64='Données projet'!$A$140,'Données projet'!$B$140,CT63+CS64-DB63)))</f>
        <v>132.2003205128205</v>
      </c>
      <c r="CU64" s="17">
        <f>CT64*VLOOKUP('Données projet'!$B$13,Paramètres!$A$1:$I$89,3,0)*VLOOKUP('Données projet'!$B$13,Paramètres!$A$1:$I$89,5,0)</f>
        <v>150.549725</v>
      </c>
      <c r="CV64" s="13">
        <f t="shared" si="41"/>
        <v>38.703485989899256</v>
      </c>
      <c r="CW64" s="20">
        <f t="shared" si="13"/>
        <v>329.61600914074114</v>
      </c>
      <c r="CX64" s="59">
        <f t="shared" si="14"/>
        <v>622.94934247407446</v>
      </c>
      <c r="CY64" s="59">
        <f ca="1">AVERAGE(OFFSET($CX$3,0,0,'Données projet'!$E$13+1,1))-AVERAGE(OFFSET($H$3,0,0,'Données projet'!$E$13+1,1))</f>
        <v>292.22737648725354</v>
      </c>
      <c r="CZ64" s="59">
        <f t="shared" si="42"/>
        <v>182.84038581199871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5.9431089743589762</v>
      </c>
      <c r="DO64" s="12">
        <f>IF('Données projet'!$A$166&gt;35,DO63+DN64-DW63,IF(A64&lt;'Données projet'!$A$166,$DL$205^A64,IF(A64='Données projet'!$A$166,'Données projet'!$B$166,DO63+DN64-DW63)))</f>
        <v>132.2003205128205</v>
      </c>
      <c r="DP64" s="17">
        <f>DO64*VLOOKUP('Données projet'!$B$14,Paramètres!$A$1:$I$89,3,0)*VLOOKUP('Données projet'!$B$14,Paramètres!$A$1:$I$89,5,0)</f>
        <v>144.36274999999998</v>
      </c>
      <c r="DQ64" s="13">
        <f t="shared" si="43"/>
        <v>37.294658286365554</v>
      </c>
      <c r="DR64" s="20">
        <f t="shared" si="16"/>
        <v>316.38665276541997</v>
      </c>
      <c r="DS64" s="59">
        <f t="shared" si="17"/>
        <v>609.71998609875322</v>
      </c>
      <c r="DT64" s="59">
        <f ca="1">AVERAGE(OFFSET($DS$3,0,0,'Données projet'!$E$14+1,1))-AVERAGE(OFFSET($H$3,0,0,'Données projet'!$E$14+1,1))</f>
        <v>276.52126514622455</v>
      </c>
      <c r="DU64" s="59">
        <f t="shared" si="44"/>
        <v>173.98404849503186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5.9431089743589762</v>
      </c>
      <c r="EJ64" s="12">
        <f>IF('Données projet'!$A$192&gt;35,EJ63+EI64-ER63,IF(A64&lt;'Données projet'!$A$192,$EG$205^A64,IF(A64='Données projet'!$A$192,'Données projet'!$B$192,EJ63+EI64-ER63)))</f>
        <v>132.2003205128205</v>
      </c>
      <c r="EK64" s="17">
        <f>EJ64*VLOOKUP('Données projet'!$B$15,Paramètres!$A$1:$I$89,3,0)*VLOOKUP('Données projet'!$B$15,Paramètres!$A$1:$I$89,5,0)</f>
        <v>127.86414999999998</v>
      </c>
      <c r="EL64" s="13">
        <f t="shared" si="45"/>
        <v>33.502352279503945</v>
      </c>
      <c r="EM64" s="20">
        <f t="shared" si="19"/>
        <v>281.04665813680271</v>
      </c>
      <c r="EN64" s="59">
        <f t="shared" si="20"/>
        <v>574.37999147013602</v>
      </c>
      <c r="EO64" s="59">
        <f ca="1">AVERAGE(OFFSET($EN$3,0,0,'Données projet'!$E$15+1,1))-AVERAGE(OFFSET($H$3,0,0,'Données projet'!$E$15+1,1))</f>
        <v>234.56750794375012</v>
      </c>
      <c r="EP64" s="59">
        <f t="shared" si="46"/>
        <v>150.32420541314724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14.270329670329668</v>
      </c>
      <c r="N65" s="13">
        <f>IF('Données projet'!$A$36&gt;35,N64+M65-V64,IF(A65&lt;'Données projet'!$A$36,$K$205^A65,IF(A65='Données projet'!$A$36,'Données projet'!$B$36,N64+M65-V64)))</f>
        <v>360.90659340659334</v>
      </c>
      <c r="O65" s="13">
        <f>N65*VLOOKUP('Données projet'!$B$9,Paramètres!$A$1:$I$89,3,0)*VLOOKUP('Données projet'!$B$9,Paramètres!$A$1:$I$89,5,0)</f>
        <v>168.90428571428566</v>
      </c>
      <c r="P65" s="13">
        <f t="shared" si="33"/>
        <v>42.844527757373569</v>
      </c>
      <c r="Q65" s="20">
        <f t="shared" si="53"/>
        <v>368.79585012980647</v>
      </c>
      <c r="R65" s="59">
        <f t="shared" si="0"/>
        <v>662.12918346313973</v>
      </c>
      <c r="S65" s="59">
        <f ca="1">AVERAGE(OFFSET($R$3,0,0,'Données projet'!$E$9+1,1))-AVERAGE(OFFSET($H$3,0,0,'Données projet'!$E$9+1,1))</f>
        <v>198.17898804494365</v>
      </c>
      <c r="T65" s="59">
        <f t="shared" si="34"/>
        <v>186.24772922797723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32.900825719690772</v>
      </c>
      <c r="AA65" s="21">
        <f>EXP(-LN(2)/25)*AA64+(1-EXP(-LN(2)/25))/(LN(2)/25)*Calculateur!V65*Calculateur!X65*VLOOKUP('Données projet'!$B$9,Paramètres!$A$1:$I$89,3,0)*0.475*44/12</f>
        <v>26.959192808591865</v>
      </c>
      <c r="AB65" s="21">
        <f>EXP(-LN(2)/2)*AB64+(1-EXP(-LN(2)/2))/(LN(2)/2)*V65*Y65*VLOOKUP('Données projet'!$B$9,Paramètres!$A$1:$I$89,3,0)*0.475*44/12</f>
        <v>0.75018737347079889</v>
      </c>
      <c r="AC65" s="22">
        <f t="shared" si="3"/>
        <v>60.610205901753439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278.21846622758881</v>
      </c>
      <c r="AO65" s="59">
        <f t="shared" si="36"/>
        <v>245.37578316242906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8.374198717948719</v>
      </c>
      <c r="BD65" s="12">
        <f>IF('Données projet'!$A$88&gt;35,BD64+BC65-BL64,IF(A65&lt;'Données projet'!$A$88,$BA$205^A65,IF(A65='Données projet'!$A$88,'Données projet'!$B$88,BD64+BC65-BL64)))</f>
        <v>211.91426282051293</v>
      </c>
      <c r="BE65" s="13">
        <f>BD65*VLOOKUP('Données projet'!$B$11,Paramètres!$A$1:$I$89,3,0)*VLOOKUP('Données projet'!$B$11,Paramètres!$A$1:$I$89,5,0)</f>
        <v>191.74002500000009</v>
      </c>
      <c r="BF65" s="13">
        <f t="shared" si="37"/>
        <v>47.924443327659169</v>
      </c>
      <c r="BG65" s="20">
        <f t="shared" si="7"/>
        <v>417.41561567067316</v>
      </c>
      <c r="BH65" s="59">
        <f t="shared" si="8"/>
        <v>710.74894900400648</v>
      </c>
      <c r="BI65" s="59">
        <f ca="1">AVERAGE(OFFSET($BH$3,0,0,'Données projet'!$E$11+1,1))-AVERAGE(OFFSET($H$3,0,0,'Données projet'!$E$11+1,1))</f>
        <v>270.87836509222456</v>
      </c>
      <c r="BJ65" s="59">
        <f t="shared" si="38"/>
        <v>205.24998237949734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8.374198717948719</v>
      </c>
      <c r="BY65" s="12">
        <f>IF('Données projet'!$A$114&gt;35,BY64+BX65-CG64,IF(A65&lt;'Données projet'!$A$114,$BV$205^A65,IF(A65='Données projet'!$A$114,'Données projet'!$B$114,BY64+BX65-CG64)))</f>
        <v>211.91426282051293</v>
      </c>
      <c r="BZ65" s="13">
        <f>BY65*VLOOKUP('Données projet'!$B$12,Paramètres!$A$1:$I$89,3,0)*VLOOKUP('Données projet'!$B$12,Paramètres!$A$1:$I$89,5,0)</f>
        <v>214.88106250000013</v>
      </c>
      <c r="CA65" s="13">
        <f t="shared" si="39"/>
        <v>53.000790097212402</v>
      </c>
      <c r="CB65" s="20">
        <f t="shared" si="10"/>
        <v>466.56089327347848</v>
      </c>
      <c r="CC65" s="59">
        <f t="shared" si="11"/>
        <v>759.8942266068118</v>
      </c>
      <c r="CD65" s="59">
        <f ca="1">AVERAGE(OFFSET($CC$3,0,0,'Données projet'!$E$12+1,1))-AVERAGE(OFFSET($H$3,0,0,'Données projet'!$E$12+1,1))</f>
        <v>312.29056285877169</v>
      </c>
      <c r="CE65" s="59">
        <f t="shared" si="40"/>
        <v>233.85454224241693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5.9431089743589762</v>
      </c>
      <c r="CT65" s="12">
        <f>IF('Données projet'!$A$140&gt;35,CT64+CS65-DB64,IF(A65&lt;'Données projet'!$A$140,$CQ$205^A65,IF(A65='Données projet'!$A$140,'Données projet'!$B$140,CT64+CS65-DB64)))</f>
        <v>138.14342948717947</v>
      </c>
      <c r="CU65" s="17">
        <f>CT65*VLOOKUP('Données projet'!$B$13,Paramètres!$A$1:$I$89,3,0)*VLOOKUP('Données projet'!$B$13,Paramètres!$A$1:$I$89,5,0)</f>
        <v>157.31773749999999</v>
      </c>
      <c r="CV65" s="13">
        <f t="shared" si="41"/>
        <v>40.236929623151916</v>
      </c>
      <c r="CW65" s="20">
        <f t="shared" si="13"/>
        <v>344.07437857282292</v>
      </c>
      <c r="CX65" s="59">
        <f t="shared" si="14"/>
        <v>637.40771190615624</v>
      </c>
      <c r="CY65" s="59">
        <f ca="1">AVERAGE(OFFSET($CX$3,0,0,'Données projet'!$E$13+1,1))-AVERAGE(OFFSET($H$3,0,0,'Données projet'!$E$13+1,1))</f>
        <v>292.22737648725354</v>
      </c>
      <c r="CZ65" s="59">
        <f t="shared" si="42"/>
        <v>182.84038581199871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5.9431089743589762</v>
      </c>
      <c r="DO65" s="12">
        <f>IF('Données projet'!$A$166&gt;35,DO64+DN65-DW64,IF(A65&lt;'Données projet'!$A$166,$DL$205^A65,IF(A65='Données projet'!$A$166,'Données projet'!$B$166,DO64+DN65-DW64)))</f>
        <v>138.14342948717947</v>
      </c>
      <c r="DP65" s="17">
        <f>DO65*VLOOKUP('Données projet'!$B$14,Paramètres!$A$1:$I$89,3,0)*VLOOKUP('Données projet'!$B$14,Paramètres!$A$1:$I$89,5,0)</f>
        <v>150.85262499999999</v>
      </c>
      <c r="DQ65" s="13">
        <f t="shared" si="43"/>
        <v>38.772283746730736</v>
      </c>
      <c r="DR65" s="20">
        <f t="shared" si="16"/>
        <v>330.26338273388933</v>
      </c>
      <c r="DS65" s="59">
        <f t="shared" si="17"/>
        <v>623.59671606722259</v>
      </c>
      <c r="DT65" s="59">
        <f ca="1">AVERAGE(OFFSET($DS$3,0,0,'Données projet'!$E$14+1,1))-AVERAGE(OFFSET($H$3,0,0,'Données projet'!$E$14+1,1))</f>
        <v>276.52126514622455</v>
      </c>
      <c r="DU65" s="59">
        <f t="shared" si="44"/>
        <v>173.98404849503186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5.9431089743589762</v>
      </c>
      <c r="EJ65" s="12">
        <f>IF('Données projet'!$A$192&gt;35,EJ64+EI65-ER64,IF(A65&lt;'Données projet'!$A$192,$EG$205^A65,IF(A65='Données projet'!$A$192,'Données projet'!$B$192,EJ64+EI65-ER64)))</f>
        <v>138.14342948717947</v>
      </c>
      <c r="EK65" s="17">
        <f>EJ65*VLOOKUP('Données projet'!$B$15,Paramètres!$A$1:$I$89,3,0)*VLOOKUP('Données projet'!$B$15,Paramètres!$A$1:$I$89,5,0)</f>
        <v>133.612325</v>
      </c>
      <c r="EL65" s="13">
        <f t="shared" si="45"/>
        <v>34.829725447269773</v>
      </c>
      <c r="EM65" s="20">
        <f t="shared" si="19"/>
        <v>293.36990452899482</v>
      </c>
      <c r="EN65" s="59">
        <f t="shared" si="20"/>
        <v>586.70323786232814</v>
      </c>
      <c r="EO65" s="59">
        <f ca="1">AVERAGE(OFFSET($EN$3,0,0,'Données projet'!$E$15+1,1))-AVERAGE(OFFSET($H$3,0,0,'Données projet'!$E$15+1,1))</f>
        <v>234.56750794375012</v>
      </c>
      <c r="EP65" s="59">
        <f t="shared" si="46"/>
        <v>150.32420541314724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375.17692307692306</v>
      </c>
      <c r="L66" s="12">
        <f>VLOOKUP(A66,'Données projet'!$A$35:$I$55,9,0)</f>
        <v>14.270329670329668</v>
      </c>
      <c r="M66" s="12">
        <f t="array" ref="M66">INDEX(L:L,MIN(IF(ISNUMBER(L66:L262),ROW(L66:L262),"")))</f>
        <v>14.270329670329668</v>
      </c>
      <c r="N66" s="13">
        <f>IF('Données projet'!$A$36&gt;35,N65+M66-V65,IF(A66&lt;'Données projet'!$A$36,$K$205^A66,IF(A66='Données projet'!$A$36,'Données projet'!$B$36,N65+M66-V65)))</f>
        <v>375.176923076923</v>
      </c>
      <c r="O66" s="13">
        <f>N66*VLOOKUP('Données projet'!$B$9,Paramètres!$A$1:$I$89,3,0)*VLOOKUP('Données projet'!$B$9,Paramètres!$A$1:$I$89,5,0)</f>
        <v>175.58279999999996</v>
      </c>
      <c r="P66" s="13">
        <f t="shared" si="33"/>
        <v>44.338023977070598</v>
      </c>
      <c r="Q66" s="20">
        <f t="shared" si="53"/>
        <v>383.02876842673123</v>
      </c>
      <c r="R66" s="59">
        <f t="shared" si="0"/>
        <v>676.36210176006455</v>
      </c>
      <c r="S66" s="59">
        <f ca="1">AVERAGE(OFFSET($R$3,0,0,'Données projet'!$E$9+1,1))-AVERAGE(OFFSET($H$3,0,0,'Données projet'!$E$9+1,1))</f>
        <v>198.17898804494365</v>
      </c>
      <c r="T66" s="59">
        <f t="shared" si="34"/>
        <v>186.24772922797723</v>
      </c>
      <c r="U66" s="15">
        <f>IF(ISNA(VLOOKUP(A66,'Données projet'!$A$35:$I$55,3,0)),0,VLOOKUP(A66,'Données projet'!$A$35:$I$55,3,0))</f>
        <v>4</v>
      </c>
      <c r="V66" s="15">
        <f>IF(ISNA(VLOOKUP(A66,'Données projet'!$A$35:$I$55,4,0)),0,VLOOKUP(A66,'Données projet'!$A$35:$I$55,4,0))</f>
        <v>71.123076923076923</v>
      </c>
      <c r="W66" s="16">
        <f>IF(ISNA(VLOOKUP(A66,'Données projet'!$A$35:$I$55,5,0)),0%,VLOOKUP(A66,'Données projet'!$A$35:$I$55,5,0)*VLOOKUP('Données projet'!$B$9,Paramètres!$A$1:$I$89,7,0))</f>
        <v>0.38500000000000001</v>
      </c>
      <c r="X66" s="16">
        <f>IF(ISNA(VLOOKUP(A66,'Données projet'!$A$35:$I$55,6,0)),0%,VLOOKUP(A66,'Données projet'!$A$35:$I$55,6,0)*VLOOKUP('Données projet'!$B$9,Paramètres!$A$1:$I$89,7,0))</f>
        <v>9.240000000000001E-2</v>
      </c>
      <c r="Y66" s="16">
        <f>IF(ISNA(VLOOKUP(A66,'Données projet'!$A$35:$I$55,7,0)),0%,VLOOKUP(A66,'Données projet'!$A$35:$I$55,7,0))</f>
        <v>0.13200000000000001</v>
      </c>
      <c r="Z66" s="21">
        <f>EXP(-LN(2)/35)*Z65+(1-EXP(-LN(2)/35))/(LN(2)/35)*V66*W66*VLOOKUP('Données projet'!$B$9,Paramètres!$A$1:$I$89,3,0)*0.475*44/12</f>
        <v>49.255525722471489</v>
      </c>
      <c r="AA66" s="21">
        <f>EXP(-LN(2)/25)*AA65+(1-EXP(-LN(2)/25))/(LN(2)/25)*Calculateur!V66*Calculateur!X66*VLOOKUP('Données projet'!$B$9,Paramètres!$A$1:$I$89,3,0)*0.475*44/12</f>
        <v>30.285895506996454</v>
      </c>
      <c r="AB66" s="21">
        <f>EXP(-LN(2)/2)*AB65+(1-EXP(-LN(2)/2))/(LN(2)/2)*V66*Y66*VLOOKUP('Données projet'!$B$9,Paramètres!$A$1:$I$89,3,0)*0.475*44/12</f>
        <v>5.5051507187979212</v>
      </c>
      <c r="AC66" s="22">
        <f t="shared" si="3"/>
        <v>85.046571948265864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278.21846622758881</v>
      </c>
      <c r="AO66" s="59">
        <f t="shared" si="36"/>
        <v>245.37578316242906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220.28846153846152</v>
      </c>
      <c r="BB66" s="12">
        <f>VLOOKUP(A66,'Données projet'!$A$87:$I$107,9,0)</f>
        <v>8.374198717948719</v>
      </c>
      <c r="BC66" s="12">
        <f t="array" ref="BC66">INDEX(BB:BB,MIN(IF(ISNUMBER(BB66:BB262),ROW(BB66:BB262),"")))</f>
        <v>8.374198717948719</v>
      </c>
      <c r="BD66" s="12">
        <f>IF('Données projet'!$A$88&gt;35,BD65+BC66-BL65,IF(A66&lt;'Données projet'!$A$88,$BA$205^A66,IF(A66='Données projet'!$A$88,'Données projet'!$B$88,BD65+BC66-BL65)))</f>
        <v>220.28846153846166</v>
      </c>
      <c r="BE66" s="13">
        <f>BD66*VLOOKUP('Données projet'!$B$11,Paramètres!$A$1:$I$89,3,0)*VLOOKUP('Données projet'!$B$11,Paramètres!$A$1:$I$89,5,0)</f>
        <v>199.31700000000009</v>
      </c>
      <c r="BF66" s="13">
        <f t="shared" si="37"/>
        <v>49.594035126387503</v>
      </c>
      <c r="BG66" s="20">
        <f t="shared" si="7"/>
        <v>433.52005284512506</v>
      </c>
      <c r="BH66" s="59">
        <f t="shared" si="8"/>
        <v>726.85338617845832</v>
      </c>
      <c r="BI66" s="59">
        <f ca="1">AVERAGE(OFFSET($BH$3,0,0,'Données projet'!$E$11+1,1))-AVERAGE(OFFSET($H$3,0,0,'Données projet'!$E$11+1,1))</f>
        <v>270.87836509222456</v>
      </c>
      <c r="BJ66" s="59">
        <f t="shared" si="38"/>
        <v>205.24998237949734</v>
      </c>
      <c r="BK66" s="15">
        <f>IF(ISNA(VLOOKUP(A66,'Données projet'!$A$87:$I$107,3,0)),0,VLOOKUP(A66,'Données projet'!$A$87:$I$107,3,0))</f>
        <v>5</v>
      </c>
      <c r="BL66" s="15">
        <f>IF(ISNA(VLOOKUP(A66,'Données projet'!$A$87:$I$107,4,0)),0,VLOOKUP(A66,'Données projet'!$A$87:$I$107,4,0))</f>
        <v>41.724358974358978</v>
      </c>
      <c r="BM66" s="16">
        <f>IF(ISNA(VLOOKUP(A66,'Données projet'!$A$87:$I$107,5,0)),0%,VLOOKUP(A66,'Données projet'!$A$87:$I$107,5,0)*VLOOKUP('Données projet'!$B$11,Paramètres!$A$1:$I$89,7,0))</f>
        <v>0.30099999999999999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12.561915597523354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12.561915597523354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220.28846153846152</v>
      </c>
      <c r="BW66" s="12">
        <f>VLOOKUP(A66,'Données projet'!$A$113:$I$133,9,0)</f>
        <v>8.374198717948719</v>
      </c>
      <c r="BX66" s="12">
        <f t="array" ref="BX66">INDEX(BW:BW,MIN(IF(ISNUMBER(BW66:BW262),ROW(BW66:BW262),"")))</f>
        <v>8.374198717948719</v>
      </c>
      <c r="BY66" s="12">
        <f>IF('Données projet'!$A$114&gt;35,BY65+BX66-CG65,IF(A66&lt;'Données projet'!$A$114,$BV$205^A66,IF(A66='Données projet'!$A$114,'Données projet'!$B$114,BY65+BX66-CG65)))</f>
        <v>220.28846153846166</v>
      </c>
      <c r="BZ66" s="13">
        <f>BY66*VLOOKUP('Données projet'!$B$12,Paramètres!$A$1:$I$89,3,0)*VLOOKUP('Données projet'!$B$12,Paramètres!$A$1:$I$89,5,0)</f>
        <v>223.37250000000014</v>
      </c>
      <c r="CA66" s="13">
        <f t="shared" si="39"/>
        <v>54.84723166915564</v>
      </c>
      <c r="CB66" s="20">
        <f t="shared" si="10"/>
        <v>484.566032657113</v>
      </c>
      <c r="CC66" s="59">
        <f t="shared" si="11"/>
        <v>777.89936599044631</v>
      </c>
      <c r="CD66" s="59">
        <f ca="1">AVERAGE(OFFSET($CC$3,0,0,'Données projet'!$E$12+1,1))-AVERAGE(OFFSET($H$3,0,0,'Données projet'!$E$12+1,1))</f>
        <v>312.29056285877169</v>
      </c>
      <c r="CE66" s="59">
        <f t="shared" si="40"/>
        <v>233.85454224241693</v>
      </c>
      <c r="CF66" s="15">
        <f>IF(ISNA(VLOOKUP(A66,'Données projet'!$A$113:$I$133,3,0)),0,VLOOKUP(A66,'Données projet'!$A$113:$I$133,3,0))</f>
        <v>5</v>
      </c>
      <c r="CG66" s="15">
        <f>IF(ISNA(VLOOKUP(A66,'Données projet'!$A$113:$I$133,4,0)),0,VLOOKUP(A66,'Données projet'!$A$113:$I$133,4,0))</f>
        <v>41.724358974358978</v>
      </c>
      <c r="CH66" s="16">
        <f>IF(ISNA(VLOOKUP(A66,'Données projet'!$A$113:$I$133,5,0)),0%,VLOOKUP(A66,'Données projet'!$A$113:$I$133,5,0)*VLOOKUP('Données projet'!$B$12,Paramètres!$A$1:$I$89,7,0))</f>
        <v>0.30099999999999999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14.078008859293417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14.078008859293417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5.9431089743589762</v>
      </c>
      <c r="CT66" s="12">
        <f>IF('Données projet'!$A$140&gt;35,CT65+CS66-DB65,IF(A66&lt;'Données projet'!$A$140,$CQ$205^A66,IF(A66='Données projet'!$A$140,'Données projet'!$B$140,CT65+CS66-DB65)))</f>
        <v>144.08653846153845</v>
      </c>
      <c r="CU66" s="17">
        <f>CT66*VLOOKUP('Données projet'!$B$13,Paramètres!$A$1:$I$89,3,0)*VLOOKUP('Données projet'!$B$13,Paramètres!$A$1:$I$89,5,0)</f>
        <v>164.08574999999999</v>
      </c>
      <c r="CV66" s="13">
        <f t="shared" si="41"/>
        <v>41.762710962541917</v>
      </c>
      <c r="CW66" s="20">
        <f t="shared" si="13"/>
        <v>358.51940284309381</v>
      </c>
      <c r="CX66" s="59">
        <f t="shared" si="14"/>
        <v>651.85273617642713</v>
      </c>
      <c r="CY66" s="59">
        <f ca="1">AVERAGE(OFFSET($CX$3,0,0,'Données projet'!$E$13+1,1))-AVERAGE(OFFSET($H$3,0,0,'Données projet'!$E$13+1,1))</f>
        <v>292.22737648725354</v>
      </c>
      <c r="CZ66" s="59">
        <f t="shared" si="42"/>
        <v>182.84038581199871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5.9431089743589762</v>
      </c>
      <c r="DO66" s="12">
        <f>IF('Données projet'!$A$166&gt;35,DO65+DN66-DW65,IF(A66&lt;'Données projet'!$A$166,$DL$205^A66,IF(A66='Données projet'!$A$166,'Données projet'!$B$166,DO65+DN66-DW65)))</f>
        <v>144.08653846153845</v>
      </c>
      <c r="DP66" s="17">
        <f>DO66*VLOOKUP('Données projet'!$B$14,Paramètres!$A$1:$I$89,3,0)*VLOOKUP('Données projet'!$B$14,Paramètres!$A$1:$I$89,5,0)</f>
        <v>157.34249999999997</v>
      </c>
      <c r="DQ66" s="13">
        <f t="shared" si="43"/>
        <v>40.242525824850325</v>
      </c>
      <c r="DR66" s="20">
        <f t="shared" si="16"/>
        <v>344.12725331161431</v>
      </c>
      <c r="DS66" s="59">
        <f t="shared" si="17"/>
        <v>637.46058664494763</v>
      </c>
      <c r="DT66" s="59">
        <f ca="1">AVERAGE(OFFSET($DS$3,0,0,'Données projet'!$E$14+1,1))-AVERAGE(OFFSET($H$3,0,0,'Données projet'!$E$14+1,1))</f>
        <v>276.52126514622455</v>
      </c>
      <c r="DU66" s="59">
        <f t="shared" si="44"/>
        <v>173.98404849503186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5.9431089743589762</v>
      </c>
      <c r="EJ66" s="12">
        <f>IF('Données projet'!$A$192&gt;35,EJ65+EI66-ER65,IF(A66&lt;'Données projet'!$A$192,$EG$205^A66,IF(A66='Données projet'!$A$192,'Données projet'!$B$192,EJ65+EI66-ER65)))</f>
        <v>144.08653846153845</v>
      </c>
      <c r="EK66" s="17">
        <f>EJ66*VLOOKUP('Données projet'!$B$15,Paramètres!$A$1:$I$89,3,0)*VLOOKUP('Données projet'!$B$15,Paramètres!$A$1:$I$89,5,0)</f>
        <v>139.3605</v>
      </c>
      <c r="EL66" s="13">
        <f t="shared" si="45"/>
        <v>36.150466011752201</v>
      </c>
      <c r="EM66" s="20">
        <f t="shared" si="19"/>
        <v>305.68159913713504</v>
      </c>
      <c r="EN66" s="59">
        <f t="shared" si="20"/>
        <v>599.01493247046835</v>
      </c>
      <c r="EO66" s="59">
        <f ca="1">AVERAGE(OFFSET($EN$3,0,0,'Données projet'!$E$15+1,1))-AVERAGE(OFFSET($H$3,0,0,'Données projet'!$E$15+1,1))</f>
        <v>234.56750794375012</v>
      </c>
      <c r="EP66" s="59">
        <f t="shared" si="46"/>
        <v>150.32420541314724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13.737499999999997</v>
      </c>
      <c r="N67" s="13">
        <f>IF('Données projet'!$A$36&gt;35,N66+M67-V66,IF(A67&lt;'Données projet'!$A$36,$K$205^A67,IF(A67='Données projet'!$A$36,'Données projet'!$B$36,N66+M67-V66)))</f>
        <v>317.79134615384612</v>
      </c>
      <c r="O67" s="13">
        <f>N67*VLOOKUP('Données projet'!$B$9,Paramètres!$A$1:$I$89,3,0)*VLOOKUP('Données projet'!$B$9,Paramètres!$A$1:$I$89,5,0)</f>
        <v>148.72635</v>
      </c>
      <c r="P67" s="13">
        <f t="shared" si="33"/>
        <v>38.289000598915827</v>
      </c>
      <c r="Q67" s="20">
        <f t="shared" ref="Q67:Q98" si="54">(O67+P67)*0.475*44/12</f>
        <v>325.71840229311169</v>
      </c>
      <c r="R67" s="59">
        <f t="shared" ref="R67:R130" si="55">Q67+(I67+J67)*44/12</f>
        <v>619.05173562644495</v>
      </c>
      <c r="S67" s="59">
        <f ca="1">AVERAGE(OFFSET($R$3,0,0,'Données projet'!$E$9+1,1))-AVERAGE(OFFSET($H$3,0,0,'Données projet'!$E$9+1,1))</f>
        <v>198.17898804494365</v>
      </c>
      <c r="T67" s="59">
        <f t="shared" si="34"/>
        <v>186.24772922797723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48.289654905958024</v>
      </c>
      <c r="AA67" s="21">
        <f>EXP(-LN(2)/25)*AA66+(1-EXP(-LN(2)/25))/(LN(2)/25)*Calculateur!V67*Calculateur!X67*VLOOKUP('Données projet'!$B$9,Paramètres!$A$1:$I$89,3,0)*0.475*44/12</f>
        <v>29.457726101691609</v>
      </c>
      <c r="AB67" s="21">
        <f>EXP(-LN(2)/2)*AB66+(1-EXP(-LN(2)/2))/(LN(2)/2)*V67*Y67*VLOOKUP('Données projet'!$B$9,Paramètres!$A$1:$I$89,3,0)*0.475*44/12</f>
        <v>3.8927294047160066</v>
      </c>
      <c r="AC67" s="22">
        <f t="shared" si="3"/>
        <v>81.640110412365644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278.21846622758881</v>
      </c>
      <c r="AO67" s="59">
        <f t="shared" si="36"/>
        <v>245.37578316242906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8.1001602564102626</v>
      </c>
      <c r="BD67" s="12">
        <f>IF('Données projet'!$A$88&gt;35,BD66+BC67-BL66,IF(A67&lt;'Données projet'!$A$88,$BA$205^A67,IF(A67='Données projet'!$A$88,'Données projet'!$B$88,BD66+BC67-BL66)))</f>
        <v>186.66426282051296</v>
      </c>
      <c r="BE67" s="13">
        <f>BD67*VLOOKUP('Données projet'!$B$11,Paramètres!$A$1:$I$89,3,0)*VLOOKUP('Données projet'!$B$11,Paramètres!$A$1:$I$89,5,0)</f>
        <v>168.89382500000013</v>
      </c>
      <c r="BF67" s="13">
        <f t="shared" si="37"/>
        <v>42.842183132845896</v>
      </c>
      <c r="BG67" s="20">
        <f t="shared" si="7"/>
        <v>368.77354749804016</v>
      </c>
      <c r="BH67" s="59">
        <f t="shared" si="8"/>
        <v>662.10688083137347</v>
      </c>
      <c r="BI67" s="59">
        <f ca="1">AVERAGE(OFFSET($BH$3,0,0,'Données projet'!$E$11+1,1))-AVERAGE(OFFSET($H$3,0,0,'Données projet'!$E$11+1,1))</f>
        <v>270.87836509222456</v>
      </c>
      <c r="BJ67" s="59">
        <f t="shared" si="38"/>
        <v>205.24998237949734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12.315584094667875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12.315584094667875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8.1001602564102626</v>
      </c>
      <c r="BY67" s="12">
        <f>IF('Données projet'!$A$114&gt;35,BY66+BX67-CG66,IF(A67&lt;'Données projet'!$A$114,$BV$205^A67,IF(A67='Données projet'!$A$114,'Données projet'!$B$114,BY66+BX67-CG66)))</f>
        <v>186.66426282051296</v>
      </c>
      <c r="BZ67" s="13">
        <f>BY67*VLOOKUP('Données projet'!$B$12,Paramètres!$A$1:$I$89,3,0)*VLOOKUP('Données projet'!$B$12,Paramètres!$A$1:$I$89,5,0)</f>
        <v>189.27756250000016</v>
      </c>
      <c r="CA67" s="13">
        <f t="shared" si="39"/>
        <v>47.380196781958283</v>
      </c>
      <c r="CB67" s="20">
        <f t="shared" si="10"/>
        <v>412.17893074941094</v>
      </c>
      <c r="CC67" s="59">
        <f t="shared" si="11"/>
        <v>705.5122640827442</v>
      </c>
      <c r="CD67" s="59">
        <f ca="1">AVERAGE(OFFSET($CC$3,0,0,'Données projet'!$E$12+1,1))-AVERAGE(OFFSET($H$3,0,0,'Données projet'!$E$12+1,1))</f>
        <v>312.29056285877169</v>
      </c>
      <c r="CE67" s="59">
        <f t="shared" si="40"/>
        <v>233.85454224241693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13.801947692300208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13.801947692300208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5.9431089743589762</v>
      </c>
      <c r="CT67" s="12">
        <f>IF('Données projet'!$A$140&gt;35,CT66+CS67-DB66,IF(A67&lt;'Données projet'!$A$140,$CQ$205^A67,IF(A67='Données projet'!$A$140,'Données projet'!$B$140,CT66+CS67-DB66)))</f>
        <v>150.02964743589743</v>
      </c>
      <c r="CU67" s="17">
        <f>CT67*VLOOKUP('Données projet'!$B$13,Paramètres!$A$1:$I$89,3,0)*VLOOKUP('Données projet'!$B$13,Paramètres!$A$1:$I$89,5,0)</f>
        <v>170.85376250000002</v>
      </c>
      <c r="CV67" s="13">
        <f t="shared" si="41"/>
        <v>43.281182198831836</v>
      </c>
      <c r="CW67" s="20">
        <f t="shared" si="13"/>
        <v>372.95169535046551</v>
      </c>
      <c r="CX67" s="59">
        <f t="shared" si="14"/>
        <v>666.28502868379883</v>
      </c>
      <c r="CY67" s="59">
        <f ca="1">AVERAGE(OFFSET($CX$3,0,0,'Données projet'!$E$13+1,1))-AVERAGE(OFFSET($H$3,0,0,'Données projet'!$E$13+1,1))</f>
        <v>292.22737648725354</v>
      </c>
      <c r="CZ67" s="59">
        <f t="shared" si="42"/>
        <v>182.84038581199871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5.9431089743589762</v>
      </c>
      <c r="DO67" s="12">
        <f>IF('Données projet'!$A$166&gt;35,DO66+DN67-DW66,IF(A67&lt;'Données projet'!$A$166,$DL$205^A67,IF(A67='Données projet'!$A$166,'Données projet'!$B$166,DO66+DN67-DW66)))</f>
        <v>150.02964743589743</v>
      </c>
      <c r="DP67" s="17">
        <f>DO67*VLOOKUP('Données projet'!$B$14,Paramètres!$A$1:$I$89,3,0)*VLOOKUP('Données projet'!$B$14,Paramètres!$A$1:$I$89,5,0)</f>
        <v>163.83237500000001</v>
      </c>
      <c r="DQ67" s="13">
        <f t="shared" si="43"/>
        <v>41.705723891553852</v>
      </c>
      <c r="DR67" s="20">
        <f t="shared" si="16"/>
        <v>357.9788555694563</v>
      </c>
      <c r="DS67" s="59">
        <f t="shared" si="17"/>
        <v>651.31218890278956</v>
      </c>
      <c r="DT67" s="59">
        <f ca="1">AVERAGE(OFFSET($DS$3,0,0,'Données projet'!$E$14+1,1))-AVERAGE(OFFSET($H$3,0,0,'Données projet'!$E$14+1,1))</f>
        <v>276.52126514622455</v>
      </c>
      <c r="DU67" s="59">
        <f t="shared" si="44"/>
        <v>173.98404849503186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5.9431089743589762</v>
      </c>
      <c r="EJ67" s="12">
        <f>IF('Données projet'!$A$192&gt;35,EJ66+EI67-ER66,IF(A67&lt;'Données projet'!$A$192,$EG$205^A67,IF(A67='Données projet'!$A$192,'Données projet'!$B$192,EJ66+EI67-ER66)))</f>
        <v>150.02964743589743</v>
      </c>
      <c r="EK67" s="17">
        <f>EJ67*VLOOKUP('Données projet'!$B$15,Paramètres!$A$1:$I$89,3,0)*VLOOKUP('Données projet'!$B$15,Paramètres!$A$1:$I$89,5,0)</f>
        <v>145.10867500000001</v>
      </c>
      <c r="EL67" s="13">
        <f t="shared" si="45"/>
        <v>37.464878834869843</v>
      </c>
      <c r="EM67" s="20">
        <f t="shared" si="19"/>
        <v>317.982272929065</v>
      </c>
      <c r="EN67" s="59">
        <f t="shared" si="20"/>
        <v>611.31560626239832</v>
      </c>
      <c r="EO67" s="59">
        <f ca="1">AVERAGE(OFFSET($EN$3,0,0,'Données projet'!$E$15+1,1))-AVERAGE(OFFSET($H$3,0,0,'Données projet'!$E$15+1,1))</f>
        <v>234.56750794375012</v>
      </c>
      <c r="EP67" s="59">
        <f t="shared" si="46"/>
        <v>150.32420541314724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13.737499999999997</v>
      </c>
      <c r="N68" s="13">
        <f>IF('Données projet'!$A$36&gt;35,N67+M68-V67,IF(A68&lt;'Données projet'!$A$36,$K$205^A68,IF(A68='Données projet'!$A$36,'Données projet'!$B$36,N67+M68-V67)))</f>
        <v>331.52884615384613</v>
      </c>
      <c r="O68" s="13">
        <f>N68*VLOOKUP('Données projet'!$B$9,Paramètres!$A$1:$I$89,3,0)*VLOOKUP('Données projet'!$B$9,Paramètres!$A$1:$I$89,5,0)</f>
        <v>155.15549999999999</v>
      </c>
      <c r="P68" s="13">
        <f t="shared" si="33"/>
        <v>39.74787733410745</v>
      </c>
      <c r="Q68" s="20">
        <f t="shared" si="54"/>
        <v>339.45671552357044</v>
      </c>
      <c r="R68" s="59">
        <f t="shared" si="55"/>
        <v>632.7900488569037</v>
      </c>
      <c r="S68" s="59">
        <f ca="1">AVERAGE(OFFSET($R$3,0,0,'Données projet'!$E$9+1,1))-AVERAGE(OFFSET($H$3,0,0,'Données projet'!$E$9+1,1))</f>
        <v>198.17898804494365</v>
      </c>
      <c r="T68" s="59">
        <f t="shared" si="34"/>
        <v>186.24772922797723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47.342724227033358</v>
      </c>
      <c r="AA68" s="21">
        <f>EXP(-LN(2)/25)*AA67+(1-EXP(-LN(2)/25))/(LN(2)/25)*Calculateur!V68*Calculateur!X68*VLOOKUP('Données projet'!$B$9,Paramètres!$A$1:$I$89,3,0)*0.475*44/12</f>
        <v>28.652203032326362</v>
      </c>
      <c r="AB68" s="21">
        <f>EXP(-LN(2)/2)*AB67+(1-EXP(-LN(2)/2))/(LN(2)/2)*V68*Y68*VLOOKUP('Données projet'!$B$9,Paramètres!$A$1:$I$89,3,0)*0.475*44/12</f>
        <v>2.752575359398961</v>
      </c>
      <c r="AC68" s="22">
        <f t="shared" ref="AC68:AC131" si="57">SUM(Z68:AB68)</f>
        <v>78.747502618758674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278.21846622758881</v>
      </c>
      <c r="AO68" s="59">
        <f t="shared" si="36"/>
        <v>245.37578316242906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8.1001602564102626</v>
      </c>
      <c r="BD68" s="12">
        <f>IF('Données projet'!$A$88&gt;35,BD67+BC68-BL67,IF(A68&lt;'Données projet'!$A$88,$BA$205^A68,IF(A68='Données projet'!$A$88,'Données projet'!$B$88,BD67+BC68-BL67)))</f>
        <v>194.76442307692321</v>
      </c>
      <c r="BE68" s="13">
        <f>BD68*VLOOKUP('Données projet'!$B$11,Paramètres!$A$1:$I$89,3,0)*VLOOKUP('Données projet'!$B$11,Paramètres!$A$1:$I$89,5,0)</f>
        <v>176.22285000000011</v>
      </c>
      <c r="BF68" s="13">
        <f t="shared" si="37"/>
        <v>44.480805480154558</v>
      </c>
      <c r="BG68" s="20">
        <f t="shared" ref="BG68:BG131" si="61">(BE68+BF68)*0.475*44/12</f>
        <v>384.3921999612694</v>
      </c>
      <c r="BH68" s="59">
        <f t="shared" ref="BH68:BH131" si="62">BG68+(AY68+AZ68)*44/12</f>
        <v>677.72553329460266</v>
      </c>
      <c r="BI68" s="59">
        <f ca="1">AVERAGE(OFFSET($BH$3,0,0,'Données projet'!$E$11+1,1))-AVERAGE(OFFSET($H$3,0,0,'Données projet'!$E$11+1,1))</f>
        <v>270.87836509222456</v>
      </c>
      <c r="BJ68" s="59">
        <f t="shared" si="38"/>
        <v>205.24998237949734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12.07408300233601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12.07408300233601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8.1001602564102626</v>
      </c>
      <c r="BY68" s="12">
        <f>IF('Données projet'!$A$114&gt;35,BY67+BX68-CG67,IF(A68&lt;'Données projet'!$A$114,$BV$205^A68,IF(A68='Données projet'!$A$114,'Données projet'!$B$114,BY67+BX68-CG67)))</f>
        <v>194.76442307692321</v>
      </c>
      <c r="BZ68" s="13">
        <f>BY68*VLOOKUP('Données projet'!$B$12,Paramètres!$A$1:$I$89,3,0)*VLOOKUP('Données projet'!$B$12,Paramètres!$A$1:$I$89,5,0)</f>
        <v>197.49112500000015</v>
      </c>
      <c r="CA68" s="13">
        <f t="shared" si="39"/>
        <v>49.192388495579841</v>
      </c>
      <c r="CB68" s="20">
        <f t="shared" ref="CB68:CB131" si="64">(BZ68+CA68)*0.475*44/12</f>
        <v>429.64045267146849</v>
      </c>
      <c r="CC68" s="59">
        <f t="shared" ref="CC68:CC131" si="65">CB68+(BT68+BU68)*44/12</f>
        <v>722.97378600480181</v>
      </c>
      <c r="CD68" s="59">
        <f ca="1">AVERAGE(OFFSET($CC$3,0,0,'Données projet'!$E$12+1,1))-AVERAGE(OFFSET($H$3,0,0,'Données projet'!$E$12+1,1))</f>
        <v>312.29056285877169</v>
      </c>
      <c r="CE68" s="59">
        <f t="shared" si="40"/>
        <v>233.85454224241693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13.531299916411051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13.531299916411051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5.9431089743589762</v>
      </c>
      <c r="CT68" s="12">
        <f>IF('Données projet'!$A$140&gt;35,CT67+CS68-DB67,IF(A68&lt;'Données projet'!$A$140,$CQ$205^A68,IF(A68='Données projet'!$A$140,'Données projet'!$B$140,CT67+CS68-DB67)))</f>
        <v>155.97275641025641</v>
      </c>
      <c r="CU68" s="17">
        <f>CT68*VLOOKUP('Données projet'!$B$13,Paramètres!$A$1:$I$89,3,0)*VLOOKUP('Données projet'!$B$13,Paramètres!$A$1:$I$89,5,0)</f>
        <v>177.62177499999999</v>
      </c>
      <c r="CV68" s="13">
        <f t="shared" si="41"/>
        <v>44.792666040625818</v>
      </c>
      <c r="CW68" s="20">
        <f t="shared" ref="CW68:CW131" si="67">(CU68+CV68)*0.475*44/12</f>
        <v>387.37181814575661</v>
      </c>
      <c r="CX68" s="59">
        <f t="shared" ref="CX68:CX131" si="68">CW68+(CO68+CP68)*44/12</f>
        <v>680.70515147908986</v>
      </c>
      <c r="CY68" s="59">
        <f ca="1">AVERAGE(OFFSET($CX$3,0,0,'Données projet'!$E$13+1,1))-AVERAGE(OFFSET($H$3,0,0,'Données projet'!$E$13+1,1))</f>
        <v>292.22737648725354</v>
      </c>
      <c r="CZ68" s="59">
        <f t="shared" si="42"/>
        <v>182.84038581199871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5.9431089743589762</v>
      </c>
      <c r="DO68" s="12">
        <f>IF('Données projet'!$A$166&gt;35,DO67+DN68-DW67,IF(A68&lt;'Données projet'!$A$166,$DL$205^A68,IF(A68='Données projet'!$A$166,'Données projet'!$B$166,DO67+DN68-DW67)))</f>
        <v>155.97275641025641</v>
      </c>
      <c r="DP68" s="17">
        <f>DO68*VLOOKUP('Données projet'!$B$14,Paramètres!$A$1:$I$89,3,0)*VLOOKUP('Données projet'!$B$14,Paramètres!$A$1:$I$89,5,0)</f>
        <v>170.32225</v>
      </c>
      <c r="DQ68" s="13">
        <f t="shared" si="43"/>
        <v>43.162188908678687</v>
      </c>
      <c r="DR68" s="20">
        <f t="shared" ref="DR68:DR131" si="70">(DP68+DQ68)*0.475*44/12</f>
        <v>371.81873109928205</v>
      </c>
      <c r="DS68" s="59">
        <f t="shared" ref="DS68:DS131" si="71">DR68+(DJ68+DK68)*44/12</f>
        <v>665.15206443261536</v>
      </c>
      <c r="DT68" s="59">
        <f ca="1">AVERAGE(OFFSET($DS$3,0,0,'Données projet'!$E$14+1,1))-AVERAGE(OFFSET($H$3,0,0,'Données projet'!$E$14+1,1))</f>
        <v>276.52126514622455</v>
      </c>
      <c r="DU68" s="59">
        <f t="shared" si="44"/>
        <v>173.98404849503186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5.9431089743589762</v>
      </c>
      <c r="EJ68" s="12">
        <f>IF('Données projet'!$A$192&gt;35,EJ67+EI68-ER67,IF(A68&lt;'Données projet'!$A$192,$EG$205^A68,IF(A68='Données projet'!$A$192,'Données projet'!$B$192,EJ67+EI68-ER67)))</f>
        <v>155.97275641025641</v>
      </c>
      <c r="EK68" s="17">
        <f>EJ68*VLOOKUP('Données projet'!$B$15,Paramètres!$A$1:$I$89,3,0)*VLOOKUP('Données projet'!$B$15,Paramètres!$A$1:$I$89,5,0)</f>
        <v>150.85685000000001</v>
      </c>
      <c r="EL68" s="13">
        <f t="shared" si="45"/>
        <v>38.773243258316775</v>
      </c>
      <c r="EM68" s="20">
        <f t="shared" ref="EM68:EM131" si="73">(EK68+EL68)*0.475*44/12</f>
        <v>330.27241242490169</v>
      </c>
      <c r="EN68" s="59">
        <f t="shared" ref="EN68:EN131" si="74">EM68+(EE68+EF68)*44/12</f>
        <v>623.605745758235</v>
      </c>
      <c r="EO68" s="59">
        <f ca="1">AVERAGE(OFFSET($EN$3,0,0,'Données projet'!$E$15+1,1))-AVERAGE(OFFSET($H$3,0,0,'Données projet'!$E$15+1,1))</f>
        <v>234.56750794375012</v>
      </c>
      <c r="EP68" s="59">
        <f t="shared" si="46"/>
        <v>150.32420541314724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13.737499999999997</v>
      </c>
      <c r="N69" s="13">
        <f>IF('Données projet'!$A$36&gt;35,N68+M69-V68,IF(A69&lt;'Données projet'!$A$36,$K$205^A69,IF(A69='Données projet'!$A$36,'Données projet'!$B$36,N68+M69-V68)))</f>
        <v>345.26634615384614</v>
      </c>
      <c r="O69" s="13">
        <f>N69*VLOOKUP('Données projet'!$B$9,Paramètres!$A$1:$I$89,3,0)*VLOOKUP('Données projet'!$B$9,Paramètres!$A$1:$I$89,5,0)</f>
        <v>161.58464999999998</v>
      </c>
      <c r="P69" s="13">
        <f t="shared" ref="P69:P132" si="87">EXP(-1.0587+0.8836*LN(O69)+0.284)</f>
        <v>41.199732368807574</v>
      </c>
      <c r="Q69" s="20">
        <f t="shared" si="54"/>
        <v>353.18279929233978</v>
      </c>
      <c r="R69" s="59">
        <f t="shared" si="55"/>
        <v>646.51613262567309</v>
      </c>
      <c r="S69" s="59">
        <f ca="1">AVERAGE(OFFSET($R$3,0,0,'Données projet'!$E$9+1,1))-AVERAGE(OFFSET($H$3,0,0,'Données projet'!$E$9+1,1))</f>
        <v>198.17898804494365</v>
      </c>
      <c r="T69" s="59">
        <f t="shared" ref="T69:T132" si="88">$T$3</f>
        <v>186.24772922797723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46.414362281151725</v>
      </c>
      <c r="AA69" s="21">
        <f>EXP(-LN(2)/25)*AA68+(1-EXP(-LN(2)/25))/(LN(2)/25)*Calculateur!V69*Calculateur!X69*VLOOKUP('Données projet'!$B$9,Paramètres!$A$1:$I$89,3,0)*0.475*44/12</f>
        <v>27.868707033653525</v>
      </c>
      <c r="AB69" s="21">
        <f>EXP(-LN(2)/2)*AB68+(1-EXP(-LN(2)/2))/(LN(2)/2)*V69*Y69*VLOOKUP('Données projet'!$B$9,Paramètres!$A$1:$I$89,3,0)*0.475*44/12</f>
        <v>1.9463647023580037</v>
      </c>
      <c r="AC69" s="22">
        <f t="shared" si="57"/>
        <v>76.229434017163243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278.21846622758881</v>
      </c>
      <c r="AO69" s="59">
        <f t="shared" ref="AO69:AO132" si="90">$AO$3</f>
        <v>245.37578316242906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8.1001602564102626</v>
      </c>
      <c r="BD69" s="12">
        <f>IF('Données projet'!$A$88&gt;35,BD68+BC69-BL68,IF(A69&lt;'Données projet'!$A$88,$BA$205^A69,IF(A69='Données projet'!$A$88,'Données projet'!$B$88,BD68+BC69-BL68)))</f>
        <v>202.86458333333348</v>
      </c>
      <c r="BE69" s="13">
        <f>BD69*VLOOKUP('Données projet'!$B$11,Paramètres!$A$1:$I$89,3,0)*VLOOKUP('Données projet'!$B$11,Paramètres!$A$1:$I$89,5,0)</f>
        <v>183.55187500000014</v>
      </c>
      <c r="BF69" s="13">
        <f t="shared" ref="BF69:BF132" si="91">EXP(-1.0587+0.8836*LN(BE69)+0.284)</f>
        <v>46.11151198237242</v>
      </c>
      <c r="BG69" s="20">
        <f t="shared" si="61"/>
        <v>399.99706566096552</v>
      </c>
      <c r="BH69" s="59">
        <f t="shared" si="62"/>
        <v>693.33039899429878</v>
      </c>
      <c r="BI69" s="59">
        <f ca="1">AVERAGE(OFFSET($BH$3,0,0,'Données projet'!$E$11+1,1))-AVERAGE(OFFSET($H$3,0,0,'Données projet'!$E$11+1,1))</f>
        <v>270.87836509222456</v>
      </c>
      <c r="BJ69" s="59">
        <f t="shared" ref="BJ69:BJ132" si="92">$BJ$3</f>
        <v>205.24998237949734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11.837317599123653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11.837317599123653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8.1001602564102626</v>
      </c>
      <c r="BY69" s="12">
        <f>IF('Données projet'!$A$114&gt;35,BY68+BX69-CG68,IF(A69&lt;'Données projet'!$A$114,$BV$205^A69,IF(A69='Données projet'!$A$114,'Données projet'!$B$114,BY68+BX69-CG68)))</f>
        <v>202.86458333333348</v>
      </c>
      <c r="BZ69" s="13">
        <f>BY69*VLOOKUP('Données projet'!$B$12,Paramètres!$A$1:$I$89,3,0)*VLOOKUP('Données projet'!$B$12,Paramètres!$A$1:$I$89,5,0)</f>
        <v>205.70468750000018</v>
      </c>
      <c r="CA69" s="13">
        <f t="shared" ref="CA69:CA132" si="93">EXP(-1.0587+0.8836*LN(BZ69)+0.284)</f>
        <v>50.995825886459762</v>
      </c>
      <c r="CB69" s="20">
        <f t="shared" si="64"/>
        <v>447.08672748141771</v>
      </c>
      <c r="CC69" s="59">
        <f t="shared" si="65"/>
        <v>740.42006081475097</v>
      </c>
      <c r="CD69" s="59">
        <f ca="1">AVERAGE(OFFSET($CC$3,0,0,'Données projet'!$E$12+1,1))-AVERAGE(OFFSET($H$3,0,0,'Données projet'!$E$12+1,1))</f>
        <v>312.29056285877169</v>
      </c>
      <c r="CE69" s="59">
        <f t="shared" ref="CE69:CE132" si="94">$CE$3</f>
        <v>233.85454224241693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13.265959378328235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13.265959378328235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5.9431089743589762</v>
      </c>
      <c r="CT69" s="12">
        <f>IF('Données projet'!$A$140&gt;35,CT68+CS69-DB68,IF(A69&lt;'Données projet'!$A$140,$CQ$205^A69,IF(A69='Données projet'!$A$140,'Données projet'!$B$140,CT68+CS69-DB68)))</f>
        <v>161.91586538461539</v>
      </c>
      <c r="CU69" s="17">
        <f>CT69*VLOOKUP('Données projet'!$B$13,Paramètres!$A$1:$I$89,3,0)*VLOOKUP('Données projet'!$B$13,Paramètres!$A$1:$I$89,5,0)</f>
        <v>184.38978750000001</v>
      </c>
      <c r="CV69" s="13">
        <f t="shared" ref="CV69:CV132" si="95">EXP(-1.0587+0.8836*LN(CU69)+0.284)</f>
        <v>46.297459210985231</v>
      </c>
      <c r="CW69" s="20">
        <f t="shared" si="67"/>
        <v>401.78028802163266</v>
      </c>
      <c r="CX69" s="59">
        <f t="shared" si="68"/>
        <v>695.11362135496597</v>
      </c>
      <c r="CY69" s="59">
        <f ca="1">AVERAGE(OFFSET($CX$3,0,0,'Données projet'!$E$13+1,1))-AVERAGE(OFFSET($H$3,0,0,'Données projet'!$E$13+1,1))</f>
        <v>292.22737648725354</v>
      </c>
      <c r="CZ69" s="59">
        <f t="shared" ref="CZ69:CZ132" si="96">$CZ$3</f>
        <v>182.84038581199871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5.9431089743589762</v>
      </c>
      <c r="DO69" s="12">
        <f>IF('Données projet'!$A$166&gt;35,DO68+DN69-DW68,IF(A69&lt;'Données projet'!$A$166,$DL$205^A69,IF(A69='Données projet'!$A$166,'Données projet'!$B$166,DO68+DN69-DW68)))</f>
        <v>161.91586538461539</v>
      </c>
      <c r="DP69" s="17">
        <f>DO69*VLOOKUP('Données projet'!$B$14,Paramètres!$A$1:$I$89,3,0)*VLOOKUP('Données projet'!$B$14,Paramètres!$A$1:$I$89,5,0)</f>
        <v>176.81212500000001</v>
      </c>
      <c r="DQ69" s="13">
        <f t="shared" ref="DQ69:DQ132" si="97">EXP(-1.0587+0.8836*LN(DP69)+0.284)</f>
        <v>44.612206798407286</v>
      </c>
      <c r="DR69" s="20">
        <f t="shared" si="70"/>
        <v>385.64737788222607</v>
      </c>
      <c r="DS69" s="59">
        <f t="shared" si="71"/>
        <v>678.98071121555938</v>
      </c>
      <c r="DT69" s="59">
        <f ca="1">AVERAGE(OFFSET($DS$3,0,0,'Données projet'!$E$14+1,1))-AVERAGE(OFFSET($H$3,0,0,'Données projet'!$E$14+1,1))</f>
        <v>276.52126514622455</v>
      </c>
      <c r="DU69" s="59">
        <f t="shared" ref="DU69:DU132" si="98">$DU$3</f>
        <v>173.98404849503186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5.9431089743589762</v>
      </c>
      <c r="EJ69" s="12">
        <f>IF('Données projet'!$A$192&gt;35,EJ68+EI69-ER68,IF(A69&lt;'Données projet'!$A$192,$EG$205^A69,IF(A69='Données projet'!$A$192,'Données projet'!$B$192,EJ68+EI69-ER68)))</f>
        <v>161.91586538461539</v>
      </c>
      <c r="EK69" s="17">
        <f>EJ69*VLOOKUP('Données projet'!$B$15,Paramètres!$A$1:$I$89,3,0)*VLOOKUP('Données projet'!$B$15,Paramètres!$A$1:$I$89,5,0)</f>
        <v>156.60502500000001</v>
      </c>
      <c r="EL69" s="13">
        <f t="shared" ref="EL69:EL132" si="99">EXP(-1.0587+0.8836*LN(EK69)+0.284)</f>
        <v>40.075816130288338</v>
      </c>
      <c r="EM69" s="20">
        <f t="shared" si="73"/>
        <v>342.55246496858553</v>
      </c>
      <c r="EN69" s="59">
        <f t="shared" si="74"/>
        <v>635.88579830191884</v>
      </c>
      <c r="EO69" s="59">
        <f ca="1">AVERAGE(OFFSET($EN$3,0,0,'Données projet'!$E$15+1,1))-AVERAGE(OFFSET($H$3,0,0,'Données projet'!$E$15+1,1))</f>
        <v>234.56750794375012</v>
      </c>
      <c r="EP69" s="59">
        <f t="shared" ref="EP69:EP132" si="100">$EP$3</f>
        <v>150.32420541314724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13.737499999999997</v>
      </c>
      <c r="N70" s="13">
        <f>IF('Données projet'!$A$36&gt;35,N69+M70-V69,IF(A70&lt;'Données projet'!$A$36,$K$205^A70,IF(A70='Données projet'!$A$36,'Données projet'!$B$36,N69+M70-V69)))</f>
        <v>359.00384615384615</v>
      </c>
      <c r="O70" s="13">
        <f>N70*VLOOKUP('Données projet'!$B$9,Paramètres!$A$1:$I$89,3,0)*VLOOKUP('Données projet'!$B$9,Paramètres!$A$1:$I$89,5,0)</f>
        <v>168.0138</v>
      </c>
      <c r="P70" s="13">
        <f t="shared" si="87"/>
        <v>42.644877049412187</v>
      </c>
      <c r="Q70" s="20">
        <f t="shared" si="54"/>
        <v>366.89719586105952</v>
      </c>
      <c r="R70" s="59">
        <f t="shared" si="55"/>
        <v>660.23052919439283</v>
      </c>
      <c r="S70" s="59">
        <f ca="1">AVERAGE(OFFSET($R$3,0,0,'Données projet'!$E$9+1,1))-AVERAGE(OFFSET($H$3,0,0,'Données projet'!$E$9+1,1))</f>
        <v>198.17898804494365</v>
      </c>
      <c r="T70" s="59">
        <f t="shared" si="88"/>
        <v>186.24772922797723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45.50420494678395</v>
      </c>
      <c r="AA70" s="21">
        <f>EXP(-LN(2)/25)*AA69+(1-EXP(-LN(2)/25))/(LN(2)/25)*Calculateur!V70*Calculateur!X70*VLOOKUP('Données projet'!$B$9,Paramètres!$A$1:$I$89,3,0)*0.475*44/12</f>
        <v>27.10663577426666</v>
      </c>
      <c r="AB70" s="21">
        <f>EXP(-LN(2)/2)*AB69+(1-EXP(-LN(2)/2))/(LN(2)/2)*V70*Y70*VLOOKUP('Données projet'!$B$9,Paramètres!$A$1:$I$89,3,0)*0.475*44/12</f>
        <v>1.3762876796994807</v>
      </c>
      <c r="AC70" s="22">
        <f t="shared" si="57"/>
        <v>73.987128400750095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278.21846622758881</v>
      </c>
      <c r="AO70" s="59">
        <f t="shared" si="90"/>
        <v>245.37578316242906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8.1001602564102626</v>
      </c>
      <c r="BD70" s="12">
        <f>IF('Données projet'!$A$88&gt;35,BD69+BC70-BL69,IF(A70&lt;'Données projet'!$A$88,$BA$205^A70,IF(A70='Données projet'!$A$88,'Données projet'!$B$88,BD69+BC70-BL69)))</f>
        <v>210.96474358974376</v>
      </c>
      <c r="BE70" s="13">
        <f>BD70*VLOOKUP('Données projet'!$B$11,Paramètres!$A$1:$I$89,3,0)*VLOOKUP('Données projet'!$B$11,Paramètres!$A$1:$I$89,5,0)</f>
        <v>190.88090000000014</v>
      </c>
      <c r="BF70" s="13">
        <f t="shared" si="91"/>
        <v>47.734654873168694</v>
      </c>
      <c r="BG70" s="20">
        <f t="shared" si="61"/>
        <v>415.58875807076902</v>
      </c>
      <c r="BH70" s="59">
        <f t="shared" si="62"/>
        <v>708.92209140410228</v>
      </c>
      <c r="BI70" s="59">
        <f ca="1">AVERAGE(OFFSET($BH$3,0,0,'Données projet'!$E$11+1,1))-AVERAGE(OFFSET($H$3,0,0,'Données projet'!$E$11+1,1))</f>
        <v>270.87836509222456</v>
      </c>
      <c r="BJ70" s="59">
        <f t="shared" si="92"/>
        <v>205.24998237949734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11.605195021055652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11.605195021055652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8.1001602564102626</v>
      </c>
      <c r="BY70" s="12">
        <f>IF('Données projet'!$A$114&gt;35,BY69+BX70-CG69,IF(A70&lt;'Données projet'!$A$114,$BV$205^A70,IF(A70='Données projet'!$A$114,'Données projet'!$B$114,BY69+BX70-CG69)))</f>
        <v>210.96474358974376</v>
      </c>
      <c r="BZ70" s="13">
        <f>BY70*VLOOKUP('Données projet'!$B$12,Paramètres!$A$1:$I$89,3,0)*VLOOKUP('Données projet'!$B$12,Paramètres!$A$1:$I$89,5,0)</f>
        <v>213.91825000000017</v>
      </c>
      <c r="CA70" s="13">
        <f t="shared" si="93"/>
        <v>52.790898498252169</v>
      </c>
      <c r="CB70" s="20">
        <f t="shared" si="64"/>
        <v>464.51843363445613</v>
      </c>
      <c r="CC70" s="59">
        <f t="shared" si="65"/>
        <v>757.85176696778944</v>
      </c>
      <c r="CD70" s="59">
        <f ca="1">AVERAGE(OFFSET($CC$3,0,0,'Données projet'!$E$12+1,1))-AVERAGE(OFFSET($H$3,0,0,'Données projet'!$E$12+1,1))</f>
        <v>312.29056285877169</v>
      </c>
      <c r="CE70" s="59">
        <f t="shared" si="94"/>
        <v>233.85454224241693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13.005822006355476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13.005822006355476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167.85897435897436</v>
      </c>
      <c r="CR70" s="12">
        <f>VLOOKUP(A70,'Données projet'!$A$139:$I$159,9,0)</f>
        <v>5.9431089743589762</v>
      </c>
      <c r="CS70" s="12">
        <f t="array" ref="CS70">INDEX(CR:CR,MIN(IF(ISNUMBER(CR70:CR266),ROW(CR70:CR266),"")))</f>
        <v>5.9431089743589762</v>
      </c>
      <c r="CT70" s="12">
        <f>IF('Données projet'!$A$140&gt;35,CT69+CS70-DB69,IF(A70&lt;'Données projet'!$A$140,$CQ$205^A70,IF(A70='Données projet'!$A$140,'Données projet'!$B$140,CT69+CS70-DB69)))</f>
        <v>167.85897435897436</v>
      </c>
      <c r="CU70" s="17">
        <f>CT70*VLOOKUP('Données projet'!$B$13,Paramètres!$A$1:$I$89,3,0)*VLOOKUP('Données projet'!$B$13,Paramètres!$A$1:$I$89,5,0)</f>
        <v>191.15780000000001</v>
      </c>
      <c r="CV70" s="13">
        <f t="shared" si="95"/>
        <v>47.795835416242241</v>
      </c>
      <c r="CW70" s="20">
        <f t="shared" si="67"/>
        <v>416.17758168328857</v>
      </c>
      <c r="CX70" s="59">
        <f t="shared" si="68"/>
        <v>709.51091501662188</v>
      </c>
      <c r="CY70" s="59">
        <f ca="1">AVERAGE(OFFSET($CX$3,0,0,'Données projet'!$E$13+1,1))-AVERAGE(OFFSET($H$3,0,0,'Données projet'!$E$13+1,1))</f>
        <v>292.22737648725354</v>
      </c>
      <c r="CZ70" s="59">
        <f t="shared" si="96"/>
        <v>182.84038581199871</v>
      </c>
      <c r="DA70" s="15">
        <f>IF(ISNA(VLOOKUP(A70,'Données projet'!$A$139:$I$159,3,0)),0,VLOOKUP(A70,'Données projet'!$A$139:$I$159,3,0))</f>
        <v>4</v>
      </c>
      <c r="DB70" s="15">
        <f>IF(ISNA(VLOOKUP(A70,'Données projet'!$A$139:$I$159,4,0)),0,VLOOKUP(A70,'Données projet'!$A$139:$I$159,4,0))</f>
        <v>31.993589743589741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>
        <f>VLOOKUP(A70,'Données projet'!$A$165:$I$185,2,0)</f>
        <v>167.85897435897436</v>
      </c>
      <c r="DM70" s="12">
        <f>VLOOKUP(A70,'Données projet'!$A$165:$I$185,9,0)</f>
        <v>5.9431089743589762</v>
      </c>
      <c r="DN70" s="12">
        <f t="array" ref="DN70">INDEX(DM:DM,MIN(IF(ISNUMBER(DM70:DM266),ROW(DM70:DM266),"")))</f>
        <v>5.9431089743589762</v>
      </c>
      <c r="DO70" s="12">
        <f>IF('Données projet'!$A$166&gt;35,DO69+DN70-DW69,IF(A70&lt;'Données projet'!$A$166,$DL$205^A70,IF(A70='Données projet'!$A$166,'Données projet'!$B$166,DO69+DN70-DW69)))</f>
        <v>167.85897435897436</v>
      </c>
      <c r="DP70" s="17">
        <f>DO70*VLOOKUP('Données projet'!$B$14,Paramètres!$A$1:$I$89,3,0)*VLOOKUP('Données projet'!$B$14,Paramètres!$A$1:$I$89,5,0)</f>
        <v>183.30199999999999</v>
      </c>
      <c r="DQ70" s="13">
        <f t="shared" si="97"/>
        <v>46.056041304013881</v>
      </c>
      <c r="DR70" s="20">
        <f t="shared" si="70"/>
        <v>399.46525527115745</v>
      </c>
      <c r="DS70" s="59">
        <f t="shared" si="71"/>
        <v>692.79858860449076</v>
      </c>
      <c r="DT70" s="59">
        <f ca="1">AVERAGE(OFFSET($DS$3,0,0,'Données projet'!$E$14+1,1))-AVERAGE(OFFSET($H$3,0,0,'Données projet'!$E$14+1,1))</f>
        <v>276.52126514622455</v>
      </c>
      <c r="DU70" s="59">
        <f t="shared" si="98"/>
        <v>173.98404849503186</v>
      </c>
      <c r="DV70" s="15">
        <f>IF(ISNA(VLOOKUP(A70,'Données projet'!$A$165:$I$185,3,0)),0,VLOOKUP(A70,'Données projet'!$A$165:$I$185,3,0))</f>
        <v>4</v>
      </c>
      <c r="DW70" s="15">
        <f>IF(ISNA(VLOOKUP(A70,'Données projet'!$A$165:$I$185,4,0)),0,VLOOKUP(A70,'Données projet'!$A$165:$I$185,4,0))</f>
        <v>31.993589743589741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>
        <f>VLOOKUP(A70,'Données projet'!$A$191:$I$211,2,0)</f>
        <v>167.85897435897436</v>
      </c>
      <c r="EH70" s="12">
        <f>VLOOKUP(A70,'Données projet'!$A$191:$I$211,9,0)</f>
        <v>5.9431089743589762</v>
      </c>
      <c r="EI70" s="12">
        <f t="array" ref="EI70">INDEX(EH:EH,MIN(IF(ISNUMBER(EH70:EH266),ROW(EH70:EH266),"")))</f>
        <v>5.9431089743589762</v>
      </c>
      <c r="EJ70" s="12">
        <f>IF('Données projet'!$A$192&gt;35,EJ69+EI70-ER69,IF(A70&lt;'Données projet'!$A$192,$EG$205^A70,IF(A70='Données projet'!$A$192,'Données projet'!$B$192,EJ69+EI70-ER69)))</f>
        <v>167.85897435897436</v>
      </c>
      <c r="EK70" s="17">
        <f>EJ70*VLOOKUP('Données projet'!$B$15,Paramètres!$A$1:$I$89,3,0)*VLOOKUP('Données projet'!$B$15,Paramètres!$A$1:$I$89,5,0)</f>
        <v>162.35320000000002</v>
      </c>
      <c r="EL70" s="13">
        <f t="shared" si="99"/>
        <v>41.372834375333397</v>
      </c>
      <c r="EM70" s="20">
        <f t="shared" si="73"/>
        <v>354.82284320370565</v>
      </c>
      <c r="EN70" s="59">
        <f t="shared" si="74"/>
        <v>648.15617653703896</v>
      </c>
      <c r="EO70" s="59">
        <f ca="1">AVERAGE(OFFSET($EN$3,0,0,'Données projet'!$E$15+1,1))-AVERAGE(OFFSET($H$3,0,0,'Données projet'!$E$15+1,1))</f>
        <v>234.56750794375012</v>
      </c>
      <c r="EP70" s="59">
        <f t="shared" si="100"/>
        <v>150.32420541314724</v>
      </c>
      <c r="EQ70" s="15">
        <f>IF(ISNA(VLOOKUP(A70,'Données projet'!$A$191:$I$211,3,0)),0,VLOOKUP(A70,'Données projet'!$A$191:$I$211,3,0))</f>
        <v>4</v>
      </c>
      <c r="ER70" s="15">
        <f>IF(ISNA(VLOOKUP(A70,'Données projet'!$A$191:$I$211,4,0)),0,VLOOKUP(A70,'Données projet'!$A$191:$I$211,4,0))</f>
        <v>31.993589743589741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13.737499999999997</v>
      </c>
      <c r="N71" s="13">
        <f>IF('Données projet'!$A$36&gt;35,N70+M71-V70,IF(A71&lt;'Données projet'!$A$36,$K$205^A71,IF(A71='Données projet'!$A$36,'Données projet'!$B$36,N70+M71-V70)))</f>
        <v>372.74134615384617</v>
      </c>
      <c r="O71" s="13">
        <f>N71*VLOOKUP('Données projet'!$B$9,Paramètres!$A$1:$I$89,3,0)*VLOOKUP('Données projet'!$B$9,Paramètres!$A$1:$I$89,5,0)</f>
        <v>174.44295000000002</v>
      </c>
      <c r="P71" s="13">
        <f t="shared" si="87"/>
        <v>44.083597545116064</v>
      </c>
      <c r="Q71" s="20">
        <f t="shared" si="54"/>
        <v>380.60040364107721</v>
      </c>
      <c r="R71" s="59">
        <f t="shared" si="55"/>
        <v>673.93373697441052</v>
      </c>
      <c r="S71" s="59">
        <f ca="1">AVERAGE(OFFSET($R$3,0,0,'Données projet'!$E$9+1,1))-AVERAGE(OFFSET($H$3,0,0,'Données projet'!$E$9+1,1))</f>
        <v>198.17898804494365</v>
      </c>
      <c r="T71" s="59">
        <f t="shared" si="88"/>
        <v>186.24772922797723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44.611895242601975</v>
      </c>
      <c r="AA71" s="21">
        <f>EXP(-LN(2)/25)*AA70+(1-EXP(-LN(2)/25))/(LN(2)/25)*Calculateur!V71*Calculateur!X71*VLOOKUP('Données projet'!$B$9,Paramètres!$A$1:$I$89,3,0)*0.475*44/12</f>
        <v>26.365403393543318</v>
      </c>
      <c r="AB71" s="21">
        <f>EXP(-LN(2)/2)*AB70+(1-EXP(-LN(2)/2))/(LN(2)/2)*V71*Y71*VLOOKUP('Données projet'!$B$9,Paramètres!$A$1:$I$89,3,0)*0.475*44/12</f>
        <v>0.97318235117900198</v>
      </c>
      <c r="AC71" s="22">
        <f t="shared" si="57"/>
        <v>71.950480987324298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278.21846622758881</v>
      </c>
      <c r="AO71" s="59">
        <f t="shared" si="90"/>
        <v>245.37578316242906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8.1001602564102626</v>
      </c>
      <c r="BD71" s="12">
        <f>IF('Données projet'!$A$88&gt;35,BD70+BC71-BL70,IF(A71&lt;'Données projet'!$A$88,$BA$205^A71,IF(A71='Données projet'!$A$88,'Données projet'!$B$88,BD70+BC71-BL70)))</f>
        <v>219.06490384615404</v>
      </c>
      <c r="BE71" s="13">
        <f>BD71*VLOOKUP('Données projet'!$B$11,Paramètres!$A$1:$I$89,3,0)*VLOOKUP('Données projet'!$B$11,Paramètres!$A$1:$I$89,5,0)</f>
        <v>198.20992500000017</v>
      </c>
      <c r="BF71" s="13">
        <f t="shared" si="91"/>
        <v>49.350557805795496</v>
      </c>
      <c r="BG71" s="20">
        <f t="shared" si="61"/>
        <v>431.16784088676076</v>
      </c>
      <c r="BH71" s="59">
        <f t="shared" si="62"/>
        <v>724.50117422009407</v>
      </c>
      <c r="BI71" s="59">
        <f ca="1">AVERAGE(OFFSET($BH$3,0,0,'Données projet'!$E$11+1,1))-AVERAGE(OFFSET($H$3,0,0,'Données projet'!$E$11+1,1))</f>
        <v>270.87836509222456</v>
      </c>
      <c r="BJ71" s="59">
        <f t="shared" si="92"/>
        <v>205.24998237949734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11.377624225162773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11.377624225162773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8.1001602564102626</v>
      </c>
      <c r="BY71" s="12">
        <f>IF('Données projet'!$A$114&gt;35,BY70+BX71-CG70,IF(A71&lt;'Données projet'!$A$114,$BV$205^A71,IF(A71='Données projet'!$A$114,'Données projet'!$B$114,BY70+BX71-CG70)))</f>
        <v>219.06490384615404</v>
      </c>
      <c r="BZ71" s="13">
        <f>BY71*VLOOKUP('Données projet'!$B$12,Paramètres!$A$1:$I$89,3,0)*VLOOKUP('Données projet'!$B$12,Paramètres!$A$1:$I$89,5,0)</f>
        <v>222.13181250000019</v>
      </c>
      <c r="CA71" s="13">
        <f t="shared" si="93"/>
        <v>54.577964266842784</v>
      </c>
      <c r="CB71" s="20">
        <f t="shared" si="64"/>
        <v>481.93619453558489</v>
      </c>
      <c r="CC71" s="59">
        <f t="shared" si="65"/>
        <v>775.2695278689182</v>
      </c>
      <c r="CD71" s="59">
        <f ca="1">AVERAGE(OFFSET($CC$3,0,0,'Données projet'!$E$12+1,1))-AVERAGE(OFFSET($H$3,0,0,'Données projet'!$E$12+1,1))</f>
        <v>312.29056285877169</v>
      </c>
      <c r="CE71" s="59">
        <f t="shared" si="94"/>
        <v>233.85454224241693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12.750785769578973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12.750785769578973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5.6899038461538431</v>
      </c>
      <c r="CT71" s="12">
        <f>IF('Données projet'!$A$140&gt;35,CT70+CS71-DB70,IF(A71&lt;'Données projet'!$A$140,$CQ$205^A71,IF(A71='Données projet'!$A$140,'Données projet'!$B$140,CT70+CS71-DB70)))</f>
        <v>141.55528846153845</v>
      </c>
      <c r="CU71" s="17">
        <f>CT71*VLOOKUP('Données projet'!$B$13,Paramètres!$A$1:$I$89,3,0)*VLOOKUP('Données projet'!$B$13,Paramètres!$A$1:$I$89,5,0)</f>
        <v>161.20316249999999</v>
      </c>
      <c r="CV71" s="13">
        <f t="shared" si="95"/>
        <v>41.113773629944845</v>
      </c>
      <c r="CW71" s="20">
        <f t="shared" si="67"/>
        <v>352.368663759654</v>
      </c>
      <c r="CX71" s="59">
        <f t="shared" si="68"/>
        <v>645.70199709298731</v>
      </c>
      <c r="CY71" s="59">
        <f ca="1">AVERAGE(OFFSET($CX$3,0,0,'Données projet'!$E$13+1,1))-AVERAGE(OFFSET($H$3,0,0,'Données projet'!$E$13+1,1))</f>
        <v>292.22737648725354</v>
      </c>
      <c r="CZ71" s="59">
        <f t="shared" si="96"/>
        <v>182.84038581199871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5.6899038461538431</v>
      </c>
      <c r="DO71" s="12">
        <f>IF('Données projet'!$A$166&gt;35,DO70+DN71-DW70,IF(A71&lt;'Données projet'!$A$166,$DL$205^A71,IF(A71='Données projet'!$A$166,'Données projet'!$B$166,DO70+DN71-DW70)))</f>
        <v>141.55528846153845</v>
      </c>
      <c r="DP71" s="17">
        <f>DO71*VLOOKUP('Données projet'!$B$14,Paramètres!$A$1:$I$89,3,0)*VLOOKUP('Données projet'!$B$14,Paramètres!$A$1:$I$89,5,0)</f>
        <v>154.57837499999999</v>
      </c>
      <c r="DQ71" s="13">
        <f t="shared" si="97"/>
        <v>39.617210160137638</v>
      </c>
      <c r="DR71" s="20">
        <f t="shared" si="70"/>
        <v>338.22397748723967</v>
      </c>
      <c r="DS71" s="59">
        <f t="shared" si="71"/>
        <v>631.55731082057298</v>
      </c>
      <c r="DT71" s="59">
        <f ca="1">AVERAGE(OFFSET($DS$3,0,0,'Données projet'!$E$14+1,1))-AVERAGE(OFFSET($H$3,0,0,'Données projet'!$E$14+1,1))</f>
        <v>276.52126514622455</v>
      </c>
      <c r="DU71" s="59">
        <f t="shared" si="98"/>
        <v>173.98404849503186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5.6899038461538431</v>
      </c>
      <c r="EJ71" s="12">
        <f>IF('Données projet'!$A$192&gt;35,EJ70+EI71-ER70,IF(A71&lt;'Données projet'!$A$192,$EG$205^A71,IF(A71='Données projet'!$A$192,'Données projet'!$B$192,EJ70+EI71-ER70)))</f>
        <v>141.55528846153845</v>
      </c>
      <c r="EK71" s="17">
        <f>EJ71*VLOOKUP('Données projet'!$B$15,Paramètres!$A$1:$I$89,3,0)*VLOOKUP('Données projet'!$B$15,Paramètres!$A$1:$I$89,5,0)</f>
        <v>136.91227499999999</v>
      </c>
      <c r="EL71" s="13">
        <f t="shared" si="99"/>
        <v>35.588735548256899</v>
      </c>
      <c r="EM71" s="20">
        <f t="shared" si="73"/>
        <v>300.43926003821406</v>
      </c>
      <c r="EN71" s="59">
        <f t="shared" si="74"/>
        <v>593.77259337154737</v>
      </c>
      <c r="EO71" s="59">
        <f ca="1">AVERAGE(OFFSET($EN$3,0,0,'Données projet'!$E$15+1,1))-AVERAGE(OFFSET($H$3,0,0,'Données projet'!$E$15+1,1))</f>
        <v>234.56750794375012</v>
      </c>
      <c r="EP71" s="59">
        <f t="shared" si="100"/>
        <v>150.32420541314724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13.737499999999997</v>
      </c>
      <c r="N72" s="13">
        <f>IF('Données projet'!$A$36&gt;35,N71+M72-V71,IF(A72&lt;'Données projet'!$A$36,$K$205^A72,IF(A72='Données projet'!$A$36,'Données projet'!$B$36,N71+M72-V71)))</f>
        <v>386.47884615384618</v>
      </c>
      <c r="O72" s="13">
        <f>N72*VLOOKUP('Données projet'!$B$9,Paramètres!$A$1:$I$89,3,0)*VLOOKUP('Données projet'!$B$9,Paramètres!$A$1:$I$89,5,0)</f>
        <v>180.87209999999999</v>
      </c>
      <c r="P72" s="13">
        <f t="shared" si="87"/>
        <v>45.516157736157588</v>
      </c>
      <c r="Q72" s="20">
        <f t="shared" si="54"/>
        <v>394.29288222380774</v>
      </c>
      <c r="R72" s="59">
        <f t="shared" si="55"/>
        <v>687.62621555714099</v>
      </c>
      <c r="S72" s="59">
        <f ca="1">AVERAGE(OFFSET($R$3,0,0,'Données projet'!$E$9+1,1))-AVERAGE(OFFSET($H$3,0,0,'Données projet'!$E$9+1,1))</f>
        <v>198.17898804494365</v>
      </c>
      <c r="T72" s="59">
        <f t="shared" si="88"/>
        <v>186.24772922797723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43.737083187463824</v>
      </c>
      <c r="AA72" s="21">
        <f>EXP(-LN(2)/25)*AA71+(1-EXP(-LN(2)/25))/(LN(2)/25)*Calculateur!V72*Calculateur!X72*VLOOKUP('Données projet'!$B$9,Paramètres!$A$1:$I$89,3,0)*0.475*44/12</f>
        <v>25.644440051250569</v>
      </c>
      <c r="AB72" s="21">
        <f>EXP(-LN(2)/2)*AB71+(1-EXP(-LN(2)/2))/(LN(2)/2)*V72*Y72*VLOOKUP('Données projet'!$B$9,Paramètres!$A$1:$I$89,3,0)*0.475*44/12</f>
        <v>0.68814383984974048</v>
      </c>
      <c r="AC72" s="22">
        <f t="shared" si="57"/>
        <v>70.069667078564137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278.21846622758881</v>
      </c>
      <c r="AO72" s="59">
        <f t="shared" si="90"/>
        <v>245.37578316242906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8.1001602564102626</v>
      </c>
      <c r="BD72" s="12">
        <f>IF('Données projet'!$A$88&gt;35,BD71+BC72-BL71,IF(A72&lt;'Données projet'!$A$88,$BA$205^A72,IF(A72='Données projet'!$A$88,'Données projet'!$B$88,BD71+BC72-BL71)))</f>
        <v>227.16506410256432</v>
      </c>
      <c r="BE72" s="13">
        <f>BD72*VLOOKUP('Données projet'!$B$11,Paramètres!$A$1:$I$89,3,0)*VLOOKUP('Données projet'!$B$11,Paramètres!$A$1:$I$89,5,0)</f>
        <v>205.53895000000017</v>
      </c>
      <c r="BF72" s="13">
        <f t="shared" si="91"/>
        <v>50.959519142478193</v>
      </c>
      <c r="BG72" s="20">
        <f t="shared" si="61"/>
        <v>446.73483375648311</v>
      </c>
      <c r="BH72" s="59">
        <f t="shared" si="62"/>
        <v>740.06816708981637</v>
      </c>
      <c r="BI72" s="59">
        <f ca="1">AVERAGE(OFFSET($BH$3,0,0,'Données projet'!$E$11+1,1))-AVERAGE(OFFSET($H$3,0,0,'Données projet'!$E$11+1,1))</f>
        <v>270.87836509222456</v>
      </c>
      <c r="BJ72" s="59">
        <f t="shared" si="92"/>
        <v>205.24998237949734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11.154515953772874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11.154515953772874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8.1001602564102626</v>
      </c>
      <c r="BY72" s="12">
        <f>IF('Données projet'!$A$114&gt;35,BY71+BX72-CG71,IF(A72&lt;'Données projet'!$A$114,$BV$205^A72,IF(A72='Données projet'!$A$114,'Données projet'!$B$114,BY71+BX72-CG71)))</f>
        <v>227.16506410256432</v>
      </c>
      <c r="BZ72" s="13">
        <f>BY72*VLOOKUP('Données projet'!$B$12,Paramètres!$A$1:$I$89,3,0)*VLOOKUP('Données projet'!$B$12,Paramètres!$A$1:$I$89,5,0)</f>
        <v>230.34537500000025</v>
      </c>
      <c r="CA72" s="13">
        <f t="shared" si="93"/>
        <v>56.35735315816531</v>
      </c>
      <c r="CB72" s="20">
        <f t="shared" si="64"/>
        <v>499.34058487547162</v>
      </c>
      <c r="CC72" s="59">
        <f t="shared" si="65"/>
        <v>792.67391820880493</v>
      </c>
      <c r="CD72" s="59">
        <f ca="1">AVERAGE(OFFSET($CC$3,0,0,'Données projet'!$E$12+1,1))-AVERAGE(OFFSET($H$3,0,0,'Données projet'!$E$12+1,1))</f>
        <v>312.29056285877169</v>
      </c>
      <c r="CE72" s="59">
        <f t="shared" si="94"/>
        <v>233.85454224241693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12.500750637848913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12.500750637848913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5.6899038461538431</v>
      </c>
      <c r="CT72" s="12">
        <f>IF('Données projet'!$A$140&gt;35,CT71+CS72-DB71,IF(A72&lt;'Données projet'!$A$140,$CQ$205^A72,IF(A72='Données projet'!$A$140,'Données projet'!$B$140,CT71+CS72-DB71)))</f>
        <v>147.24519230769229</v>
      </c>
      <c r="CU72" s="17">
        <f>CT72*VLOOKUP('Données projet'!$B$13,Paramètres!$A$1:$I$89,3,0)*VLOOKUP('Données projet'!$B$13,Paramètres!$A$1:$I$89,5,0)</f>
        <v>167.68282500000001</v>
      </c>
      <c r="CV72" s="13">
        <f t="shared" si="95"/>
        <v>42.570639669518052</v>
      </c>
      <c r="CW72" s="20">
        <f t="shared" si="67"/>
        <v>366.1914509660773</v>
      </c>
      <c r="CX72" s="59">
        <f t="shared" si="68"/>
        <v>659.52478429941061</v>
      </c>
      <c r="CY72" s="59">
        <f ca="1">AVERAGE(OFFSET($CX$3,0,0,'Données projet'!$E$13+1,1))-AVERAGE(OFFSET($H$3,0,0,'Données projet'!$E$13+1,1))</f>
        <v>292.22737648725354</v>
      </c>
      <c r="CZ72" s="59">
        <f t="shared" si="96"/>
        <v>182.84038581199871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5.6899038461538431</v>
      </c>
      <c r="DO72" s="12">
        <f>IF('Données projet'!$A$166&gt;35,DO71+DN72-DW71,IF(A72&lt;'Données projet'!$A$166,$DL$205^A72,IF(A72='Données projet'!$A$166,'Données projet'!$B$166,DO71+DN72-DW71)))</f>
        <v>147.24519230769229</v>
      </c>
      <c r="DP72" s="17">
        <f>DO72*VLOOKUP('Données projet'!$B$14,Paramètres!$A$1:$I$89,3,0)*VLOOKUP('Données projet'!$B$14,Paramètres!$A$1:$I$89,5,0)</f>
        <v>160.79174999999998</v>
      </c>
      <c r="DQ72" s="13">
        <f t="shared" si="97"/>
        <v>41.021045492414217</v>
      </c>
      <c r="DR72" s="20">
        <f t="shared" si="70"/>
        <v>351.49061881595475</v>
      </c>
      <c r="DS72" s="59">
        <f t="shared" si="71"/>
        <v>644.82395214928806</v>
      </c>
      <c r="DT72" s="59">
        <f ca="1">AVERAGE(OFFSET($DS$3,0,0,'Données projet'!$E$14+1,1))-AVERAGE(OFFSET($H$3,0,0,'Données projet'!$E$14+1,1))</f>
        <v>276.52126514622455</v>
      </c>
      <c r="DU72" s="59">
        <f t="shared" si="98"/>
        <v>173.98404849503186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5.6899038461538431</v>
      </c>
      <c r="EJ72" s="12">
        <f>IF('Données projet'!$A$192&gt;35,EJ71+EI72-ER71,IF(A72&lt;'Données projet'!$A$192,$EG$205^A72,IF(A72='Données projet'!$A$192,'Données projet'!$B$192,EJ71+EI72-ER71)))</f>
        <v>147.24519230769229</v>
      </c>
      <c r="EK72" s="17">
        <f>EJ72*VLOOKUP('Données projet'!$B$15,Paramètres!$A$1:$I$89,3,0)*VLOOKUP('Données projet'!$B$15,Paramètres!$A$1:$I$89,5,0)</f>
        <v>142.41555</v>
      </c>
      <c r="EL72" s="13">
        <f t="shared" si="99"/>
        <v>36.849821934495218</v>
      </c>
      <c r="EM72" s="20">
        <f t="shared" si="73"/>
        <v>312.22052278591252</v>
      </c>
      <c r="EN72" s="59">
        <f t="shared" si="74"/>
        <v>605.55385611924589</v>
      </c>
      <c r="EO72" s="59">
        <f ca="1">AVERAGE(OFFSET($EN$3,0,0,'Données projet'!$E$15+1,1))-AVERAGE(OFFSET($H$3,0,0,'Données projet'!$E$15+1,1))</f>
        <v>234.56750794375012</v>
      </c>
      <c r="EP72" s="59">
        <f t="shared" si="100"/>
        <v>150.32420541314724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13.737499999999997</v>
      </c>
      <c r="N73" s="13">
        <f>IF('Données projet'!$A$36&gt;35,N72+M73-V72,IF(A73&lt;'Données projet'!$A$36,$K$205^A73,IF(A73='Données projet'!$A$36,'Données projet'!$B$36,N72+M73-V72)))</f>
        <v>400.21634615384619</v>
      </c>
      <c r="O73" s="13">
        <f>N73*VLOOKUP('Données projet'!$B$9,Paramètres!$A$1:$I$89,3,0)*VLOOKUP('Données projet'!$B$9,Paramètres!$A$1:$I$89,5,0)</f>
        <v>187.30125000000001</v>
      </c>
      <c r="P73" s="13">
        <f t="shared" si="87"/>
        <v>46.942801679870392</v>
      </c>
      <c r="Q73" s="20">
        <f t="shared" si="54"/>
        <v>407.97505667577428</v>
      </c>
      <c r="R73" s="59">
        <f t="shared" si="55"/>
        <v>701.3083900091076</v>
      </c>
      <c r="S73" s="59">
        <f ca="1">AVERAGE(OFFSET($R$3,0,0,'Données projet'!$E$9+1,1))-AVERAGE(OFFSET($H$3,0,0,'Données projet'!$E$9+1,1))</f>
        <v>198.17898804494365</v>
      </c>
      <c r="T73" s="59">
        <f t="shared" si="88"/>
        <v>186.24772922797723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42.879425663144268</v>
      </c>
      <c r="AA73" s="21">
        <f>EXP(-LN(2)/25)*AA72+(1-EXP(-LN(2)/25))/(LN(2)/25)*Calculateur!V73*Calculateur!X73*VLOOKUP('Données projet'!$B$9,Paramètres!$A$1:$I$89,3,0)*0.475*44/12</f>
        <v>24.943191489466631</v>
      </c>
      <c r="AB73" s="21">
        <f>EXP(-LN(2)/2)*AB72+(1-EXP(-LN(2)/2))/(LN(2)/2)*V73*Y73*VLOOKUP('Données projet'!$B$9,Paramètres!$A$1:$I$89,3,0)*0.475*44/12</f>
        <v>0.4865911755895011</v>
      </c>
      <c r="AC73" s="22">
        <f t="shared" si="57"/>
        <v>68.309208328200398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278.21846622758881</v>
      </c>
      <c r="AO73" s="59">
        <f t="shared" si="90"/>
        <v>245.37578316242906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8.1001602564102626</v>
      </c>
      <c r="BD73" s="12">
        <f>IF('Données projet'!$A$88&gt;35,BD72+BC73-BL72,IF(A73&lt;'Données projet'!$A$88,$BA$205^A73,IF(A73='Données projet'!$A$88,'Données projet'!$B$88,BD72+BC73-BL72)))</f>
        <v>235.26522435897459</v>
      </c>
      <c r="BE73" s="13">
        <f>BD73*VLOOKUP('Données projet'!$B$11,Paramètres!$A$1:$I$89,3,0)*VLOOKUP('Données projet'!$B$11,Paramètres!$A$1:$I$89,5,0)</f>
        <v>212.8679750000002</v>
      </c>
      <c r="BF73" s="13">
        <f t="shared" si="91"/>
        <v>52.561814761455608</v>
      </c>
      <c r="BG73" s="20">
        <f t="shared" si="61"/>
        <v>462.29021716786883</v>
      </c>
      <c r="BH73" s="59">
        <f t="shared" si="62"/>
        <v>755.62355050120209</v>
      </c>
      <c r="BI73" s="59">
        <f ca="1">AVERAGE(OFFSET($BH$3,0,0,'Données projet'!$E$11+1,1))-AVERAGE(OFFSET($H$3,0,0,'Données projet'!$E$11+1,1))</f>
        <v>270.87836509222456</v>
      </c>
      <c r="BJ73" s="59">
        <f t="shared" si="92"/>
        <v>205.24998237949734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10.935782699502322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10.935782699502322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8.1001602564102626</v>
      </c>
      <c r="BY73" s="12">
        <f>IF('Données projet'!$A$114&gt;35,BY72+BX73-CG72,IF(A73&lt;'Données projet'!$A$114,$BV$205^A73,IF(A73='Données projet'!$A$114,'Données projet'!$B$114,BY72+BX73-CG72)))</f>
        <v>235.26522435897459</v>
      </c>
      <c r="BZ73" s="13">
        <f>BY73*VLOOKUP('Données projet'!$B$12,Paramètres!$A$1:$I$89,3,0)*VLOOKUP('Données projet'!$B$12,Paramètres!$A$1:$I$89,5,0)</f>
        <v>238.55893750000027</v>
      </c>
      <c r="CA73" s="13">
        <f t="shared" si="93"/>
        <v>58.129370272573652</v>
      </c>
      <c r="CB73" s="20">
        <f t="shared" si="64"/>
        <v>516.73213603723286</v>
      </c>
      <c r="CC73" s="59">
        <f t="shared" si="65"/>
        <v>810.06546937056623</v>
      </c>
      <c r="CD73" s="59">
        <f ca="1">AVERAGE(OFFSET($CC$3,0,0,'Données projet'!$E$12+1,1))-AVERAGE(OFFSET($H$3,0,0,'Données projet'!$E$12+1,1))</f>
        <v>312.29056285877169</v>
      </c>
      <c r="CE73" s="59">
        <f t="shared" si="94"/>
        <v>233.85454224241693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12.255618542545708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12.255618542545708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5.6899038461538431</v>
      </c>
      <c r="CT73" s="12">
        <f>IF('Données projet'!$A$140&gt;35,CT72+CS73-DB72,IF(A73&lt;'Données projet'!$A$140,$CQ$205^A73,IF(A73='Données projet'!$A$140,'Données projet'!$B$140,CT72+CS73-DB72)))</f>
        <v>152.93509615384613</v>
      </c>
      <c r="CU73" s="17">
        <f>CT73*VLOOKUP('Données projet'!$B$13,Paramètres!$A$1:$I$89,3,0)*VLOOKUP('Données projet'!$B$13,Paramètres!$A$1:$I$89,5,0)</f>
        <v>174.16248749999997</v>
      </c>
      <c r="CV73" s="13">
        <f t="shared" si="95"/>
        <v>44.02096576220552</v>
      </c>
      <c r="CW73" s="20">
        <f t="shared" si="67"/>
        <v>380.00284776500786</v>
      </c>
      <c r="CX73" s="59">
        <f t="shared" si="68"/>
        <v>673.33618109834117</v>
      </c>
      <c r="CY73" s="59">
        <f ca="1">AVERAGE(OFFSET($CX$3,0,0,'Données projet'!$E$13+1,1))-AVERAGE(OFFSET($H$3,0,0,'Données projet'!$E$13+1,1))</f>
        <v>292.22737648725354</v>
      </c>
      <c r="CZ73" s="59">
        <f t="shared" si="96"/>
        <v>182.84038581199871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5.6899038461538431</v>
      </c>
      <c r="DO73" s="12">
        <f>IF('Données projet'!$A$166&gt;35,DO72+DN73-DW72,IF(A73&lt;'Données projet'!$A$166,$DL$205^A73,IF(A73='Données projet'!$A$166,'Données projet'!$B$166,DO72+DN73-DW72)))</f>
        <v>152.93509615384613</v>
      </c>
      <c r="DP73" s="17">
        <f>DO73*VLOOKUP('Données projet'!$B$14,Paramètres!$A$1:$I$89,3,0)*VLOOKUP('Données projet'!$B$14,Paramètres!$A$1:$I$89,5,0)</f>
        <v>167.00512499999996</v>
      </c>
      <c r="DQ73" s="13">
        <f t="shared" si="97"/>
        <v>42.418578935388702</v>
      </c>
      <c r="DR73" s="20">
        <f t="shared" si="70"/>
        <v>364.74628435413524</v>
      </c>
      <c r="DS73" s="59">
        <f t="shared" si="71"/>
        <v>658.0796176874685</v>
      </c>
      <c r="DT73" s="59">
        <f ca="1">AVERAGE(OFFSET($DS$3,0,0,'Données projet'!$E$14+1,1))-AVERAGE(OFFSET($H$3,0,0,'Données projet'!$E$14+1,1))</f>
        <v>276.52126514622455</v>
      </c>
      <c r="DU73" s="59">
        <f t="shared" si="98"/>
        <v>173.98404849503186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5.6899038461538431</v>
      </c>
      <c r="EJ73" s="12">
        <f>IF('Données projet'!$A$192&gt;35,EJ72+EI73-ER72,IF(A73&lt;'Données projet'!$A$192,$EG$205^A73,IF(A73='Données projet'!$A$192,'Données projet'!$B$192,EJ72+EI73-ER72)))</f>
        <v>152.93509615384613</v>
      </c>
      <c r="EK73" s="17">
        <f>EJ73*VLOOKUP('Données projet'!$B$15,Paramètres!$A$1:$I$89,3,0)*VLOOKUP('Données projet'!$B$15,Paramètres!$A$1:$I$89,5,0)</f>
        <v>147.91882499999997</v>
      </c>
      <c r="EL73" s="13">
        <f t="shared" si="99"/>
        <v>38.105247238821875</v>
      </c>
      <c r="EM73" s="20">
        <f t="shared" si="73"/>
        <v>323.99192581594804</v>
      </c>
      <c r="EN73" s="59">
        <f t="shared" si="74"/>
        <v>617.32525914928135</v>
      </c>
      <c r="EO73" s="59">
        <f ca="1">AVERAGE(OFFSET($EN$3,0,0,'Données projet'!$E$15+1,1))-AVERAGE(OFFSET($H$3,0,0,'Données projet'!$E$15+1,1))</f>
        <v>234.56750794375012</v>
      </c>
      <c r="EP73" s="59">
        <f t="shared" si="100"/>
        <v>150.32420541314724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413.95384615384614</v>
      </c>
      <c r="L74" s="12">
        <f>VLOOKUP(A74,'Données projet'!$A$35:$I$55,9,0)</f>
        <v>13.737499999999997</v>
      </c>
      <c r="M74" s="12">
        <f t="array" ref="M74">INDEX(L:L,MIN(IF(ISNUMBER(L74:L270),ROW(L74:L270),"")))</f>
        <v>13.737499999999997</v>
      </c>
      <c r="N74" s="13">
        <f>IF('Données projet'!$A$36&gt;35,N73+M74-V73,IF(A74&lt;'Données projet'!$A$36,$K$205^A74,IF(A74='Données projet'!$A$36,'Données projet'!$B$36,N73+M74-V73)))</f>
        <v>413.9538461538462</v>
      </c>
      <c r="O74" s="13">
        <f>N74*VLOOKUP('Données projet'!$B$9,Paramètres!$A$1:$I$89,3,0)*VLOOKUP('Données projet'!$B$9,Paramètres!$A$1:$I$89,5,0)</f>
        <v>193.73040000000003</v>
      </c>
      <c r="P74" s="13">
        <f t="shared" si="87"/>
        <v>48.363755728631737</v>
      </c>
      <c r="Q74" s="20">
        <f t="shared" si="54"/>
        <v>421.647321227367</v>
      </c>
      <c r="R74" s="59">
        <f t="shared" si="55"/>
        <v>714.98065456070026</v>
      </c>
      <c r="S74" s="59">
        <f ca="1">AVERAGE(OFFSET($R$3,0,0,'Données projet'!$E$9+1,1))-AVERAGE(OFFSET($H$3,0,0,'Données projet'!$E$9+1,1))</f>
        <v>198.17898804494365</v>
      </c>
      <c r="T74" s="59">
        <f t="shared" si="88"/>
        <v>186.24772922797723</v>
      </c>
      <c r="U74" s="15">
        <f>IF(ISNA(VLOOKUP(A74,'Données projet'!$A$35:$I$55,3,0)),0,VLOOKUP(A74,'Données projet'!$A$35:$I$55,3,0))</f>
        <v>5</v>
      </c>
      <c r="V74" s="15">
        <f>IF(ISNA(VLOOKUP(A74,'Données projet'!$A$35:$I$55,4,0)),0,VLOOKUP(A74,'Données projet'!$A$35:$I$55,4,0))</f>
        <v>80.399999999999991</v>
      </c>
      <c r="W74" s="16">
        <f>IF(ISNA(VLOOKUP(A74,'Données projet'!$A$35:$I$55,5,0)),0%,VLOOKUP(A74,'Données projet'!$A$35:$I$55,5,0)*VLOOKUP('Données projet'!$B$9,Paramètres!$A$1:$I$89,7,0))</f>
        <v>0.38500000000000001</v>
      </c>
      <c r="X74" s="16">
        <f>IF(ISNA(VLOOKUP(A74,'Données projet'!$A$35:$I$55,6,0)),0%,VLOOKUP(A74,'Données projet'!$A$35:$I$55,6,0)*VLOOKUP('Données projet'!$B$9,Paramètres!$A$1:$I$89,7,0))</f>
        <v>9.240000000000001E-2</v>
      </c>
      <c r="Y74" s="16">
        <f>IF(ISNA(VLOOKUP(A74,'Données projet'!$A$35:$I$55,7,0)),0%,VLOOKUP(A74,'Données projet'!$A$35:$I$55,7,0))</f>
        <v>0.13200000000000001</v>
      </c>
      <c r="Z74" s="21">
        <f>EXP(-LN(2)/35)*Z73+(1-EXP(-LN(2)/35))/(LN(2)/35)*V74*W74*VLOOKUP('Données projet'!$B$9,Paramètres!$A$1:$I$89,3,0)*0.475*44/12</f>
        <v>61.255825119677326</v>
      </c>
      <c r="AA74" s="21">
        <f>EXP(-LN(2)/25)*AA73+(1-EXP(-LN(2)/25))/(LN(2)/25)*Calculateur!V74*Calculateur!X74*VLOOKUP('Données projet'!$B$9,Paramètres!$A$1:$I$89,3,0)*0.475*44/12</f>
        <v>28.85509618606541</v>
      </c>
      <c r="AB74" s="21">
        <f>EXP(-LN(2)/2)*AB73+(1-EXP(-LN(2)/2))/(LN(2)/2)*V74*Y74*VLOOKUP('Données projet'!$B$9,Paramètres!$A$1:$I$89,3,0)*0.475*44/12</f>
        <v>5.9676324258492643</v>
      </c>
      <c r="AC74" s="22">
        <f t="shared" si="57"/>
        <v>96.078553731591995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278.21846622758881</v>
      </c>
      <c r="AO74" s="59">
        <f t="shared" si="90"/>
        <v>245.37578316242906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243.36538461538464</v>
      </c>
      <c r="BB74" s="12">
        <f>VLOOKUP(A74,'Données projet'!$A$87:$I$107,9,0)</f>
        <v>8.1001602564102626</v>
      </c>
      <c r="BC74" s="12">
        <f t="array" ref="BC74">INDEX(BB:BB,MIN(IF(ISNUMBER(BB74:BB270),ROW(BB74:BB270),"")))</f>
        <v>8.1001602564102626</v>
      </c>
      <c r="BD74" s="12">
        <f>IF('Données projet'!$A$88&gt;35,BD73+BC74-BL73,IF(A74&lt;'Données projet'!$A$88,$BA$205^A74,IF(A74='Données projet'!$A$88,'Données projet'!$B$88,BD73+BC74-BL73)))</f>
        <v>243.36538461538487</v>
      </c>
      <c r="BE74" s="13">
        <f>BD74*VLOOKUP('Données projet'!$B$11,Paramètres!$A$1:$I$89,3,0)*VLOOKUP('Données projet'!$B$11,Paramètres!$A$1:$I$89,5,0)</f>
        <v>220.19700000000023</v>
      </c>
      <c r="BF74" s="13">
        <f t="shared" si="91"/>
        <v>54.157700466574305</v>
      </c>
      <c r="BG74" s="20">
        <f t="shared" si="61"/>
        <v>477.83443664595069</v>
      </c>
      <c r="BH74" s="59">
        <f t="shared" si="62"/>
        <v>771.167769979284</v>
      </c>
      <c r="BI74" s="59">
        <f ca="1">AVERAGE(OFFSET($BH$3,0,0,'Données projet'!$E$11+1,1))-AVERAGE(OFFSET($H$3,0,0,'Données projet'!$E$11+1,1))</f>
        <v>270.87836509222456</v>
      </c>
      <c r="BJ74" s="59">
        <f t="shared" si="92"/>
        <v>205.24998237949734</v>
      </c>
      <c r="BK74" s="15">
        <f>IF(ISNA(VLOOKUP(A74,'Données projet'!$A$87:$I$107,3,0)),0,VLOOKUP(A74,'Données projet'!$A$87:$I$107,3,0))</f>
        <v>6</v>
      </c>
      <c r="BL74" s="15">
        <f>IF(ISNA(VLOOKUP(A74,'Données projet'!$A$87:$I$107,4,0)),0,VLOOKUP(A74,'Données projet'!$A$87:$I$107,4,0))</f>
        <v>39.935897435897431</v>
      </c>
      <c r="BM74" s="16">
        <f>IF(ISNA(VLOOKUP(A74,'Données projet'!$A$87:$I$107,5,0)),0%,VLOOKUP(A74,'Données projet'!$A$87:$I$107,5,0)*VLOOKUP('Données projet'!$B$11,Paramètres!$A$1:$I$89,7,0))</f>
        <v>0.30099999999999999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22.744803745841033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22.744803745841033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243.36538461538464</v>
      </c>
      <c r="BW74" s="12">
        <f>VLOOKUP(A74,'Données projet'!$A$113:$I$133,9,0)</f>
        <v>8.1001602564102626</v>
      </c>
      <c r="BX74" s="12">
        <f t="array" ref="BX74">INDEX(BW:BW,MIN(IF(ISNUMBER(BW74:BW270),ROW(BW74:BW270),"")))</f>
        <v>8.1001602564102626</v>
      </c>
      <c r="BY74" s="12">
        <f>IF('Données projet'!$A$114&gt;35,BY73+BX74-CG73,IF(A74&lt;'Données projet'!$A$114,$BV$205^A74,IF(A74='Données projet'!$A$114,'Données projet'!$B$114,BY73+BX74-CG73)))</f>
        <v>243.36538461538487</v>
      </c>
      <c r="BZ74" s="13">
        <f>BY74*VLOOKUP('Données projet'!$B$12,Paramètres!$A$1:$I$89,3,0)*VLOOKUP('Données projet'!$B$12,Paramètres!$A$1:$I$89,5,0)</f>
        <v>246.77250000000026</v>
      </c>
      <c r="CA74" s="13">
        <f t="shared" si="93"/>
        <v>59.894298509670598</v>
      </c>
      <c r="CB74" s="20">
        <f t="shared" si="64"/>
        <v>534.11134073767676</v>
      </c>
      <c r="CC74" s="59">
        <f t="shared" si="65"/>
        <v>827.44467407101001</v>
      </c>
      <c r="CD74" s="59">
        <f ca="1">AVERAGE(OFFSET($CC$3,0,0,'Données projet'!$E$12+1,1))-AVERAGE(OFFSET($H$3,0,0,'Données projet'!$E$12+1,1))</f>
        <v>312.29056285877169</v>
      </c>
      <c r="CE74" s="59">
        <f t="shared" si="94"/>
        <v>233.85454224241693</v>
      </c>
      <c r="CF74" s="15">
        <f>IF(ISNA(VLOOKUP(A74,'Données projet'!$A$113:$I$133,3,0)),0,VLOOKUP(A74,'Données projet'!$A$113:$I$133,3,0))</f>
        <v>6</v>
      </c>
      <c r="CG74" s="15">
        <f>IF(ISNA(VLOOKUP(A74,'Données projet'!$A$113:$I$133,4,0)),0,VLOOKUP(A74,'Données projet'!$A$113:$I$133,4,0))</f>
        <v>39.935897435897431</v>
      </c>
      <c r="CH74" s="16">
        <f>IF(ISNA(VLOOKUP(A74,'Données projet'!$A$113:$I$133,5,0)),0%,VLOOKUP(A74,'Données projet'!$A$113:$I$133,5,0)*VLOOKUP('Données projet'!$B$12,Paramètres!$A$1:$I$89,7,0))</f>
        <v>0.30099999999999999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25.489866266890814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25.489866266890814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5.6899038461538431</v>
      </c>
      <c r="CT74" s="12">
        <f>IF('Données projet'!$A$140&gt;35,CT73+CS74-DB73,IF(A74&lt;'Données projet'!$A$140,$CQ$205^A74,IF(A74='Données projet'!$A$140,'Données projet'!$B$140,CT73+CS74-DB73)))</f>
        <v>158.62499999999997</v>
      </c>
      <c r="CU74" s="17">
        <f>CT74*VLOOKUP('Données projet'!$B$13,Paramètres!$A$1:$I$89,3,0)*VLOOKUP('Données projet'!$B$13,Paramètres!$A$1:$I$89,5,0)</f>
        <v>180.64214999999996</v>
      </c>
      <c r="CV74" s="13">
        <f t="shared" si="95"/>
        <v>45.465023086792208</v>
      </c>
      <c r="CW74" s="20">
        <f t="shared" si="67"/>
        <v>393.8033264594963</v>
      </c>
      <c r="CX74" s="59">
        <f t="shared" si="68"/>
        <v>687.13665979282962</v>
      </c>
      <c r="CY74" s="59">
        <f ca="1">AVERAGE(OFFSET($CX$3,0,0,'Données projet'!$E$13+1,1))-AVERAGE(OFFSET($H$3,0,0,'Données projet'!$E$13+1,1))</f>
        <v>292.22737648725354</v>
      </c>
      <c r="CZ74" s="59">
        <f t="shared" si="96"/>
        <v>182.84038581199871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5.6899038461538431</v>
      </c>
      <c r="DO74" s="12">
        <f>IF('Données projet'!$A$166&gt;35,DO73+DN74-DW73,IF(A74&lt;'Données projet'!$A$166,$DL$205^A74,IF(A74='Données projet'!$A$166,'Données projet'!$B$166,DO73+DN74-DW73)))</f>
        <v>158.62499999999997</v>
      </c>
      <c r="DP74" s="17">
        <f>DO74*VLOOKUP('Données projet'!$B$14,Paramètres!$A$1:$I$89,3,0)*VLOOKUP('Données projet'!$B$14,Paramètres!$A$1:$I$89,5,0)</f>
        <v>173.21849999999998</v>
      </c>
      <c r="DQ74" s="13">
        <f t="shared" si="97"/>
        <v>43.810071796792506</v>
      </c>
      <c r="DR74" s="20">
        <f t="shared" si="70"/>
        <v>377.99142921274688</v>
      </c>
      <c r="DS74" s="59">
        <f t="shared" si="71"/>
        <v>671.32476254608014</v>
      </c>
      <c r="DT74" s="59">
        <f ca="1">AVERAGE(OFFSET($DS$3,0,0,'Données projet'!$E$14+1,1))-AVERAGE(OFFSET($H$3,0,0,'Données projet'!$E$14+1,1))</f>
        <v>276.52126514622455</v>
      </c>
      <c r="DU74" s="59">
        <f t="shared" si="98"/>
        <v>173.98404849503186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5.6899038461538431</v>
      </c>
      <c r="EJ74" s="12">
        <f>IF('Données projet'!$A$192&gt;35,EJ73+EI74-ER73,IF(A74&lt;'Données projet'!$A$192,$EG$205^A74,IF(A74='Données projet'!$A$192,'Données projet'!$B$192,EJ73+EI74-ER73)))</f>
        <v>158.62499999999997</v>
      </c>
      <c r="EK74" s="17">
        <f>EJ74*VLOOKUP('Données projet'!$B$15,Paramètres!$A$1:$I$89,3,0)*VLOOKUP('Données projet'!$B$15,Paramètres!$A$1:$I$89,5,0)</f>
        <v>153.42209999999997</v>
      </c>
      <c r="EL74" s="13">
        <f t="shared" si="99"/>
        <v>39.355246197900911</v>
      </c>
      <c r="EM74" s="20">
        <f t="shared" si="73"/>
        <v>335.75387796134402</v>
      </c>
      <c r="EN74" s="59">
        <f t="shared" si="74"/>
        <v>629.08721129467733</v>
      </c>
      <c r="EO74" s="59">
        <f ca="1">AVERAGE(OFFSET($EN$3,0,0,'Données projet'!$E$15+1,1))-AVERAGE(OFFSET($H$3,0,0,'Données projet'!$E$15+1,1))</f>
        <v>234.56750794375012</v>
      </c>
      <c r="EP74" s="59">
        <f t="shared" si="100"/>
        <v>150.32420541314724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12.913461538461533</v>
      </c>
      <c r="N75" s="13">
        <f>IF('Données projet'!$A$36&gt;35,N74+M75-V74,IF(A75&lt;'Données projet'!$A$36,$K$205^A75,IF(A75='Données projet'!$A$36,'Données projet'!$B$36,N74+M75-V74)))</f>
        <v>346.46730769230777</v>
      </c>
      <c r="O75" s="13">
        <f>N75*VLOOKUP('Données projet'!$B$9,Paramètres!$A$1:$I$89,3,0)*VLOOKUP('Données projet'!$B$9,Paramètres!$A$1:$I$89,5,0)</f>
        <v>162.14670000000004</v>
      </c>
      <c r="P75" s="13">
        <f t="shared" si="87"/>
        <v>41.326333369414826</v>
      </c>
      <c r="Q75" s="20">
        <f t="shared" si="54"/>
        <v>354.38219978506419</v>
      </c>
      <c r="R75" s="59">
        <f t="shared" si="55"/>
        <v>647.7155331183975</v>
      </c>
      <c r="S75" s="59">
        <f ca="1">AVERAGE(OFFSET($R$3,0,0,'Données projet'!$E$9+1,1))-AVERAGE(OFFSET($H$3,0,0,'Données projet'!$E$9+1,1))</f>
        <v>198.17898804494365</v>
      </c>
      <c r="T75" s="59">
        <f t="shared" si="88"/>
        <v>186.24772922797723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60.05463575144455</v>
      </c>
      <c r="AA75" s="21">
        <f>EXP(-LN(2)/25)*AA74+(1-EXP(-LN(2)/25))/(LN(2)/25)*Calculateur!V75*Calculateur!X75*VLOOKUP('Données projet'!$B$9,Paramètres!$A$1:$I$89,3,0)*0.475*44/12</f>
        <v>28.066052063433894</v>
      </c>
      <c r="AB75" s="21">
        <f>EXP(-LN(2)/2)*AB74+(1-EXP(-LN(2)/2))/(LN(2)/2)*V75*Y75*VLOOKUP('Données projet'!$B$9,Paramètres!$A$1:$I$89,3,0)*0.475*44/12</f>
        <v>4.2197533559467422</v>
      </c>
      <c r="AC75" s="22">
        <f t="shared" si="57"/>
        <v>92.340441170825173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278.21846622758881</v>
      </c>
      <c r="AO75" s="59">
        <f t="shared" si="90"/>
        <v>245.37578316242906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7.8425925925925934</v>
      </c>
      <c r="BD75" s="12">
        <f>IF('Données projet'!$A$88&gt;35,BD74+BC75-BL74,IF(A75&lt;'Données projet'!$A$88,$BA$205^A75,IF(A75='Données projet'!$A$88,'Données projet'!$B$88,BD74+BC75-BL74)))</f>
        <v>211.27207977208002</v>
      </c>
      <c r="BE75" s="13">
        <f>BD75*VLOOKUP('Données projet'!$B$11,Paramètres!$A$1:$I$89,3,0)*VLOOKUP('Données projet'!$B$11,Paramètres!$A$1:$I$89,5,0)</f>
        <v>191.15897777777801</v>
      </c>
      <c r="BF75" s="13">
        <f t="shared" si="91"/>
        <v>47.796095622022989</v>
      </c>
      <c r="BG75" s="20">
        <f t="shared" si="61"/>
        <v>416.18008617132006</v>
      </c>
      <c r="BH75" s="59">
        <f t="shared" si="62"/>
        <v>709.51341950465337</v>
      </c>
      <c r="BI75" s="59">
        <f ca="1">AVERAGE(OFFSET($BH$3,0,0,'Données projet'!$E$11+1,1))-AVERAGE(OFFSET($H$3,0,0,'Données projet'!$E$11+1,1))</f>
        <v>270.87836509222456</v>
      </c>
      <c r="BJ75" s="59">
        <f t="shared" si="92"/>
        <v>205.24998237949734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22.298792017345534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22.298792017345534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7.8425925925925934</v>
      </c>
      <c r="BY75" s="12">
        <f>IF('Données projet'!$A$114&gt;35,BY74+BX75-CG74,IF(A75&lt;'Données projet'!$A$114,$BV$205^A75,IF(A75='Données projet'!$A$114,'Données projet'!$B$114,BY74+BX75-CG74)))</f>
        <v>211.27207977208002</v>
      </c>
      <c r="BZ75" s="13">
        <f>BY75*VLOOKUP('Données projet'!$B$12,Paramètres!$A$1:$I$89,3,0)*VLOOKUP('Données projet'!$B$12,Paramètres!$A$1:$I$89,5,0)</f>
        <v>214.22988888888915</v>
      </c>
      <c r="CA75" s="13">
        <f t="shared" si="93"/>
        <v>52.858847294468234</v>
      </c>
      <c r="CB75" s="20">
        <f t="shared" si="64"/>
        <v>465.17954885268068</v>
      </c>
      <c r="CC75" s="59">
        <f t="shared" si="65"/>
        <v>758.51288218601394</v>
      </c>
      <c r="CD75" s="59">
        <f ca="1">AVERAGE(OFFSET($CC$3,0,0,'Données projet'!$E$12+1,1))-AVERAGE(OFFSET($H$3,0,0,'Données projet'!$E$12+1,1))</f>
        <v>312.29056285877169</v>
      </c>
      <c r="CE75" s="59">
        <f t="shared" si="94"/>
        <v>233.85454224241693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24.990025536680342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24.990025536680342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5.6899038461538431</v>
      </c>
      <c r="CT75" s="12">
        <f>IF('Données projet'!$A$140&gt;35,CT74+CS75-DB74,IF(A75&lt;'Données projet'!$A$140,$CQ$205^A75,IF(A75='Données projet'!$A$140,'Données projet'!$B$140,CT74+CS75-DB74)))</f>
        <v>164.31490384615381</v>
      </c>
      <c r="CU75" s="17">
        <f>CT75*VLOOKUP('Données projet'!$B$13,Paramètres!$A$1:$I$89,3,0)*VLOOKUP('Données projet'!$B$13,Paramètres!$A$1:$I$89,5,0)</f>
        <v>187.12181249999998</v>
      </c>
      <c r="CV75" s="13">
        <f t="shared" si="95"/>
        <v>46.903062264839313</v>
      </c>
      <c r="CW75" s="20">
        <f t="shared" si="67"/>
        <v>407.59332354876182</v>
      </c>
      <c r="CX75" s="59">
        <f t="shared" si="68"/>
        <v>700.92665688209513</v>
      </c>
      <c r="CY75" s="59">
        <f ca="1">AVERAGE(OFFSET($CX$3,0,0,'Données projet'!$E$13+1,1))-AVERAGE(OFFSET($H$3,0,0,'Données projet'!$E$13+1,1))</f>
        <v>292.22737648725354</v>
      </c>
      <c r="CZ75" s="59">
        <f t="shared" si="96"/>
        <v>182.84038581199871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5.6899038461538431</v>
      </c>
      <c r="DO75" s="12">
        <f>IF('Données projet'!$A$166&gt;35,DO74+DN75-DW74,IF(A75&lt;'Données projet'!$A$166,$DL$205^A75,IF(A75='Données projet'!$A$166,'Données projet'!$B$166,DO74+DN75-DW74)))</f>
        <v>164.31490384615381</v>
      </c>
      <c r="DP75" s="17">
        <f>DO75*VLOOKUP('Données projet'!$B$14,Paramètres!$A$1:$I$89,3,0)*VLOOKUP('Données projet'!$B$14,Paramètres!$A$1:$I$89,5,0)</f>
        <v>179.43187499999996</v>
      </c>
      <c r="DQ75" s="13">
        <f t="shared" si="97"/>
        <v>45.195765575426975</v>
      </c>
      <c r="DR75" s="20">
        <f t="shared" si="70"/>
        <v>391.22647400220194</v>
      </c>
      <c r="DS75" s="59">
        <f t="shared" si="71"/>
        <v>684.5598073355352</v>
      </c>
      <c r="DT75" s="59">
        <f ca="1">AVERAGE(OFFSET($DS$3,0,0,'Données projet'!$E$14+1,1))-AVERAGE(OFFSET($H$3,0,0,'Données projet'!$E$14+1,1))</f>
        <v>276.52126514622455</v>
      </c>
      <c r="DU75" s="59">
        <f t="shared" si="98"/>
        <v>173.98404849503186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5.6899038461538431</v>
      </c>
      <c r="EJ75" s="12">
        <f>IF('Données projet'!$A$192&gt;35,EJ74+EI75-ER74,IF(A75&lt;'Données projet'!$A$192,$EG$205^A75,IF(A75='Données projet'!$A$192,'Données projet'!$B$192,EJ74+EI75-ER74)))</f>
        <v>164.31490384615381</v>
      </c>
      <c r="EK75" s="17">
        <f>EJ75*VLOOKUP('Données projet'!$B$15,Paramètres!$A$1:$I$89,3,0)*VLOOKUP('Données projet'!$B$15,Paramètres!$A$1:$I$89,5,0)</f>
        <v>158.92537499999997</v>
      </c>
      <c r="EL75" s="13">
        <f t="shared" si="99"/>
        <v>40.600035753736599</v>
      </c>
      <c r="EM75" s="20">
        <f t="shared" si="73"/>
        <v>347.5067570627578</v>
      </c>
      <c r="EN75" s="59">
        <f t="shared" si="74"/>
        <v>640.84009039609111</v>
      </c>
      <c r="EO75" s="59">
        <f ca="1">AVERAGE(OFFSET($EN$3,0,0,'Données projet'!$E$15+1,1))-AVERAGE(OFFSET($H$3,0,0,'Données projet'!$E$15+1,1))</f>
        <v>234.56750794375012</v>
      </c>
      <c r="EP75" s="59">
        <f t="shared" si="100"/>
        <v>150.32420541314724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12.913461538461533</v>
      </c>
      <c r="N76" s="13">
        <f>IF('Données projet'!$A$36&gt;35,N75+M76-V75,IF(A76&lt;'Données projet'!$A$36,$K$205^A76,IF(A76='Données projet'!$A$36,'Données projet'!$B$36,N75+M76-V75)))</f>
        <v>359.38076923076932</v>
      </c>
      <c r="O76" s="13">
        <f>N76*VLOOKUP('Données projet'!$B$9,Paramètres!$A$1:$I$89,3,0)*VLOOKUP('Données projet'!$B$9,Paramètres!$A$1:$I$89,5,0)</f>
        <v>168.19020000000003</v>
      </c>
      <c r="P76" s="13">
        <f t="shared" si="87"/>
        <v>42.684436447240749</v>
      </c>
      <c r="Q76" s="20">
        <f t="shared" si="54"/>
        <v>367.27332514561107</v>
      </c>
      <c r="R76" s="59">
        <f t="shared" si="55"/>
        <v>660.60665847894438</v>
      </c>
      <c r="S76" s="59">
        <f ca="1">AVERAGE(OFFSET($R$3,0,0,'Données projet'!$E$9+1,1))-AVERAGE(OFFSET($H$3,0,0,'Données projet'!$E$9+1,1))</f>
        <v>198.17898804494365</v>
      </c>
      <c r="T76" s="59">
        <f t="shared" si="88"/>
        <v>186.24772922797723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58.877000974069645</v>
      </c>
      <c r="AA76" s="21">
        <f>EXP(-LN(2)/25)*AA75+(1-EXP(-LN(2)/25))/(LN(2)/25)*Calculateur!V76*Calculateur!X76*VLOOKUP('Données projet'!$B$9,Paramètres!$A$1:$I$89,3,0)*0.475*44/12</f>
        <v>27.298584393829763</v>
      </c>
      <c r="AB76" s="21">
        <f>EXP(-LN(2)/2)*AB75+(1-EXP(-LN(2)/2))/(LN(2)/2)*V76*Y76*VLOOKUP('Données projet'!$B$9,Paramètres!$A$1:$I$89,3,0)*0.475*44/12</f>
        <v>2.9838162129246326</v>
      </c>
      <c r="AC76" s="22">
        <f t="shared" si="57"/>
        <v>89.159401580824039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278.21846622758881</v>
      </c>
      <c r="AO76" s="59">
        <f t="shared" si="90"/>
        <v>245.37578316242906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7.8425925925925934</v>
      </c>
      <c r="BD76" s="12">
        <f>IF('Données projet'!$A$88&gt;35,BD75+BC76-BL75,IF(A76&lt;'Données projet'!$A$88,$BA$205^A76,IF(A76='Données projet'!$A$88,'Données projet'!$B$88,BD75+BC76-BL75)))</f>
        <v>219.1146723646726</v>
      </c>
      <c r="BE76" s="13">
        <f>BD76*VLOOKUP('Données projet'!$B$11,Paramètres!$A$1:$I$89,3,0)*VLOOKUP('Données projet'!$B$11,Paramètres!$A$1:$I$89,5,0)</f>
        <v>198.25495555555577</v>
      </c>
      <c r="BF76" s="13">
        <f t="shared" si="91"/>
        <v>49.360464390082804</v>
      </c>
      <c r="BG76" s="20">
        <f t="shared" si="61"/>
        <v>431.26352307198721</v>
      </c>
      <c r="BH76" s="59">
        <f t="shared" si="62"/>
        <v>724.59685640532052</v>
      </c>
      <c r="BI76" s="59">
        <f ca="1">AVERAGE(OFFSET($BH$3,0,0,'Données projet'!$E$11+1,1))-AVERAGE(OFFSET($H$3,0,0,'Données projet'!$E$11+1,1))</f>
        <v>270.87836509222456</v>
      </c>
      <c r="BJ76" s="59">
        <f t="shared" si="92"/>
        <v>205.24998237949734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21.861526306805541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21.861526306805541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7.8425925925925934</v>
      </c>
      <c r="BY76" s="12">
        <f>IF('Données projet'!$A$114&gt;35,BY75+BX76-CG75,IF(A76&lt;'Données projet'!$A$114,$BV$205^A76,IF(A76='Données projet'!$A$114,'Données projet'!$B$114,BY75+BX76-CG75)))</f>
        <v>219.1146723646726</v>
      </c>
      <c r="BZ76" s="13">
        <f>BY76*VLOOKUP('Données projet'!$B$12,Paramètres!$A$1:$I$89,3,0)*VLOOKUP('Données projet'!$B$12,Paramètres!$A$1:$I$89,5,0)</f>
        <v>222.18227777777804</v>
      </c>
      <c r="CA76" s="13">
        <f t="shared" si="93"/>
        <v>54.588920195757851</v>
      </c>
      <c r="CB76" s="20">
        <f t="shared" si="64"/>
        <v>482.04316980390831</v>
      </c>
      <c r="CC76" s="59">
        <f t="shared" si="65"/>
        <v>775.37650313724157</v>
      </c>
      <c r="CD76" s="59">
        <f ca="1">AVERAGE(OFFSET($CC$3,0,0,'Données projet'!$E$12+1,1))-AVERAGE(OFFSET($H$3,0,0,'Données projet'!$E$12+1,1))</f>
        <v>312.29056285877169</v>
      </c>
      <c r="CE76" s="59">
        <f t="shared" si="94"/>
        <v>233.85454224241693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24.499986378316557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24.499986378316557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5.6899038461538431</v>
      </c>
      <c r="CT76" s="12">
        <f>IF('Données projet'!$A$140&gt;35,CT75+CS76-DB75,IF(A76&lt;'Données projet'!$A$140,$CQ$205^A76,IF(A76='Données projet'!$A$140,'Données projet'!$B$140,CT75+CS76-DB75)))</f>
        <v>170.00480769230765</v>
      </c>
      <c r="CU76" s="17">
        <f>CT76*VLOOKUP('Données projet'!$B$13,Paramètres!$A$1:$I$89,3,0)*VLOOKUP('Données projet'!$B$13,Paramètres!$A$1:$I$89,5,0)</f>
        <v>193.60147499999997</v>
      </c>
      <c r="CV76" s="13">
        <f t="shared" si="95"/>
        <v>48.335315576462449</v>
      </c>
      <c r="CW76" s="20">
        <f t="shared" si="67"/>
        <v>421.37324358733872</v>
      </c>
      <c r="CX76" s="59">
        <f t="shared" si="68"/>
        <v>714.70657692067198</v>
      </c>
      <c r="CY76" s="59">
        <f ca="1">AVERAGE(OFFSET($CX$3,0,0,'Données projet'!$E$13+1,1))-AVERAGE(OFFSET($H$3,0,0,'Données projet'!$E$13+1,1))</f>
        <v>292.22737648725354</v>
      </c>
      <c r="CZ76" s="59">
        <f t="shared" si="96"/>
        <v>182.84038581199871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5.6899038461538431</v>
      </c>
      <c r="DO76" s="12">
        <f>IF('Données projet'!$A$166&gt;35,DO75+DN76-DW75,IF(A76&lt;'Données projet'!$A$166,$DL$205^A76,IF(A76='Données projet'!$A$166,'Données projet'!$B$166,DO75+DN76-DW75)))</f>
        <v>170.00480769230765</v>
      </c>
      <c r="DP76" s="17">
        <f>DO76*VLOOKUP('Données projet'!$B$14,Paramètres!$A$1:$I$89,3,0)*VLOOKUP('Données projet'!$B$14,Paramètres!$A$1:$I$89,5,0)</f>
        <v>185.64524999999995</v>
      </c>
      <c r="DQ76" s="13">
        <f t="shared" si="97"/>
        <v>46.575884096286885</v>
      </c>
      <c r="DR76" s="20">
        <f t="shared" si="70"/>
        <v>404.45180855103291</v>
      </c>
      <c r="DS76" s="59">
        <f t="shared" si="71"/>
        <v>697.78514188436623</v>
      </c>
      <c r="DT76" s="59">
        <f ca="1">AVERAGE(OFFSET($DS$3,0,0,'Données projet'!$E$14+1,1))-AVERAGE(OFFSET($H$3,0,0,'Données projet'!$E$14+1,1))</f>
        <v>276.52126514622455</v>
      </c>
      <c r="DU76" s="59">
        <f t="shared" si="98"/>
        <v>173.98404849503186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5.6899038461538431</v>
      </c>
      <c r="EJ76" s="12">
        <f>IF('Données projet'!$A$192&gt;35,EJ75+EI76-ER75,IF(A76&lt;'Données projet'!$A$192,$EG$205^A76,IF(A76='Données projet'!$A$192,'Données projet'!$B$192,EJ75+EI76-ER75)))</f>
        <v>170.00480769230765</v>
      </c>
      <c r="EK76" s="17">
        <f>EJ76*VLOOKUP('Données projet'!$B$15,Paramètres!$A$1:$I$89,3,0)*VLOOKUP('Données projet'!$B$15,Paramètres!$A$1:$I$89,5,0)</f>
        <v>164.42864999999995</v>
      </c>
      <c r="EL76" s="13">
        <f t="shared" si="99"/>
        <v>41.839816971687064</v>
      </c>
      <c r="EM76" s="20">
        <f t="shared" si="73"/>
        <v>359.25091330902154</v>
      </c>
      <c r="EN76" s="59">
        <f t="shared" si="74"/>
        <v>652.58424664235486</v>
      </c>
      <c r="EO76" s="59">
        <f ca="1">AVERAGE(OFFSET($EN$3,0,0,'Données projet'!$E$15+1,1))-AVERAGE(OFFSET($H$3,0,0,'Données projet'!$E$15+1,1))</f>
        <v>234.56750794375012</v>
      </c>
      <c r="EP76" s="59">
        <f t="shared" si="100"/>
        <v>150.32420541314724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12.913461538461533</v>
      </c>
      <c r="N77" s="13">
        <f>IF('Données projet'!$A$36&gt;35,N76+M77-V76,IF(A77&lt;'Données projet'!$A$36,$K$205^A77,IF(A77='Données projet'!$A$36,'Données projet'!$B$36,N76+M77-V76)))</f>
        <v>372.29423076923086</v>
      </c>
      <c r="O77" s="13">
        <f>N77*VLOOKUP('Données projet'!$B$9,Paramètres!$A$1:$I$89,3,0)*VLOOKUP('Données projet'!$B$9,Paramètres!$A$1:$I$89,5,0)</f>
        <v>174.23370000000006</v>
      </c>
      <c r="P77" s="13">
        <f t="shared" si="87"/>
        <v>44.036869769028705</v>
      </c>
      <c r="Q77" s="20">
        <f t="shared" si="54"/>
        <v>380.15457568105836</v>
      </c>
      <c r="R77" s="59">
        <f t="shared" si="55"/>
        <v>673.48790901439168</v>
      </c>
      <c r="S77" s="59">
        <f ca="1">AVERAGE(OFFSET($R$3,0,0,'Données projet'!$E$9+1,1))-AVERAGE(OFFSET($H$3,0,0,'Données projet'!$E$9+1,1))</f>
        <v>198.17898804494365</v>
      </c>
      <c r="T77" s="59">
        <f t="shared" si="88"/>
        <v>186.24772922797723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57.722458896392773</v>
      </c>
      <c r="AA77" s="21">
        <f>EXP(-LN(2)/25)*AA76+(1-EXP(-LN(2)/25))/(LN(2)/25)*Calculateur!V77*Calculateur!X77*VLOOKUP('Données projet'!$B$9,Paramètres!$A$1:$I$89,3,0)*0.475*44/12</f>
        <v>26.552103168010326</v>
      </c>
      <c r="AB77" s="21">
        <f>EXP(-LN(2)/2)*AB76+(1-EXP(-LN(2)/2))/(LN(2)/2)*V77*Y77*VLOOKUP('Données projet'!$B$9,Paramètres!$A$1:$I$89,3,0)*0.475*44/12</f>
        <v>2.1098766779733711</v>
      </c>
      <c r="AC77" s="22">
        <f t="shared" si="57"/>
        <v>86.384438742376474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278.21846622758881</v>
      </c>
      <c r="AO77" s="59">
        <f t="shared" si="90"/>
        <v>245.37578316242906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7.8425925925925934</v>
      </c>
      <c r="BD77" s="12">
        <f>IF('Données projet'!$A$88&gt;35,BD76+BC77-BL76,IF(A77&lt;'Données projet'!$A$88,$BA$205^A77,IF(A77='Données projet'!$A$88,'Données projet'!$B$88,BD76+BC77-BL76)))</f>
        <v>226.95726495726518</v>
      </c>
      <c r="BE77" s="13">
        <f>BD77*VLOOKUP('Données projet'!$B$11,Paramètres!$A$1:$I$89,3,0)*VLOOKUP('Données projet'!$B$11,Paramètres!$A$1:$I$89,5,0)</f>
        <v>205.35093333333353</v>
      </c>
      <c r="BF77" s="13">
        <f t="shared" si="91"/>
        <v>50.91832775961656</v>
      </c>
      <c r="BG77" s="20">
        <f t="shared" si="61"/>
        <v>446.33562973688805</v>
      </c>
      <c r="BH77" s="59">
        <f t="shared" si="62"/>
        <v>739.66896307022137</v>
      </c>
      <c r="BI77" s="59">
        <f ca="1">AVERAGE(OFFSET($BH$3,0,0,'Données projet'!$E$11+1,1))-AVERAGE(OFFSET($H$3,0,0,'Données projet'!$E$11+1,1))</f>
        <v>270.87836509222456</v>
      </c>
      <c r="BJ77" s="59">
        <f t="shared" si="92"/>
        <v>205.24998237949734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21.432835110143486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21.432835110143486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7.8425925925925934</v>
      </c>
      <c r="BY77" s="12">
        <f>IF('Données projet'!$A$114&gt;35,BY76+BX77-CG76,IF(A77&lt;'Données projet'!$A$114,$BV$205^A77,IF(A77='Données projet'!$A$114,'Données projet'!$B$114,BY76+BX77-CG76)))</f>
        <v>226.95726495726518</v>
      </c>
      <c r="BZ77" s="13">
        <f>BY77*VLOOKUP('Données projet'!$B$12,Paramètres!$A$1:$I$89,3,0)*VLOOKUP('Données projet'!$B$12,Paramètres!$A$1:$I$89,5,0)</f>
        <v>230.13466666666693</v>
      </c>
      <c r="CA77" s="13">
        <f t="shared" si="93"/>
        <v>56.311798620954782</v>
      </c>
      <c r="CB77" s="20">
        <f t="shared" si="64"/>
        <v>498.89426037594109</v>
      </c>
      <c r="CC77" s="59">
        <f t="shared" si="65"/>
        <v>792.2275937092744</v>
      </c>
      <c r="CD77" s="59">
        <f ca="1">AVERAGE(OFFSET($CC$3,0,0,'Données projet'!$E$12+1,1))-AVERAGE(OFFSET($H$3,0,0,'Données projet'!$E$12+1,1))</f>
        <v>312.29056285877169</v>
      </c>
      <c r="CE77" s="59">
        <f t="shared" si="94"/>
        <v>233.85454224241693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24.019556588953911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24.019556588953911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5.6899038461538431</v>
      </c>
      <c r="CT77" s="12">
        <f>IF('Données projet'!$A$140&gt;35,CT76+CS77-DB76,IF(A77&lt;'Données projet'!$A$140,$CQ$205^A77,IF(A77='Données projet'!$A$140,'Données projet'!$B$140,CT76+CS77-DB76)))</f>
        <v>175.69471153846149</v>
      </c>
      <c r="CU77" s="17">
        <f>CT77*VLOOKUP('Données projet'!$B$13,Paramètres!$A$1:$I$89,3,0)*VLOOKUP('Données projet'!$B$13,Paramètres!$A$1:$I$89,5,0)</f>
        <v>200.08113749999995</v>
      </c>
      <c r="CV77" s="13">
        <f t="shared" si="95"/>
        <v>49.761998871137521</v>
      </c>
      <c r="CW77" s="20">
        <f t="shared" si="67"/>
        <v>435.14346251306438</v>
      </c>
      <c r="CX77" s="59">
        <f t="shared" si="68"/>
        <v>728.47679584639764</v>
      </c>
      <c r="CY77" s="59">
        <f ca="1">AVERAGE(OFFSET($CX$3,0,0,'Données projet'!$E$13+1,1))-AVERAGE(OFFSET($H$3,0,0,'Données projet'!$E$13+1,1))</f>
        <v>292.22737648725354</v>
      </c>
      <c r="CZ77" s="59">
        <f t="shared" si="96"/>
        <v>182.84038581199871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5.6899038461538431</v>
      </c>
      <c r="DO77" s="12">
        <f>IF('Données projet'!$A$166&gt;35,DO76+DN77-DW76,IF(A77&lt;'Données projet'!$A$166,$DL$205^A77,IF(A77='Données projet'!$A$166,'Données projet'!$B$166,DO76+DN77-DW76)))</f>
        <v>175.69471153846149</v>
      </c>
      <c r="DP77" s="17">
        <f>DO77*VLOOKUP('Données projet'!$B$14,Paramètres!$A$1:$I$89,3,0)*VLOOKUP('Données projet'!$B$14,Paramètres!$A$1:$I$89,5,0)</f>
        <v>191.85862499999993</v>
      </c>
      <c r="DQ77" s="13">
        <f t="shared" si="97"/>
        <v>47.950635351810931</v>
      </c>
      <c r="DR77" s="20">
        <f t="shared" si="70"/>
        <v>417.66779511273722</v>
      </c>
      <c r="DS77" s="59">
        <f t="shared" si="71"/>
        <v>711.00112844607054</v>
      </c>
      <c r="DT77" s="59">
        <f ca="1">AVERAGE(OFFSET($DS$3,0,0,'Données projet'!$E$14+1,1))-AVERAGE(OFFSET($H$3,0,0,'Données projet'!$E$14+1,1))</f>
        <v>276.52126514622455</v>
      </c>
      <c r="DU77" s="59">
        <f t="shared" si="98"/>
        <v>173.98404849503186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5.6899038461538431</v>
      </c>
      <c r="EJ77" s="12">
        <f>IF('Données projet'!$A$192&gt;35,EJ76+EI77-ER76,IF(A77&lt;'Données projet'!$A$192,$EG$205^A77,IF(A77='Données projet'!$A$192,'Données projet'!$B$192,EJ76+EI77-ER76)))</f>
        <v>175.69471153846149</v>
      </c>
      <c r="EK77" s="17">
        <f>EJ77*VLOOKUP('Données projet'!$B$15,Paramètres!$A$1:$I$89,3,0)*VLOOKUP('Données projet'!$B$15,Paramètres!$A$1:$I$89,5,0)</f>
        <v>169.93192499999995</v>
      </c>
      <c r="EL77" s="13">
        <f t="shared" si="99"/>
        <v>43.074776694487269</v>
      </c>
      <c r="EM77" s="20">
        <f t="shared" si="73"/>
        <v>370.98667211789854</v>
      </c>
      <c r="EN77" s="59">
        <f t="shared" si="74"/>
        <v>664.32000545123185</v>
      </c>
      <c r="EO77" s="59">
        <f ca="1">AVERAGE(OFFSET($EN$3,0,0,'Données projet'!$E$15+1,1))-AVERAGE(OFFSET($H$3,0,0,'Données projet'!$E$15+1,1))</f>
        <v>234.56750794375012</v>
      </c>
      <c r="EP77" s="59">
        <f t="shared" si="100"/>
        <v>150.32420541314724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12.913461538461533</v>
      </c>
      <c r="N78" s="13">
        <f>IF('Données projet'!$A$36&gt;35,N77+M78-V77,IF(A78&lt;'Données projet'!$A$36,$K$205^A78,IF(A78='Données projet'!$A$36,'Données projet'!$B$36,N77+M78-V77)))</f>
        <v>385.20769230769241</v>
      </c>
      <c r="O78" s="13">
        <f>N78*VLOOKUP('Données projet'!$B$9,Paramètres!$A$1:$I$89,3,0)*VLOOKUP('Données projet'!$B$9,Paramètres!$A$1:$I$89,5,0)</f>
        <v>180.27720000000005</v>
      </c>
      <c r="P78" s="13">
        <f t="shared" si="87"/>
        <v>45.383852535093837</v>
      </c>
      <c r="Q78" s="20">
        <f t="shared" si="54"/>
        <v>393.02633316528846</v>
      </c>
      <c r="R78" s="59">
        <f t="shared" si="55"/>
        <v>686.35966649862178</v>
      </c>
      <c r="S78" s="59">
        <f ca="1">AVERAGE(OFFSET($R$3,0,0,'Données projet'!$E$9+1,1))-AVERAGE(OFFSET($H$3,0,0,'Données projet'!$E$9+1,1))</f>
        <v>198.17898804494365</v>
      </c>
      <c r="T78" s="59">
        <f t="shared" si="88"/>
        <v>186.24772922797723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56.590556684658011</v>
      </c>
      <c r="AA78" s="21">
        <f>EXP(-LN(2)/25)*AA77+(1-EXP(-LN(2)/25))/(LN(2)/25)*Calculateur!V78*Calculateur!X78*VLOOKUP('Données projet'!$B$9,Paramètres!$A$1:$I$89,3,0)*0.475*44/12</f>
        <v>25.826034510566664</v>
      </c>
      <c r="AB78" s="21">
        <f>EXP(-LN(2)/2)*AB77+(1-EXP(-LN(2)/2))/(LN(2)/2)*V78*Y78*VLOOKUP('Données projet'!$B$9,Paramètres!$A$1:$I$89,3,0)*0.475*44/12</f>
        <v>1.4919081064623163</v>
      </c>
      <c r="AC78" s="22">
        <f t="shared" si="57"/>
        <v>83.908499301686987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278.21846622758881</v>
      </c>
      <c r="AO78" s="59">
        <f t="shared" si="90"/>
        <v>245.37578316242906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7.8425925925925934</v>
      </c>
      <c r="BD78" s="12">
        <f>IF('Données projet'!$A$88&gt;35,BD77+BC78-BL77,IF(A78&lt;'Données projet'!$A$88,$BA$205^A78,IF(A78='Données projet'!$A$88,'Données projet'!$B$88,BD77+BC78-BL77)))</f>
        <v>234.79985754985776</v>
      </c>
      <c r="BE78" s="13">
        <f>BD78*VLOOKUP('Données projet'!$B$11,Paramètres!$A$1:$I$89,3,0)*VLOOKUP('Données projet'!$B$11,Paramètres!$A$1:$I$89,5,0)</f>
        <v>212.44691111111132</v>
      </c>
      <c r="BF78" s="13">
        <f t="shared" si="91"/>
        <v>52.469936290697497</v>
      </c>
      <c r="BG78" s="20">
        <f t="shared" si="61"/>
        <v>461.39684255815035</v>
      </c>
      <c r="BH78" s="59">
        <f t="shared" si="62"/>
        <v>754.73017589148367</v>
      </c>
      <c r="BI78" s="59">
        <f ca="1">AVERAGE(OFFSET($BH$3,0,0,'Données projet'!$E$11+1,1))-AVERAGE(OFFSET($H$3,0,0,'Données projet'!$E$11+1,1))</f>
        <v>270.87836509222456</v>
      </c>
      <c r="BJ78" s="59">
        <f t="shared" si="92"/>
        <v>205.24998237949734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21.012550286372164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21.012550286372164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7.8425925925925934</v>
      </c>
      <c r="BY78" s="12">
        <f>IF('Données projet'!$A$114&gt;35,BY77+BX78-CG77,IF(A78&lt;'Données projet'!$A$114,$BV$205^A78,IF(A78='Données projet'!$A$114,'Données projet'!$B$114,BY77+BX78-CG77)))</f>
        <v>234.79985754985776</v>
      </c>
      <c r="BZ78" s="13">
        <f>BY78*VLOOKUP('Données projet'!$B$12,Paramètres!$A$1:$I$89,3,0)*VLOOKUP('Données projet'!$B$12,Paramètres!$A$1:$I$89,5,0)</f>
        <v>238.08705555555576</v>
      </c>
      <c r="CA78" s="13">
        <f t="shared" si="93"/>
        <v>58.027759670447097</v>
      </c>
      <c r="CB78" s="20">
        <f t="shared" si="64"/>
        <v>515.73330318528826</v>
      </c>
      <c r="CC78" s="59">
        <f t="shared" si="65"/>
        <v>809.06663651862164</v>
      </c>
      <c r="CD78" s="59">
        <f ca="1">AVERAGE(OFFSET($CC$3,0,0,'Données projet'!$E$12+1,1))-AVERAGE(OFFSET($H$3,0,0,'Données projet'!$E$12+1,1))</f>
        <v>312.29056285877169</v>
      </c>
      <c r="CE78" s="59">
        <f t="shared" si="94"/>
        <v>233.85454224241693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23.548547734727428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23.548547734727428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181.38461538461536</v>
      </c>
      <c r="CR78" s="12">
        <f>VLOOKUP(A78,'Données projet'!$A$139:$I$159,9,0)</f>
        <v>5.6899038461538431</v>
      </c>
      <c r="CS78" s="12">
        <f t="array" ref="CS78">INDEX(CR:CR,MIN(IF(ISNUMBER(CR78:CR274),ROW(CR78:CR274),"")))</f>
        <v>5.6899038461538431</v>
      </c>
      <c r="CT78" s="12">
        <f>IF('Données projet'!$A$140&gt;35,CT77+CS78-DB77,IF(A78&lt;'Données projet'!$A$140,$CQ$205^A78,IF(A78='Données projet'!$A$140,'Données projet'!$B$140,CT77+CS78-DB77)))</f>
        <v>181.38461538461533</v>
      </c>
      <c r="CU78" s="17">
        <f>CT78*VLOOKUP('Données projet'!$B$13,Paramètres!$A$1:$I$89,3,0)*VLOOKUP('Données projet'!$B$13,Paramètres!$A$1:$I$89,5,0)</f>
        <v>206.56079999999992</v>
      </c>
      <c r="CV78" s="13">
        <f t="shared" si="95"/>
        <v>51.183313224025305</v>
      </c>
      <c r="CW78" s="20">
        <f t="shared" si="67"/>
        <v>448.90433053184393</v>
      </c>
      <c r="CX78" s="59">
        <f t="shared" si="68"/>
        <v>742.23766386517718</v>
      </c>
      <c r="CY78" s="59">
        <f ca="1">AVERAGE(OFFSET($CX$3,0,0,'Données projet'!$E$13+1,1))-AVERAGE(OFFSET($H$3,0,0,'Données projet'!$E$13+1,1))</f>
        <v>292.22737648725354</v>
      </c>
      <c r="CZ78" s="59">
        <f t="shared" si="96"/>
        <v>182.84038581199871</v>
      </c>
      <c r="DA78" s="15">
        <f>IF(ISNA(VLOOKUP(A78,'Données projet'!$A$139:$I$159,3,0)),0,VLOOKUP(A78,'Données projet'!$A$139:$I$159,3,0))</f>
        <v>5</v>
      </c>
      <c r="DB78" s="15">
        <f>IF(ISNA(VLOOKUP(A78,'Données projet'!$A$139:$I$159,4,0)),0,VLOOKUP(A78,'Données projet'!$A$139:$I$159,4,0))</f>
        <v>30.916666666666664</v>
      </c>
      <c r="DC78" s="16">
        <f>IF(ISNA(VLOOKUP(A78,'Données projet'!$A$139:$I$159,5,0)),0%,VLOOKUP(A78,'Données projet'!$A$139:$I$159,5,0)*VLOOKUP('Données projet'!$B$13,Paramètres!$A$1:$I$89,7,0))</f>
        <v>0.30099999999999999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11.715308463243005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11.715308463243005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181.38461538461536</v>
      </c>
      <c r="DM78" s="12">
        <f>VLOOKUP(A78,'Données projet'!$A$165:$I$185,9,0)</f>
        <v>5.6899038461538431</v>
      </c>
      <c r="DN78" s="12">
        <f t="array" ref="DN78">INDEX(DM:DM,MIN(IF(ISNUMBER(DM78:DM274),ROW(DM78:DM274),"")))</f>
        <v>5.6899038461538431</v>
      </c>
      <c r="DO78" s="12">
        <f>IF('Données projet'!$A$166&gt;35,DO77+DN78-DW77,IF(A78&lt;'Données projet'!$A$166,$DL$205^A78,IF(A78='Données projet'!$A$166,'Données projet'!$B$166,DO77+DN78-DW77)))</f>
        <v>181.38461538461533</v>
      </c>
      <c r="DP78" s="17">
        <f>DO78*VLOOKUP('Données projet'!$B$14,Paramètres!$A$1:$I$89,3,0)*VLOOKUP('Données projet'!$B$14,Paramètres!$A$1:$I$89,5,0)</f>
        <v>198.07199999999992</v>
      </c>
      <c r="DQ78" s="13">
        <f t="shared" si="97"/>
        <v>49.320213097916032</v>
      </c>
      <c r="DR78" s="20">
        <f t="shared" si="70"/>
        <v>430.8747711455369</v>
      </c>
      <c r="DS78" s="59">
        <f t="shared" si="71"/>
        <v>724.20810447887015</v>
      </c>
      <c r="DT78" s="59">
        <f ca="1">AVERAGE(OFFSET($DS$3,0,0,'Données projet'!$E$14+1,1))-AVERAGE(OFFSET($H$3,0,0,'Données projet'!$E$14+1,1))</f>
        <v>276.52126514622455</v>
      </c>
      <c r="DU78" s="59">
        <f t="shared" si="98"/>
        <v>173.98404849503186</v>
      </c>
      <c r="DV78" s="15">
        <f>IF(ISNA(VLOOKUP(A78,'Données projet'!$A$165:$I$185,3,0)),0,VLOOKUP(A78,'Données projet'!$A$165:$I$185,3,0))</f>
        <v>5</v>
      </c>
      <c r="DW78" s="15">
        <f>IF(ISNA(VLOOKUP(A78,'Données projet'!$A$165:$I$185,4,0)),0,VLOOKUP(A78,'Données projet'!$A$165:$I$185,4,0))</f>
        <v>30.916666666666664</v>
      </c>
      <c r="DX78" s="16">
        <f>IF(ISNA(VLOOKUP(A78,'Données projet'!$A$165:$I$185,5,0)),0%,VLOOKUP(A78,'Données projet'!$A$165:$I$185,5,0)*VLOOKUP('Données projet'!$B$14,Paramètres!$A$1:$I$89,7,0))</f>
        <v>0.30099999999999999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11.233857430506989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11.233857430506989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181.38461538461536</v>
      </c>
      <c r="EH78" s="12">
        <f>VLOOKUP(A78,'Données projet'!$A$191:$I$211,9,0)</f>
        <v>5.6899038461538431</v>
      </c>
      <c r="EI78" s="12">
        <f t="array" ref="EI78">INDEX(EH:EH,MIN(IF(ISNUMBER(EH78:EH274),ROW(EH78:EH274),"")))</f>
        <v>5.6899038461538431</v>
      </c>
      <c r="EJ78" s="12">
        <f>IF('Données projet'!$A$192&gt;35,EJ77+EI78-ER77,IF(A78&lt;'Données projet'!$A$192,$EG$205^A78,IF(A78='Données projet'!$A$192,'Données projet'!$B$192,EJ77+EI78-ER77)))</f>
        <v>181.38461538461533</v>
      </c>
      <c r="EK78" s="17">
        <f>EJ78*VLOOKUP('Données projet'!$B$15,Paramètres!$A$1:$I$89,3,0)*VLOOKUP('Données projet'!$B$15,Paramètres!$A$1:$I$89,5,0)</f>
        <v>175.43519999999995</v>
      </c>
      <c r="EL78" s="13">
        <f t="shared" si="99"/>
        <v>44.305088975990508</v>
      </c>
      <c r="EM78" s="20">
        <f t="shared" si="73"/>
        <v>382.71433663318339</v>
      </c>
      <c r="EN78" s="59">
        <f t="shared" si="74"/>
        <v>676.04766996651665</v>
      </c>
      <c r="EO78" s="59">
        <f ca="1">AVERAGE(OFFSET($EN$3,0,0,'Données projet'!$E$15+1,1))-AVERAGE(OFFSET($H$3,0,0,'Données projet'!$E$15+1,1))</f>
        <v>234.56750794375012</v>
      </c>
      <c r="EP78" s="59">
        <f t="shared" si="100"/>
        <v>150.32420541314724</v>
      </c>
      <c r="EQ78" s="15">
        <f>IF(ISNA(VLOOKUP(A78,'Données projet'!$A$191:$I$211,3,0)),0,VLOOKUP(A78,'Données projet'!$A$191:$I$211,3,0))</f>
        <v>5</v>
      </c>
      <c r="ER78" s="15">
        <f>IF(ISNA(VLOOKUP(A78,'Données projet'!$A$191:$I$211,4,0)),0,VLOOKUP(A78,'Données projet'!$A$191:$I$211,4,0))</f>
        <v>30.916666666666664</v>
      </c>
      <c r="ES78" s="16">
        <f>IF(ISNA(VLOOKUP(A78,'Données projet'!$A$191:$I$211,5,0)),0%,VLOOKUP(A78,'Données projet'!$A$191:$I$211,5,0)*VLOOKUP('Données projet'!$B$15,Paramètres!$A$1:$I$89,7,0))</f>
        <v>0.30099999999999999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9.9499880098776199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9.9499880098776199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12.913461538461533</v>
      </c>
      <c r="N79" s="13">
        <f>IF('Données projet'!$A$36&gt;35,N78+M79-V78,IF(A79&lt;'Données projet'!$A$36,$K$205^A79,IF(A79='Données projet'!$A$36,'Données projet'!$B$36,N78+M79-V78)))</f>
        <v>398.12115384615396</v>
      </c>
      <c r="O79" s="13">
        <f>N79*VLOOKUP('Données projet'!$B$9,Paramètres!$A$1:$I$89,3,0)*VLOOKUP('Données projet'!$B$9,Paramètres!$A$1:$I$89,5,0)</f>
        <v>186.32070000000004</v>
      </c>
      <c r="P79" s="13">
        <f t="shared" si="87"/>
        <v>46.725588415193215</v>
      </c>
      <c r="Q79" s="20">
        <f t="shared" si="54"/>
        <v>405.88895232312825</v>
      </c>
      <c r="R79" s="59">
        <f t="shared" si="55"/>
        <v>699.22228565646151</v>
      </c>
      <c r="S79" s="59">
        <f ca="1">AVERAGE(OFFSET($R$3,0,0,'Données projet'!$E$9+1,1))-AVERAGE(OFFSET($H$3,0,0,'Données projet'!$E$9+1,1))</f>
        <v>198.17898804494365</v>
      </c>
      <c r="T79" s="59">
        <f t="shared" si="88"/>
        <v>186.24772922797723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55.480850384903192</v>
      </c>
      <c r="AA79" s="21">
        <f>EXP(-LN(2)/25)*AA78+(1-EXP(-LN(2)/25))/(LN(2)/25)*Calculateur!V79*Calculateur!X79*VLOOKUP('Données projet'!$B$9,Paramètres!$A$1:$I$89,3,0)*0.475*44/12</f>
        <v>25.119820238743092</v>
      </c>
      <c r="AB79" s="21">
        <f>EXP(-LN(2)/2)*AB78+(1-EXP(-LN(2)/2))/(LN(2)/2)*V79*Y79*VLOOKUP('Données projet'!$B$9,Paramètres!$A$1:$I$89,3,0)*0.475*44/12</f>
        <v>1.0549383389866855</v>
      </c>
      <c r="AC79" s="22">
        <f t="shared" si="57"/>
        <v>81.655608962632968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278.21846622758881</v>
      </c>
      <c r="AO79" s="59">
        <f t="shared" si="90"/>
        <v>245.37578316242906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7.8425925925925934</v>
      </c>
      <c r="BD79" s="12">
        <f>IF('Données projet'!$A$88&gt;35,BD78+BC79-BL78,IF(A79&lt;'Données projet'!$A$88,$BA$205^A79,IF(A79='Données projet'!$A$88,'Données projet'!$B$88,BD78+BC79-BL78)))</f>
        <v>242.64245014245034</v>
      </c>
      <c r="BE79" s="13">
        <f>BD79*VLOOKUP('Données projet'!$B$11,Paramètres!$A$1:$I$89,3,0)*VLOOKUP('Données projet'!$B$11,Paramètres!$A$1:$I$89,5,0)</f>
        <v>219.54288888888908</v>
      </c>
      <c r="BF79" s="13">
        <f t="shared" si="91"/>
        <v>54.015522855627488</v>
      </c>
      <c r="BG79" s="20">
        <f t="shared" si="61"/>
        <v>476.44756712169959</v>
      </c>
      <c r="BH79" s="59">
        <f t="shared" si="62"/>
        <v>769.78090045503291</v>
      </c>
      <c r="BI79" s="59">
        <f ca="1">AVERAGE(OFFSET($BH$3,0,0,'Données projet'!$E$11+1,1))-AVERAGE(OFFSET($H$3,0,0,'Données projet'!$E$11+1,1))</f>
        <v>270.87836509222456</v>
      </c>
      <c r="BJ79" s="59">
        <f t="shared" si="92"/>
        <v>205.24998237949734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20.600506991646569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20.600506991646569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7.8425925925925934</v>
      </c>
      <c r="BY79" s="12">
        <f>IF('Données projet'!$A$114&gt;35,BY78+BX79-CG78,IF(A79&lt;'Données projet'!$A$114,$BV$205^A79,IF(A79='Données projet'!$A$114,'Données projet'!$B$114,BY78+BX79-CG78)))</f>
        <v>242.64245014245034</v>
      </c>
      <c r="BZ79" s="13">
        <f>BY79*VLOOKUP('Données projet'!$B$12,Paramètres!$A$1:$I$89,3,0)*VLOOKUP('Données projet'!$B$12,Paramètres!$A$1:$I$89,5,0)</f>
        <v>246.03944444444465</v>
      </c>
      <c r="CA79" s="13">
        <f t="shared" si="93"/>
        <v>59.737060883292813</v>
      </c>
      <c r="CB79" s="20">
        <f t="shared" si="64"/>
        <v>532.56074677914273</v>
      </c>
      <c r="CC79" s="59">
        <f t="shared" si="65"/>
        <v>825.8940801124761</v>
      </c>
      <c r="CD79" s="59">
        <f ca="1">AVERAGE(OFFSET($CC$3,0,0,'Données projet'!$E$12+1,1))-AVERAGE(OFFSET($H$3,0,0,'Données projet'!$E$12+1,1))</f>
        <v>312.29056285877169</v>
      </c>
      <c r="CE79" s="59">
        <f t="shared" si="94"/>
        <v>233.85454224241693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23.086775076845292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23.086775076845292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5.5042735042735051</v>
      </c>
      <c r="CT79" s="12">
        <f>IF('Données projet'!$A$140&gt;35,CT78+CS79-DB78,IF(A79&lt;'Données projet'!$A$140,$CQ$205^A79,IF(A79='Données projet'!$A$140,'Données projet'!$B$140,CT78+CS79-DB78)))</f>
        <v>155.97222222222217</v>
      </c>
      <c r="CU79" s="17">
        <f>CT79*VLOOKUP('Données projet'!$B$13,Paramètres!$A$1:$I$89,3,0)*VLOOKUP('Données projet'!$B$13,Paramètres!$A$1:$I$89,5,0)</f>
        <v>177.62116666666662</v>
      </c>
      <c r="CV79" s="13">
        <f t="shared" si="95"/>
        <v>44.792530487943928</v>
      </c>
      <c r="CW79" s="20">
        <f t="shared" si="67"/>
        <v>387.37052254428005</v>
      </c>
      <c r="CX79" s="59">
        <f t="shared" si="68"/>
        <v>680.70385587761336</v>
      </c>
      <c r="CY79" s="59">
        <f ca="1">AVERAGE(OFFSET($CX$3,0,0,'Données projet'!$E$13+1,1))-AVERAGE(OFFSET($H$3,0,0,'Données projet'!$E$13+1,1))</f>
        <v>292.22737648725354</v>
      </c>
      <c r="CZ79" s="59">
        <f t="shared" si="96"/>
        <v>182.84038581199871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11.485578409911399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11.485578409911399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5.5042735042735051</v>
      </c>
      <c r="DO79" s="12">
        <f>IF('Données projet'!$A$166&gt;35,DO78+DN79-DW78,IF(A79&lt;'Données projet'!$A$166,$DL$205^A79,IF(A79='Données projet'!$A$166,'Données projet'!$B$166,DO78+DN79-DW78)))</f>
        <v>155.97222222222217</v>
      </c>
      <c r="DP79" s="17">
        <f>DO79*VLOOKUP('Données projet'!$B$14,Paramètres!$A$1:$I$89,3,0)*VLOOKUP('Données projet'!$B$14,Paramètres!$A$1:$I$89,5,0)</f>
        <v>170.3216666666666</v>
      </c>
      <c r="DQ79" s="13">
        <f t="shared" si="97"/>
        <v>43.162058290187318</v>
      </c>
      <c r="DR79" s="20">
        <f t="shared" si="70"/>
        <v>371.81748763318723</v>
      </c>
      <c r="DS79" s="59">
        <f t="shared" si="71"/>
        <v>665.15082096652054</v>
      </c>
      <c r="DT79" s="59">
        <f ca="1">AVERAGE(OFFSET($DS$3,0,0,'Données projet'!$E$14+1,1))-AVERAGE(OFFSET($H$3,0,0,'Données projet'!$E$14+1,1))</f>
        <v>276.52126514622455</v>
      </c>
      <c r="DU79" s="59">
        <f t="shared" si="98"/>
        <v>173.98404849503186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11.013568338271202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11.013568338271202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5.5042735042735051</v>
      </c>
      <c r="EJ79" s="12">
        <f>IF('Données projet'!$A$192&gt;35,EJ78+EI79-ER78,IF(A79&lt;'Données projet'!$A$192,$EG$205^A79,IF(A79='Données projet'!$A$192,'Données projet'!$B$192,EJ78+EI79-ER78)))</f>
        <v>155.97222222222217</v>
      </c>
      <c r="EK79" s="17">
        <f>EJ79*VLOOKUP('Données projet'!$B$15,Paramètres!$A$1:$I$89,3,0)*VLOOKUP('Données projet'!$B$15,Paramètres!$A$1:$I$89,5,0)</f>
        <v>150.85633333333328</v>
      </c>
      <c r="EL79" s="13">
        <f t="shared" si="99"/>
        <v>38.773125921762045</v>
      </c>
      <c r="EM79" s="20">
        <f t="shared" si="73"/>
        <v>330.27130820262437</v>
      </c>
      <c r="EN79" s="59">
        <f t="shared" si="74"/>
        <v>623.60464153595763</v>
      </c>
      <c r="EO79" s="59">
        <f ca="1">AVERAGE(OFFSET($EN$3,0,0,'Données projet'!$E$15+1,1))-AVERAGE(OFFSET($H$3,0,0,'Données projet'!$E$15+1,1))</f>
        <v>234.56750794375012</v>
      </c>
      <c r="EP79" s="59">
        <f t="shared" si="100"/>
        <v>150.32420541314724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9.7548748138973522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9.7548748138973522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12.913461538461533</v>
      </c>
      <c r="N80" s="13">
        <f>IF('Données projet'!$A$36&gt;35,N79+M80-V79,IF(A80&lt;'Données projet'!$A$36,$K$205^A80,IF(A80='Données projet'!$A$36,'Données projet'!$B$36,N79+M80-V79)))</f>
        <v>411.03461538461551</v>
      </c>
      <c r="O80" s="13">
        <f>N80*VLOOKUP('Données projet'!$B$9,Paramètres!$A$1:$I$89,3,0)*VLOOKUP('Données projet'!$B$9,Paramètres!$A$1:$I$89,5,0)</f>
        <v>192.36420000000004</v>
      </c>
      <c r="P80" s="13">
        <f t="shared" si="87"/>
        <v>48.062267116572606</v>
      </c>
      <c r="Q80" s="20">
        <f t="shared" si="54"/>
        <v>418.74276356136397</v>
      </c>
      <c r="R80" s="59">
        <f t="shared" si="55"/>
        <v>712.07609689469723</v>
      </c>
      <c r="S80" s="59">
        <f ca="1">AVERAGE(OFFSET($R$3,0,0,'Données projet'!$E$9+1,1))-AVERAGE(OFFSET($H$3,0,0,'Données projet'!$E$9+1,1))</f>
        <v>198.17898804494365</v>
      </c>
      <c r="T80" s="59">
        <f t="shared" si="88"/>
        <v>186.24772922797723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54.392904748832557</v>
      </c>
      <c r="AA80" s="21">
        <f>EXP(-LN(2)/25)*AA79+(1-EXP(-LN(2)/25))/(LN(2)/25)*Calculateur!V80*Calculateur!X80*VLOOKUP('Données projet'!$B$9,Paramètres!$A$1:$I$89,3,0)*0.475*44/12</f>
        <v>24.432917433320728</v>
      </c>
      <c r="AB80" s="21">
        <f>EXP(-LN(2)/2)*AB79+(1-EXP(-LN(2)/2))/(LN(2)/2)*V80*Y80*VLOOKUP('Données projet'!$B$9,Paramètres!$A$1:$I$89,3,0)*0.475*44/12</f>
        <v>0.74595405323115815</v>
      </c>
      <c r="AC80" s="22">
        <f t="shared" si="57"/>
        <v>79.571776235384448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278.21846622758881</v>
      </c>
      <c r="AO80" s="59">
        <f t="shared" si="90"/>
        <v>245.37578316242906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7.8425925925925934</v>
      </c>
      <c r="BD80" s="12">
        <f>IF('Données projet'!$A$88&gt;35,BD79+BC80-BL79,IF(A80&lt;'Données projet'!$A$88,$BA$205^A80,IF(A80='Données projet'!$A$88,'Données projet'!$B$88,BD79+BC80-BL79)))</f>
        <v>250.48504273504292</v>
      </c>
      <c r="BE80" s="13">
        <f>BD80*VLOOKUP('Données projet'!$B$11,Paramètres!$A$1:$I$89,3,0)*VLOOKUP('Données projet'!$B$11,Paramètres!$A$1:$I$89,5,0)</f>
        <v>226.63886666666684</v>
      </c>
      <c r="BF80" s="13">
        <f t="shared" si="91"/>
        <v>55.555304418491261</v>
      </c>
      <c r="BG80" s="20">
        <f t="shared" si="61"/>
        <v>491.4881813066504</v>
      </c>
      <c r="BH80" s="59">
        <f t="shared" si="62"/>
        <v>784.82151463998366</v>
      </c>
      <c r="BI80" s="59">
        <f ca="1">AVERAGE(OFFSET($BH$3,0,0,'Données projet'!$E$11+1,1))-AVERAGE(OFFSET($H$3,0,0,'Données projet'!$E$11+1,1))</f>
        <v>270.87836509222456</v>
      </c>
      <c r="BJ80" s="59">
        <f t="shared" si="92"/>
        <v>205.24998237949734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20.196543614608945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20.196543614608945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7.8425925925925934</v>
      </c>
      <c r="BY80" s="12">
        <f>IF('Données projet'!$A$114&gt;35,BY79+BX80-CG79,IF(A80&lt;'Données projet'!$A$114,$BV$205^A80,IF(A80='Données projet'!$A$114,'Données projet'!$B$114,BY79+BX80-CG79)))</f>
        <v>250.48504273504292</v>
      </c>
      <c r="BZ80" s="13">
        <f>BY80*VLOOKUP('Données projet'!$B$12,Paramètres!$A$1:$I$89,3,0)*VLOOKUP('Données projet'!$B$12,Paramètres!$A$1:$I$89,5,0)</f>
        <v>253.99183333333355</v>
      </c>
      <c r="CA80" s="13">
        <f t="shared" si="93"/>
        <v>61.439942205271571</v>
      </c>
      <c r="CB80" s="20">
        <f t="shared" si="64"/>
        <v>549.37700906307055</v>
      </c>
      <c r="CC80" s="59">
        <f t="shared" si="65"/>
        <v>842.7103423964038</v>
      </c>
      <c r="CD80" s="59">
        <f ca="1">AVERAGE(OFFSET($CC$3,0,0,'Données projet'!$E$12+1,1))-AVERAGE(OFFSET($H$3,0,0,'Données projet'!$E$12+1,1))</f>
        <v>312.29056285877169</v>
      </c>
      <c r="CE80" s="59">
        <f t="shared" si="94"/>
        <v>233.85454224241693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22.634057499130716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22.634057499130716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5.5042735042735051</v>
      </c>
      <c r="CT80" s="12">
        <f>IF('Données projet'!$A$140&gt;35,CT79+CS80-DB79,IF(A80&lt;'Données projet'!$A$140,$CQ$205^A80,IF(A80='Données projet'!$A$140,'Données projet'!$B$140,CT79+CS80-DB79)))</f>
        <v>161.47649572649567</v>
      </c>
      <c r="CU80" s="17">
        <f>CT80*VLOOKUP('Données projet'!$B$13,Paramètres!$A$1:$I$89,3,0)*VLOOKUP('Données projet'!$B$13,Paramètres!$A$1:$I$89,5,0)</f>
        <v>183.88943333333327</v>
      </c>
      <c r="CV80" s="13">
        <f t="shared" si="95"/>
        <v>46.186433855159592</v>
      </c>
      <c r="CW80" s="20">
        <f t="shared" si="67"/>
        <v>400.715468686625</v>
      </c>
      <c r="CX80" s="59">
        <f t="shared" si="68"/>
        <v>694.04880201995832</v>
      </c>
      <c r="CY80" s="59">
        <f ca="1">AVERAGE(OFFSET($CX$3,0,0,'Données projet'!$E$13+1,1))-AVERAGE(OFFSET($H$3,0,0,'Données projet'!$E$13+1,1))</f>
        <v>292.22737648725354</v>
      </c>
      <c r="CZ80" s="59">
        <f t="shared" si="96"/>
        <v>182.84038581199871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11.260353222804129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11.260353222804129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5.5042735042735051</v>
      </c>
      <c r="DO80" s="12">
        <f>IF('Données projet'!$A$166&gt;35,DO79+DN80-DW79,IF(A80&lt;'Données projet'!$A$166,$DL$205^A80,IF(A80='Données projet'!$A$166,'Données projet'!$B$166,DO79+DN80-DW79)))</f>
        <v>161.47649572649567</v>
      </c>
      <c r="DP80" s="17">
        <f>DO80*VLOOKUP('Données projet'!$B$14,Paramètres!$A$1:$I$89,3,0)*VLOOKUP('Données projet'!$B$14,Paramètres!$A$1:$I$89,5,0)</f>
        <v>176.33233333333325</v>
      </c>
      <c r="DQ80" s="13">
        <f t="shared" si="97"/>
        <v>44.505222825239514</v>
      </c>
      <c r="DR80" s="20">
        <f t="shared" si="70"/>
        <v>384.62541030951428</v>
      </c>
      <c r="DS80" s="59">
        <f t="shared" si="71"/>
        <v>677.95874364284759</v>
      </c>
      <c r="DT80" s="59">
        <f ca="1">AVERAGE(OFFSET($DS$3,0,0,'Données projet'!$E$14+1,1))-AVERAGE(OFFSET($H$3,0,0,'Données projet'!$E$14+1,1))</f>
        <v>276.52126514622455</v>
      </c>
      <c r="DU80" s="59">
        <f t="shared" si="98"/>
        <v>173.98404849503186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10.797598980771081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10.797598980771081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5.5042735042735051</v>
      </c>
      <c r="EJ80" s="12">
        <f>IF('Données projet'!$A$192&gt;35,EJ79+EI80-ER79,IF(A80&lt;'Données projet'!$A$192,$EG$205^A80,IF(A80='Données projet'!$A$192,'Données projet'!$B$192,EJ79+EI80-ER79)))</f>
        <v>161.47649572649567</v>
      </c>
      <c r="EK80" s="17">
        <f>EJ80*VLOOKUP('Données projet'!$B$15,Paramètres!$A$1:$I$89,3,0)*VLOOKUP('Données projet'!$B$15,Paramètres!$A$1:$I$89,5,0)</f>
        <v>156.18006666666662</v>
      </c>
      <c r="EL80" s="13">
        <f t="shared" si="99"/>
        <v>39.979710818642765</v>
      </c>
      <c r="EM80" s="20">
        <f t="shared" si="73"/>
        <v>341.64494578691387</v>
      </c>
      <c r="EN80" s="59">
        <f t="shared" si="74"/>
        <v>634.97827912024718</v>
      </c>
      <c r="EO80" s="59">
        <f ca="1">AVERAGE(OFFSET($EN$3,0,0,'Données projet'!$E$15+1,1))-AVERAGE(OFFSET($H$3,0,0,'Données projet'!$E$15+1,1))</f>
        <v>234.56750794375012</v>
      </c>
      <c r="EP80" s="59">
        <f t="shared" si="100"/>
        <v>150.32420541314724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9.5635876686829597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9.5635876686829597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12.913461538461533</v>
      </c>
      <c r="N81" s="13">
        <f>IF('Données projet'!$A$36&gt;35,N80+M81-V80,IF(A81&lt;'Données projet'!$A$36,$K$205^A81,IF(A81='Données projet'!$A$36,'Données projet'!$B$36,N80+M81-V80)))</f>
        <v>423.94807692307705</v>
      </c>
      <c r="O81" s="13">
        <f>N81*VLOOKUP('Données projet'!$B$9,Paramètres!$A$1:$I$89,3,0)*VLOOKUP('Données projet'!$B$9,Paramètres!$A$1:$I$89,5,0)</f>
        <v>198.40770000000006</v>
      </c>
      <c r="P81" s="13">
        <f t="shared" si="87"/>
        <v>49.394065749424826</v>
      </c>
      <c r="Q81" s="20">
        <f t="shared" si="54"/>
        <v>431.58807534691499</v>
      </c>
      <c r="R81" s="59">
        <f t="shared" si="55"/>
        <v>724.92140868024831</v>
      </c>
      <c r="S81" s="59">
        <f ca="1">AVERAGE(OFFSET($R$3,0,0,'Données projet'!$E$9+1,1))-AVERAGE(OFFSET($H$3,0,0,'Données projet'!$E$9+1,1))</f>
        <v>198.17898804494365</v>
      </c>
      <c r="T81" s="59">
        <f t="shared" si="88"/>
        <v>186.24772922797723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53.326293063103947</v>
      </c>
      <c r="AA81" s="21">
        <f>EXP(-LN(2)/25)*AA80+(1-EXP(-LN(2)/25))/(LN(2)/25)*Calculateur!V81*Calculateur!X81*VLOOKUP('Données projet'!$B$9,Paramètres!$A$1:$I$89,3,0)*0.475*44/12</f>
        <v>23.764798021235286</v>
      </c>
      <c r="AB81" s="21">
        <f>EXP(-LN(2)/2)*AB80+(1-EXP(-LN(2)/2))/(LN(2)/2)*V81*Y81*VLOOKUP('Données projet'!$B$9,Paramètres!$A$1:$I$89,3,0)*0.475*44/12</f>
        <v>0.52746916949334277</v>
      </c>
      <c r="AC81" s="22">
        <f t="shared" si="57"/>
        <v>77.618560253832584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278.21846622758881</v>
      </c>
      <c r="AO81" s="59">
        <f t="shared" si="90"/>
        <v>245.37578316242906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7.8425925925925934</v>
      </c>
      <c r="BD81" s="12">
        <f>IF('Données projet'!$A$88&gt;35,BD80+BC81-BL80,IF(A81&lt;'Données projet'!$A$88,$BA$205^A81,IF(A81='Données projet'!$A$88,'Données projet'!$B$88,BD80+BC81-BL80)))</f>
        <v>258.32763532763551</v>
      </c>
      <c r="BE81" s="13">
        <f>BD81*VLOOKUP('Données projet'!$B$11,Paramètres!$A$1:$I$89,3,0)*VLOOKUP('Données projet'!$B$11,Paramètres!$A$1:$I$89,5,0)</f>
        <v>233.7348444444446</v>
      </c>
      <c r="BF81" s="13">
        <f t="shared" si="91"/>
        <v>57.089483585580787</v>
      </c>
      <c r="BG81" s="20">
        <f t="shared" si="61"/>
        <v>506.51903798562756</v>
      </c>
      <c r="BH81" s="59">
        <f t="shared" si="62"/>
        <v>799.85237131896088</v>
      </c>
      <c r="BI81" s="59">
        <f ca="1">AVERAGE(OFFSET($BH$3,0,0,'Données projet'!$E$11+1,1))-AVERAGE(OFFSET($H$3,0,0,'Données projet'!$E$11+1,1))</f>
        <v>270.87836509222456</v>
      </c>
      <c r="BJ81" s="59">
        <f t="shared" si="92"/>
        <v>205.24998237949734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19.800501713001701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19.800501713001701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7.8425925925925934</v>
      </c>
      <c r="BY81" s="12">
        <f>IF('Données projet'!$A$114&gt;35,BY80+BX81-CG80,IF(A81&lt;'Données projet'!$A$114,$BV$205^A81,IF(A81='Données projet'!$A$114,'Données projet'!$B$114,BY80+BX81-CG80)))</f>
        <v>258.32763532763551</v>
      </c>
      <c r="BZ81" s="13">
        <f>BY81*VLOOKUP('Données projet'!$B$12,Paramètres!$A$1:$I$89,3,0)*VLOOKUP('Données projet'!$B$12,Paramètres!$A$1:$I$89,5,0)</f>
        <v>261.94422222222244</v>
      </c>
      <c r="CA81" s="13">
        <f t="shared" si="93"/>
        <v>63.136627703535865</v>
      </c>
      <c r="CB81" s="20">
        <f t="shared" si="64"/>
        <v>566.18248028736241</v>
      </c>
      <c r="CC81" s="59">
        <f t="shared" si="65"/>
        <v>859.51581362069578</v>
      </c>
      <c r="CD81" s="59">
        <f ca="1">AVERAGE(OFFSET($CC$3,0,0,'Données projet'!$E$12+1,1))-AVERAGE(OFFSET($H$3,0,0,'Données projet'!$E$12+1,1))</f>
        <v>312.29056285877169</v>
      </c>
      <c r="CE81" s="59">
        <f t="shared" si="94"/>
        <v>233.85454224241693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22.190217436984664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22.190217436984664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5.5042735042735051</v>
      </c>
      <c r="CT81" s="12">
        <f>IF('Données projet'!$A$140&gt;35,CT80+CS81-DB80,IF(A81&lt;'Données projet'!$A$140,$CQ$205^A81,IF(A81='Données projet'!$A$140,'Données projet'!$B$140,CT80+CS81-DB80)))</f>
        <v>166.98076923076917</v>
      </c>
      <c r="CU81" s="17">
        <f>CT81*VLOOKUP('Données projet'!$B$13,Paramètres!$A$1:$I$89,3,0)*VLOOKUP('Données projet'!$B$13,Paramètres!$A$1:$I$89,5,0)</f>
        <v>190.15769999999992</v>
      </c>
      <c r="CV81" s="13">
        <f t="shared" si="95"/>
        <v>47.574816398489808</v>
      </c>
      <c r="CW81" s="20">
        <f t="shared" si="67"/>
        <v>414.05079939403623</v>
      </c>
      <c r="CX81" s="59">
        <f t="shared" si="68"/>
        <v>707.38413272736955</v>
      </c>
      <c r="CY81" s="59">
        <f ca="1">AVERAGE(OFFSET($CX$3,0,0,'Données projet'!$E$13+1,1))-AVERAGE(OFFSET($H$3,0,0,'Données projet'!$E$13+1,1))</f>
        <v>292.22737648725354</v>
      </c>
      <c r="CZ81" s="59">
        <f t="shared" si="96"/>
        <v>182.84038581199871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11.039544564242235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11.039544564242235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5.5042735042735051</v>
      </c>
      <c r="DO81" s="12">
        <f>IF('Données projet'!$A$166&gt;35,DO80+DN81-DW80,IF(A81&lt;'Données projet'!$A$166,$DL$205^A81,IF(A81='Données projet'!$A$166,'Données projet'!$B$166,DO80+DN81-DW80)))</f>
        <v>166.98076923076917</v>
      </c>
      <c r="DP81" s="17">
        <f>DO81*VLOOKUP('Données projet'!$B$14,Paramètres!$A$1:$I$89,3,0)*VLOOKUP('Données projet'!$B$14,Paramètres!$A$1:$I$89,5,0)</f>
        <v>182.34299999999993</v>
      </c>
      <c r="DQ81" s="13">
        <f t="shared" si="97"/>
        <v>45.843067497364665</v>
      </c>
      <c r="DR81" s="20">
        <f t="shared" si="70"/>
        <v>397.42406755790995</v>
      </c>
      <c r="DS81" s="59">
        <f t="shared" si="71"/>
        <v>690.75740089124326</v>
      </c>
      <c r="DT81" s="59">
        <f ca="1">AVERAGE(OFFSET($DS$3,0,0,'Données projet'!$E$14+1,1))-AVERAGE(OFFSET($H$3,0,0,'Données projet'!$E$14+1,1))</f>
        <v>276.52126514622455</v>
      </c>
      <c r="DU81" s="59">
        <f t="shared" si="98"/>
        <v>173.98404849503186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10.585864650643236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10.585864650643236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5.5042735042735051</v>
      </c>
      <c r="EJ81" s="12">
        <f>IF('Données projet'!$A$192&gt;35,EJ80+EI81-ER80,IF(A81&lt;'Données projet'!$A$192,$EG$205^A81,IF(A81='Données projet'!$A$192,'Données projet'!$B$192,EJ80+EI81-ER80)))</f>
        <v>166.98076923076917</v>
      </c>
      <c r="EK81" s="17">
        <f>EJ81*VLOOKUP('Données projet'!$B$15,Paramètres!$A$1:$I$89,3,0)*VLOOKUP('Données projet'!$B$15,Paramètres!$A$1:$I$89,5,0)</f>
        <v>161.50379999999993</v>
      </c>
      <c r="EL81" s="13">
        <f t="shared" si="99"/>
        <v>41.181516802669677</v>
      </c>
      <c r="EM81" s="20">
        <f t="shared" si="73"/>
        <v>353.01026009798289</v>
      </c>
      <c r="EN81" s="59">
        <f t="shared" si="74"/>
        <v>646.34359343131621</v>
      </c>
      <c r="EO81" s="59">
        <f ca="1">AVERAGE(OFFSET($EN$3,0,0,'Données projet'!$E$15+1,1))-AVERAGE(OFFSET($H$3,0,0,'Données projet'!$E$15+1,1))</f>
        <v>234.56750794375012</v>
      </c>
      <c r="EP81" s="59">
        <f t="shared" si="100"/>
        <v>150.32420541314724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9.3760515477125832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9.3760515477125832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>
        <f>VLOOKUP(A82,'Données projet'!$A$35:$I$55,2,0)</f>
        <v>436.86153846153843</v>
      </c>
      <c r="L82" s="12">
        <f>VLOOKUP(A82,'Données projet'!$A$35:$I$55,9,0)</f>
        <v>12.913461538461533</v>
      </c>
      <c r="M82" s="12">
        <f t="array" ref="M82">INDEX(L:L,MIN(IF(ISNUMBER(L82:L278),ROW(L82:L278),"")))</f>
        <v>12.913461538461533</v>
      </c>
      <c r="N82" s="13">
        <f>IF('Données projet'!$A$36&gt;35,N81+M82-V81,IF(A82&lt;'Données projet'!$A$36,$K$205^A82,IF(A82='Données projet'!$A$36,'Données projet'!$B$36,N81+M82-V81)))</f>
        <v>436.8615384615386</v>
      </c>
      <c r="O82" s="13">
        <f>N82*VLOOKUP('Données projet'!$B$9,Paramètres!$A$1:$I$89,3,0)*VLOOKUP('Données projet'!$B$9,Paramètres!$A$1:$I$89,5,0)</f>
        <v>204.45120000000009</v>
      </c>
      <c r="P82" s="13">
        <f t="shared" si="87"/>
        <v>50.721150021305952</v>
      </c>
      <c r="Q82" s="20">
        <f t="shared" si="54"/>
        <v>444.42517628710794</v>
      </c>
      <c r="R82" s="59">
        <f t="shared" si="55"/>
        <v>737.75850962044126</v>
      </c>
      <c r="S82" s="59">
        <f ca="1">AVERAGE(OFFSET($R$3,0,0,'Données projet'!$E$9+1,1))-AVERAGE(OFFSET($H$3,0,0,'Données projet'!$E$9+1,1))</f>
        <v>198.17898804494365</v>
      </c>
      <c r="T82" s="59">
        <f t="shared" si="88"/>
        <v>186.24772922797723</v>
      </c>
      <c r="U82" s="15">
        <f>IF(ISNA(VLOOKUP(A82,'Données projet'!$A$35:$I$55,3,0)),0,VLOOKUP(A82,'Données projet'!$A$35:$I$55,3,0))</f>
        <v>6</v>
      </c>
      <c r="V82" s="15">
        <f>IF(ISNA(VLOOKUP(A82,'Données projet'!$A$35:$I$55,4,0)),0,VLOOKUP(A82,'Données projet'!$A$35:$I$55,4,0))</f>
        <v>77.338461538461544</v>
      </c>
      <c r="W82" s="16">
        <f>IF(ISNA(VLOOKUP(A82,'Données projet'!$A$35:$I$55,5,0)),0%,VLOOKUP(A82,'Données projet'!$A$35:$I$55,5,0)*VLOOKUP('Données projet'!$B$9,Paramètres!$A$1:$I$89,7,0))</f>
        <v>0.38500000000000001</v>
      </c>
      <c r="X82" s="16">
        <f>IF(ISNA(VLOOKUP(A82,'Données projet'!$A$35:$I$55,6,0)),0%,VLOOKUP(A82,'Données projet'!$A$35:$I$55,6,0)*VLOOKUP('Données projet'!$B$9,Paramètres!$A$1:$I$89,7,0))</f>
        <v>9.240000000000001E-2</v>
      </c>
      <c r="Y82" s="16">
        <f>IF(ISNA(VLOOKUP(A82,'Données projet'!$A$35:$I$55,7,0)),0%,VLOOKUP(A82,'Données projet'!$A$35:$I$55,7,0))</f>
        <v>0.13200000000000001</v>
      </c>
      <c r="Z82" s="21">
        <f>EXP(-LN(2)/35)*Z81+(1-EXP(-LN(2)/35))/(LN(2)/35)*V82*W82*VLOOKUP('Données projet'!$B$9,Paramètres!$A$1:$I$89,3,0)*0.475*44/12</f>
        <v>70.766065724458542</v>
      </c>
      <c r="AA82" s="21">
        <f>EXP(-LN(2)/25)*AA81+(1-EXP(-LN(2)/25))/(LN(2)/25)*Calculateur!V82*Calculateur!X82*VLOOKUP('Données projet'!$B$9,Paramètres!$A$1:$I$89,3,0)*0.475*44/12</f>
        <v>27.533992627657781</v>
      </c>
      <c r="AB82" s="21">
        <f>EXP(-LN(2)/2)*AB81+(1-EXP(-LN(2)/2))/(LN(2)/2)*V82*Y82*VLOOKUP('Données projet'!$B$9,Paramètres!$A$1:$I$89,3,0)*0.475*44/12</f>
        <v>5.7823988910017112</v>
      </c>
      <c r="AC82" s="22">
        <f t="shared" si="57"/>
        <v>104.08245724311803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278.21846622758881</v>
      </c>
      <c r="AO82" s="59">
        <f t="shared" si="90"/>
        <v>245.37578316242906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7.8425925925925934</v>
      </c>
      <c r="BD82" s="12">
        <f>IF('Données projet'!$A$88&gt;35,BD81+BC82-BL81,IF(A82&lt;'Données projet'!$A$88,$BA$205^A82,IF(A82='Données projet'!$A$88,'Données projet'!$B$88,BD81+BC82-BL81)))</f>
        <v>266.17022792022811</v>
      </c>
      <c r="BE82" s="13">
        <f>BD82*VLOOKUP('Données projet'!$B$11,Paramètres!$A$1:$I$89,3,0)*VLOOKUP('Données projet'!$B$11,Paramètres!$A$1:$I$89,5,0)</f>
        <v>240.83082222222239</v>
      </c>
      <c r="BF82" s="13">
        <f t="shared" si="91"/>
        <v>58.618249962252264</v>
      </c>
      <c r="BG82" s="20">
        <f t="shared" si="61"/>
        <v>521.54046738795989</v>
      </c>
      <c r="BH82" s="59">
        <f t="shared" si="62"/>
        <v>814.87380072129326</v>
      </c>
      <c r="BI82" s="59">
        <f ca="1">AVERAGE(OFFSET($BH$3,0,0,'Données projet'!$E$11+1,1))-AVERAGE(OFFSET($H$3,0,0,'Données projet'!$E$11+1,1))</f>
        <v>270.87836509222456</v>
      </c>
      <c r="BJ82" s="59">
        <f t="shared" si="92"/>
        <v>205.24998237949734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19.412225951523265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19.412225951523265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7.8425925925925934</v>
      </c>
      <c r="BY82" s="12">
        <f>IF('Données projet'!$A$114&gt;35,BY81+BX82-CG81,IF(A82&lt;'Données projet'!$A$114,$BV$205^A82,IF(A82='Données projet'!$A$114,'Données projet'!$B$114,BY81+BX82-CG81)))</f>
        <v>266.17022792022811</v>
      </c>
      <c r="BZ82" s="13">
        <f>BY82*VLOOKUP('Données projet'!$B$12,Paramètres!$A$1:$I$89,3,0)*VLOOKUP('Données projet'!$B$12,Paramètres!$A$1:$I$89,5,0)</f>
        <v>269.89661111111133</v>
      </c>
      <c r="CA82" s="13">
        <f t="shared" si="93"/>
        <v>64.82732706719186</v>
      </c>
      <c r="CB82" s="20">
        <f t="shared" si="64"/>
        <v>582.97752566054464</v>
      </c>
      <c r="CC82" s="59">
        <f t="shared" si="65"/>
        <v>876.3108589938779</v>
      </c>
      <c r="CD82" s="59">
        <f ca="1">AVERAGE(OFFSET($CC$3,0,0,'Données projet'!$E$12+1,1))-AVERAGE(OFFSET($H$3,0,0,'Données projet'!$E$12+1,1))</f>
        <v>312.29056285877169</v>
      </c>
      <c r="CE82" s="59">
        <f t="shared" si="94"/>
        <v>233.85454224241693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21.755080807741592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21.755080807741592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5.5042735042735051</v>
      </c>
      <c r="CT82" s="12">
        <f>IF('Données projet'!$A$140&gt;35,CT81+CS82-DB81,IF(A82&lt;'Données projet'!$A$140,$CQ$205^A82,IF(A82='Données projet'!$A$140,'Données projet'!$B$140,CT81+CS82-DB81)))</f>
        <v>172.48504273504267</v>
      </c>
      <c r="CU82" s="17">
        <f>CT82*VLOOKUP('Données projet'!$B$13,Paramètres!$A$1:$I$89,3,0)*VLOOKUP('Données projet'!$B$13,Paramètres!$A$1:$I$89,5,0)</f>
        <v>196.4259666666666</v>
      </c>
      <c r="CV82" s="13">
        <f t="shared" si="95"/>
        <v>48.957880972181094</v>
      </c>
      <c r="CW82" s="20">
        <f t="shared" si="67"/>
        <v>427.37686797099309</v>
      </c>
      <c r="CX82" s="59">
        <f t="shared" si="68"/>
        <v>720.71020130432635</v>
      </c>
      <c r="CY82" s="59">
        <f ca="1">AVERAGE(OFFSET($CX$3,0,0,'Données projet'!$E$13+1,1))-AVERAGE(OFFSET($H$3,0,0,'Données projet'!$E$13+1,1))</f>
        <v>292.22737648725354</v>
      </c>
      <c r="CZ82" s="59">
        <f t="shared" si="96"/>
        <v>182.84038581199871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10.823065828794755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10.823065828794755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5.5042735042735051</v>
      </c>
      <c r="DO82" s="12">
        <f>IF('Données projet'!$A$166&gt;35,DO81+DN82-DW81,IF(A82&lt;'Données projet'!$A$166,$DL$205^A82,IF(A82='Données projet'!$A$166,'Données projet'!$B$166,DO81+DN82-DW81)))</f>
        <v>172.48504273504267</v>
      </c>
      <c r="DP82" s="17">
        <f>DO82*VLOOKUP('Données projet'!$B$14,Paramètres!$A$1:$I$89,3,0)*VLOOKUP('Données projet'!$B$14,Paramètres!$A$1:$I$89,5,0)</f>
        <v>188.35366666666658</v>
      </c>
      <c r="DQ82" s="13">
        <f t="shared" si="97"/>
        <v>47.175787776805493</v>
      </c>
      <c r="DR82" s="20">
        <f t="shared" si="70"/>
        <v>410.21379982238051</v>
      </c>
      <c r="DS82" s="59">
        <f t="shared" si="71"/>
        <v>703.54713315571382</v>
      </c>
      <c r="DT82" s="59">
        <f ca="1">AVERAGE(OFFSET($DS$3,0,0,'Données projet'!$E$14+1,1))-AVERAGE(OFFSET($H$3,0,0,'Données projet'!$E$14+1,1))</f>
        <v>276.52126514622455</v>
      </c>
      <c r="DU82" s="59">
        <f t="shared" si="98"/>
        <v>173.98404849503186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10.37828230158401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10.37828230158401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5.5042735042735051</v>
      </c>
      <c r="EJ82" s="12">
        <f>IF('Données projet'!$A$192&gt;35,EJ81+EI82-ER81,IF(A82&lt;'Données projet'!$A$192,$EG$205^A82,IF(A82='Données projet'!$A$192,'Données projet'!$B$192,EJ81+EI82-ER81)))</f>
        <v>172.48504273504267</v>
      </c>
      <c r="EK82" s="17">
        <f>EJ82*VLOOKUP('Données projet'!$B$15,Paramètres!$A$1:$I$89,3,0)*VLOOKUP('Données projet'!$B$15,Paramètres!$A$1:$I$89,5,0)</f>
        <v>166.82753333333326</v>
      </c>
      <c r="EL82" s="13">
        <f t="shared" si="99"/>
        <v>42.378719467700897</v>
      </c>
      <c r="EM82" s="20">
        <f t="shared" si="73"/>
        <v>364.3675569618012</v>
      </c>
      <c r="EN82" s="59">
        <f t="shared" si="74"/>
        <v>657.70089029513451</v>
      </c>
      <c r="EO82" s="59">
        <f ca="1">AVERAGE(OFFSET($EN$3,0,0,'Données projet'!$E$15+1,1))-AVERAGE(OFFSET($H$3,0,0,'Données projet'!$E$15+1,1))</f>
        <v>234.56750794375012</v>
      </c>
      <c r="EP82" s="59">
        <f t="shared" si="100"/>
        <v>150.32420541314724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9.1921928956886969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9.1921928956886969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12.124038461538468</v>
      </c>
      <c r="N83" s="13">
        <f>IF('Données projet'!$A$36&gt;35,N82+M83-V82,IF(A83&lt;'Données projet'!$A$36,$K$205^A83,IF(A83='Données projet'!$A$36,'Données projet'!$B$36,N82+M83-V82)))</f>
        <v>371.64711538461552</v>
      </c>
      <c r="O83" s="13">
        <f>N83*VLOOKUP('Données projet'!$B$9,Paramètres!$A$1:$I$89,3,0)*VLOOKUP('Données projet'!$B$9,Paramètres!$A$1:$I$89,5,0)</f>
        <v>173.93085000000008</v>
      </c>
      <c r="P83" s="13">
        <f t="shared" si="87"/>
        <v>43.969228534222836</v>
      </c>
      <c r="Q83" s="20">
        <f t="shared" si="54"/>
        <v>379.50930344710491</v>
      </c>
      <c r="R83" s="59">
        <f t="shared" si="55"/>
        <v>672.84263678043817</v>
      </c>
      <c r="S83" s="59">
        <f ca="1">AVERAGE(OFFSET($R$3,0,0,'Données projet'!$E$9+1,1))-AVERAGE(OFFSET($H$3,0,0,'Données projet'!$E$9+1,1))</f>
        <v>198.17898804494365</v>
      </c>
      <c r="T83" s="59">
        <f t="shared" si="88"/>
        <v>186.24772922797723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69.378386338640013</v>
      </c>
      <c r="AA83" s="21">
        <f>EXP(-LN(2)/25)*AA82+(1-EXP(-LN(2)/25))/(LN(2)/25)*Calculateur!V83*Calculateur!X83*VLOOKUP('Données projet'!$B$9,Paramètres!$A$1:$I$89,3,0)*0.475*44/12</f>
        <v>26.781074151304736</v>
      </c>
      <c r="AB83" s="21">
        <f>EXP(-LN(2)/2)*AB82+(1-EXP(-LN(2)/2))/(LN(2)/2)*V83*Y83*VLOOKUP('Données projet'!$B$9,Paramètres!$A$1:$I$89,3,0)*0.475*44/12</f>
        <v>4.0887734673528824</v>
      </c>
      <c r="AC83" s="22">
        <f t="shared" si="57"/>
        <v>100.24823395729763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278.21846622758881</v>
      </c>
      <c r="AO83" s="59">
        <f t="shared" si="90"/>
        <v>245.37578316242906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274.01282051282055</v>
      </c>
      <c r="BB83" s="12">
        <f>VLOOKUP(A83,'Données projet'!$A$87:$I$107,9,0)</f>
        <v>7.8425925925925934</v>
      </c>
      <c r="BC83" s="12">
        <f t="array" ref="BC83">INDEX(BB:BB,MIN(IF(ISNUMBER(BB83:BB279),ROW(BB83:BB279),"")))</f>
        <v>7.8425925925925934</v>
      </c>
      <c r="BD83" s="12">
        <f>IF('Données projet'!$A$88&gt;35,BD82+BC83-BL82,IF(A83&lt;'Données projet'!$A$88,$BA$205^A83,IF(A83='Données projet'!$A$88,'Données projet'!$B$88,BD82+BC83-BL82)))</f>
        <v>274.01282051282072</v>
      </c>
      <c r="BE83" s="13">
        <f>BD83*VLOOKUP('Données projet'!$B$11,Paramètres!$A$1:$I$89,3,0)*VLOOKUP('Données projet'!$B$11,Paramètres!$A$1:$I$89,5,0)</f>
        <v>247.92680000000016</v>
      </c>
      <c r="BF83" s="13">
        <f t="shared" si="91"/>
        <v>60.141781345371967</v>
      </c>
      <c r="BG83" s="20">
        <f t="shared" si="61"/>
        <v>536.55277917652313</v>
      </c>
      <c r="BH83" s="59">
        <f t="shared" si="62"/>
        <v>829.8861125098565</v>
      </c>
      <c r="BI83" s="59">
        <f ca="1">AVERAGE(OFFSET($BH$3,0,0,'Données projet'!$E$11+1,1))-AVERAGE(OFFSET($H$3,0,0,'Données projet'!$E$11+1,1))</f>
        <v>270.87836509222456</v>
      </c>
      <c r="BJ83" s="59">
        <f t="shared" si="92"/>
        <v>205.24998237949734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45.608974358974358</v>
      </c>
      <c r="BM83" s="16">
        <f>IF(ISNA(VLOOKUP(A83,'Données projet'!$A$87:$I$107,5,0)),0%,VLOOKUP(A83,'Données projet'!$A$87:$I$107,5,0)*VLOOKUP('Données projet'!$B$11,Paramètres!$A$1:$I$89,7,0))</f>
        <v>0.30099999999999999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32.763017332710646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32.763017332710646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274.01282051282055</v>
      </c>
      <c r="BW83" s="12">
        <f>VLOOKUP(A83,'Données projet'!$A$113:$I$133,9,0)</f>
        <v>7.8425925925925934</v>
      </c>
      <c r="BX83" s="12">
        <f t="array" ref="BX83">INDEX(BW:BW,MIN(IF(ISNUMBER(BW83:BW279),ROW(BW83:BW279),"")))</f>
        <v>7.8425925925925934</v>
      </c>
      <c r="BY83" s="12">
        <f>IF('Données projet'!$A$114&gt;35,BY82+BX83-CG82,IF(A83&lt;'Données projet'!$A$114,$BV$205^A83,IF(A83='Données projet'!$A$114,'Données projet'!$B$114,BY82+BX83-CG82)))</f>
        <v>274.01282051282072</v>
      </c>
      <c r="BZ83" s="13">
        <f>BY83*VLOOKUP('Données projet'!$B$12,Paramètres!$A$1:$I$89,3,0)*VLOOKUP('Données projet'!$B$12,Paramètres!$A$1:$I$89,5,0)</f>
        <v>277.84900000000027</v>
      </c>
      <c r="CA83" s="13">
        <f t="shared" si="93"/>
        <v>66.512236926053845</v>
      </c>
      <c r="CB83" s="20">
        <f t="shared" si="64"/>
        <v>599.76248764621096</v>
      </c>
      <c r="CC83" s="59">
        <f t="shared" si="65"/>
        <v>893.09582097954421</v>
      </c>
      <c r="CD83" s="59">
        <f ca="1">AVERAGE(OFFSET($CC$3,0,0,'Données projet'!$E$12+1,1))-AVERAGE(OFFSET($H$3,0,0,'Données projet'!$E$12+1,1))</f>
        <v>312.29056285877169</v>
      </c>
      <c r="CE83" s="59">
        <f t="shared" si="94"/>
        <v>233.85454224241693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45.608974358974358</v>
      </c>
      <c r="CH83" s="16">
        <f>IF(ISNA(VLOOKUP(A83,'Données projet'!$A$113:$I$133,5,0)),0%,VLOOKUP(A83,'Données projet'!$A$113:$I$133,5,0)*VLOOKUP('Données projet'!$B$12,Paramètres!$A$1:$I$89,7,0))</f>
        <v>0.30099999999999999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36.717174597003321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36.717174597003321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5.5042735042735051</v>
      </c>
      <c r="CT83" s="12">
        <f>IF('Données projet'!$A$140&gt;35,CT82+CS83-DB82,IF(A83&lt;'Données projet'!$A$140,$CQ$205^A83,IF(A83='Données projet'!$A$140,'Données projet'!$B$140,CT82+CS83-DB82)))</f>
        <v>177.98931623931617</v>
      </c>
      <c r="CU83" s="17">
        <f>CT83*VLOOKUP('Données projet'!$B$13,Paramètres!$A$1:$I$89,3,0)*VLOOKUP('Données projet'!$B$13,Paramètres!$A$1:$I$89,5,0)</f>
        <v>202.69423333333324</v>
      </c>
      <c r="CV83" s="13">
        <f t="shared" si="95"/>
        <v>50.335816748531876</v>
      </c>
      <c r="CW83" s="20">
        <f t="shared" si="67"/>
        <v>440.69400389258175</v>
      </c>
      <c r="CX83" s="59">
        <f t="shared" si="68"/>
        <v>734.02733722591506</v>
      </c>
      <c r="CY83" s="59">
        <f ca="1">AVERAGE(OFFSET($CX$3,0,0,'Données projet'!$E$13+1,1))-AVERAGE(OFFSET($H$3,0,0,'Données projet'!$E$13+1,1))</f>
        <v>292.22737648725354</v>
      </c>
      <c r="CZ83" s="59">
        <f t="shared" si="96"/>
        <v>182.84038581199871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10.61083210931041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10.61083210931041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5.5042735042735051</v>
      </c>
      <c r="DO83" s="12">
        <f>IF('Données projet'!$A$166&gt;35,DO82+DN83-DW82,IF(A83&lt;'Données projet'!$A$166,$DL$205^A83,IF(A83='Données projet'!$A$166,'Données projet'!$B$166,DO82+DN83-DW82)))</f>
        <v>177.98931623931617</v>
      </c>
      <c r="DP83" s="17">
        <f>DO83*VLOOKUP('Données projet'!$B$14,Paramètres!$A$1:$I$89,3,0)*VLOOKUP('Données projet'!$B$14,Paramètres!$A$1:$I$89,5,0)</f>
        <v>194.36433333333326</v>
      </c>
      <c r="DQ83" s="13">
        <f t="shared" si="97"/>
        <v>48.503565949887204</v>
      </c>
      <c r="DR83" s="20">
        <f t="shared" si="70"/>
        <v>422.99492458494228</v>
      </c>
      <c r="DS83" s="59">
        <f t="shared" si="71"/>
        <v>716.32825791827554</v>
      </c>
      <c r="DT83" s="59">
        <f ca="1">AVERAGE(OFFSET($DS$3,0,0,'Données projet'!$E$14+1,1))-AVERAGE(OFFSET($H$3,0,0,'Données projet'!$E$14+1,1))</f>
        <v>276.52126514622455</v>
      </c>
      <c r="DU83" s="59">
        <f t="shared" si="98"/>
        <v>173.98404849503186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10.174770515777103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10.174770515777103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5.5042735042735051</v>
      </c>
      <c r="EJ83" s="12">
        <f>IF('Données projet'!$A$192&gt;35,EJ82+EI83-ER82,IF(A83&lt;'Données projet'!$A$192,$EG$205^A83,IF(A83='Données projet'!$A$192,'Données projet'!$B$192,EJ82+EI83-ER82)))</f>
        <v>177.98931623931617</v>
      </c>
      <c r="EK83" s="17">
        <f>EJ83*VLOOKUP('Données projet'!$B$15,Paramètres!$A$1:$I$89,3,0)*VLOOKUP('Données projet'!$B$15,Paramètres!$A$1:$I$89,5,0)</f>
        <v>172.1512666666666</v>
      </c>
      <c r="EL83" s="13">
        <f t="shared" si="99"/>
        <v>43.571482564283073</v>
      </c>
      <c r="EM83" s="20">
        <f t="shared" si="73"/>
        <v>375.71712157723732</v>
      </c>
      <c r="EN83" s="59">
        <f t="shared" si="74"/>
        <v>669.05045491057058</v>
      </c>
      <c r="EO83" s="59">
        <f ca="1">AVERAGE(OFFSET($EN$3,0,0,'Données projet'!$E$15+1,1))-AVERAGE(OFFSET($H$3,0,0,'Données projet'!$E$15+1,1))</f>
        <v>234.56750794375012</v>
      </c>
      <c r="EP83" s="59">
        <f t="shared" si="100"/>
        <v>150.32420541314724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9.0119395996882936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9.0119395996882936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12.124038461538468</v>
      </c>
      <c r="N84" s="13">
        <f>IF('Données projet'!$A$36&gt;35,N83+M84-V83,IF(A84&lt;'Données projet'!$A$36,$K$205^A84,IF(A84='Données projet'!$A$36,'Données projet'!$B$36,N83+M84-V83)))</f>
        <v>383.77115384615399</v>
      </c>
      <c r="O84" s="13">
        <f>N84*VLOOKUP('Données projet'!$B$9,Paramètres!$A$1:$I$89,3,0)*VLOOKUP('Données projet'!$B$9,Paramètres!$A$1:$I$89,5,0)</f>
        <v>179.60490000000007</v>
      </c>
      <c r="P84" s="13">
        <f t="shared" si="87"/>
        <v>45.234272457213635</v>
      </c>
      <c r="Q84" s="20">
        <f t="shared" si="54"/>
        <v>391.59489202964716</v>
      </c>
      <c r="R84" s="59">
        <f t="shared" si="55"/>
        <v>684.92822536298047</v>
      </c>
      <c r="S84" s="59">
        <f ca="1">AVERAGE(OFFSET($R$3,0,0,'Données projet'!$E$9+1,1))-AVERAGE(OFFSET($H$3,0,0,'Données projet'!$E$9+1,1))</f>
        <v>198.17898804494365</v>
      </c>
      <c r="T84" s="59">
        <f t="shared" si="88"/>
        <v>186.24772922797723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68.017918499176531</v>
      </c>
      <c r="AA84" s="21">
        <f>EXP(-LN(2)/25)*AA83+(1-EXP(-LN(2)/25))/(LN(2)/25)*Calculateur!V84*Calculateur!X84*VLOOKUP('Données projet'!$B$9,Paramètres!$A$1:$I$89,3,0)*0.475*44/12</f>
        <v>26.048744270281826</v>
      </c>
      <c r="AB84" s="21">
        <f>EXP(-LN(2)/2)*AB83+(1-EXP(-LN(2)/2))/(LN(2)/2)*V84*Y84*VLOOKUP('Données projet'!$B$9,Paramètres!$A$1:$I$89,3,0)*0.475*44/12</f>
        <v>2.8911994455008561</v>
      </c>
      <c r="AC84" s="22">
        <f t="shared" si="57"/>
        <v>96.957862214959221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278.21846622758881</v>
      </c>
      <c r="AO84" s="59">
        <f t="shared" si="90"/>
        <v>245.37578316242906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7.4950142450142421</v>
      </c>
      <c r="BD84" s="12">
        <f>IF('Données projet'!$A$88&gt;35,BD83+BC84-BL83,IF(A84&lt;'Données projet'!$A$88,$BA$205^A84,IF(A84='Données projet'!$A$88,'Données projet'!$B$88,BD83+BC84-BL83)))</f>
        <v>235.89886039886062</v>
      </c>
      <c r="BE84" s="13">
        <f>BD84*VLOOKUP('Données projet'!$B$11,Paramètres!$A$1:$I$89,3,0)*VLOOKUP('Données projet'!$B$11,Paramètres!$A$1:$I$89,5,0)</f>
        <v>213.44128888888909</v>
      </c>
      <c r="BF84" s="13">
        <f t="shared" si="91"/>
        <v>52.686881026481977</v>
      </c>
      <c r="BG84" s="20">
        <f t="shared" si="61"/>
        <v>463.50656260260456</v>
      </c>
      <c r="BH84" s="59">
        <f t="shared" si="62"/>
        <v>756.83989593593788</v>
      </c>
      <c r="BI84" s="59">
        <f ca="1">AVERAGE(OFFSET($BH$3,0,0,'Données projet'!$E$11+1,1))-AVERAGE(OFFSET($H$3,0,0,'Données projet'!$E$11+1,1))</f>
        <v>270.87836509222456</v>
      </c>
      <c r="BJ84" s="59">
        <f t="shared" si="92"/>
        <v>205.24998237949734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32.120554546283557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32.120554546283557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7.4950142450142421</v>
      </c>
      <c r="BY84" s="12">
        <f>IF('Données projet'!$A$114&gt;35,BY83+BX84-CG83,IF(A84&lt;'Données projet'!$A$114,$BV$205^A84,IF(A84='Données projet'!$A$114,'Données projet'!$B$114,BY83+BX84-CG83)))</f>
        <v>235.89886039886062</v>
      </c>
      <c r="BZ84" s="13">
        <f>BY84*VLOOKUP('Données projet'!$B$12,Paramètres!$A$1:$I$89,3,0)*VLOOKUP('Données projet'!$B$12,Paramètres!$A$1:$I$89,5,0)</f>
        <v>239.20144444444466</v>
      </c>
      <c r="CA84" s="13">
        <f t="shared" si="93"/>
        <v>58.267684051527382</v>
      </c>
      <c r="CB84" s="20">
        <f t="shared" si="64"/>
        <v>518.0920654638179</v>
      </c>
      <c r="CC84" s="59">
        <f t="shared" si="65"/>
        <v>811.42539879715127</v>
      </c>
      <c r="CD84" s="59">
        <f ca="1">AVERAGE(OFFSET($CC$3,0,0,'Données projet'!$E$12+1,1))-AVERAGE(OFFSET($H$3,0,0,'Données projet'!$E$12+1,1))</f>
        <v>312.29056285877169</v>
      </c>
      <c r="CE84" s="59">
        <f t="shared" si="94"/>
        <v>233.85454224241693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35.997173198421244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35.997173198421244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5.5042735042735051</v>
      </c>
      <c r="CT84" s="12">
        <f>IF('Données projet'!$A$140&gt;35,CT83+CS84-DB83,IF(A84&lt;'Données projet'!$A$140,$CQ$205^A84,IF(A84='Données projet'!$A$140,'Données projet'!$B$140,CT83+CS84-DB83)))</f>
        <v>183.49358974358967</v>
      </c>
      <c r="CU84" s="17">
        <f>CT84*VLOOKUP('Données projet'!$B$13,Paramètres!$A$1:$I$89,3,0)*VLOOKUP('Données projet'!$B$13,Paramètres!$A$1:$I$89,5,0)</f>
        <v>208.96249999999989</v>
      </c>
      <c r="CV84" s="13">
        <f t="shared" si="95"/>
        <v>51.708800534959131</v>
      </c>
      <c r="CW84" s="20">
        <f t="shared" si="67"/>
        <v>454.00251509838694</v>
      </c>
      <c r="CX84" s="59">
        <f t="shared" si="68"/>
        <v>747.33584843172025</v>
      </c>
      <c r="CY84" s="59">
        <f ca="1">AVERAGE(OFFSET($CX$3,0,0,'Données projet'!$E$13+1,1))-AVERAGE(OFFSET($H$3,0,0,'Données projet'!$E$13+1,1))</f>
        <v>292.22737648725354</v>
      </c>
      <c r="CZ84" s="59">
        <f t="shared" si="96"/>
        <v>182.84038581199871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10.402760163615365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10.402760163615365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5.5042735042735051</v>
      </c>
      <c r="DO84" s="12">
        <f>IF('Données projet'!$A$166&gt;35,DO83+DN84-DW83,IF(A84&lt;'Données projet'!$A$166,$DL$205^A84,IF(A84='Données projet'!$A$166,'Données projet'!$B$166,DO83+DN84-DW83)))</f>
        <v>183.49358974358967</v>
      </c>
      <c r="DP84" s="17">
        <f>DO84*VLOOKUP('Données projet'!$B$14,Paramètres!$A$1:$I$89,3,0)*VLOOKUP('Données projet'!$B$14,Paramètres!$A$1:$I$89,5,0)</f>
        <v>200.37499999999991</v>
      </c>
      <c r="DQ84" s="13">
        <f t="shared" si="97"/>
        <v>49.826572388141543</v>
      </c>
      <c r="DR84" s="20">
        <f t="shared" si="70"/>
        <v>435.76773857601302</v>
      </c>
      <c r="DS84" s="59">
        <f t="shared" si="71"/>
        <v>729.10107190934627</v>
      </c>
      <c r="DT84" s="59">
        <f ca="1">AVERAGE(OFFSET($DS$3,0,0,'Données projet'!$E$14+1,1))-AVERAGE(OFFSET($H$3,0,0,'Données projet'!$E$14+1,1))</f>
        <v>276.52126514622455</v>
      </c>
      <c r="DU84" s="59">
        <f t="shared" si="98"/>
        <v>173.98404849503186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9.9752494719599376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9.9752494719599376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5.5042735042735051</v>
      </c>
      <c r="EJ84" s="12">
        <f>IF('Données projet'!$A$192&gt;35,EJ83+EI84-ER83,IF(A84&lt;'Données projet'!$A$192,$EG$205^A84,IF(A84='Données projet'!$A$192,'Données projet'!$B$192,EJ83+EI84-ER83)))</f>
        <v>183.49358974358967</v>
      </c>
      <c r="EK84" s="17">
        <f>EJ84*VLOOKUP('Données projet'!$B$15,Paramètres!$A$1:$I$89,3,0)*VLOOKUP('Données projet'!$B$15,Paramètres!$A$1:$I$89,5,0)</f>
        <v>177.47499999999994</v>
      </c>
      <c r="EL84" s="13">
        <f t="shared" si="99"/>
        <v>44.75995913972482</v>
      </c>
      <c r="EM84" s="20">
        <f t="shared" si="73"/>
        <v>387.05922050168732</v>
      </c>
      <c r="EN84" s="59">
        <f t="shared" si="74"/>
        <v>680.39255383502064</v>
      </c>
      <c r="EO84" s="59">
        <f ca="1">AVERAGE(OFFSET($EN$3,0,0,'Données projet'!$E$15+1,1))-AVERAGE(OFFSET($H$3,0,0,'Données projet'!$E$15+1,1))</f>
        <v>234.56750794375012</v>
      </c>
      <c r="EP84" s="59">
        <f t="shared" si="100"/>
        <v>150.32420541314724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8.8352209608788037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8.8352209608788037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12.124038461538468</v>
      </c>
      <c r="N85" s="13">
        <f>IF('Données projet'!$A$36&gt;35,N84+M85-V84,IF(A85&lt;'Données projet'!$A$36,$K$205^A85,IF(A85='Données projet'!$A$36,'Données projet'!$B$36,N84+M85-V84)))</f>
        <v>395.89519230769247</v>
      </c>
      <c r="O85" s="13">
        <f>N85*VLOOKUP('Données projet'!$B$9,Paramètres!$A$1:$I$89,3,0)*VLOOKUP('Données projet'!$B$9,Paramètres!$A$1:$I$89,5,0)</f>
        <v>185.27895000000009</v>
      </c>
      <c r="P85" s="13">
        <f t="shared" si="87"/>
        <v>46.494672172616063</v>
      </c>
      <c r="Q85" s="20">
        <f t="shared" si="54"/>
        <v>403.67239195063979</v>
      </c>
      <c r="R85" s="59">
        <f t="shared" si="55"/>
        <v>697.00572528397311</v>
      </c>
      <c r="S85" s="59">
        <f ca="1">AVERAGE(OFFSET($R$3,0,0,'Données projet'!$E$9+1,1))-AVERAGE(OFFSET($H$3,0,0,'Données projet'!$E$9+1,1))</f>
        <v>198.17898804494365</v>
      </c>
      <c r="T85" s="59">
        <f t="shared" si="88"/>
        <v>186.24772922797723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66.684128604241479</v>
      </c>
      <c r="AA85" s="21">
        <f>EXP(-LN(2)/25)*AA84+(1-EXP(-LN(2)/25))/(LN(2)/25)*Calculateur!V85*Calculateur!X85*VLOOKUP('Données projet'!$B$9,Paramètres!$A$1:$I$89,3,0)*0.475*44/12</f>
        <v>25.336439988367044</v>
      </c>
      <c r="AB85" s="21">
        <f>EXP(-LN(2)/2)*AB84+(1-EXP(-LN(2)/2))/(LN(2)/2)*V85*Y85*VLOOKUP('Données projet'!$B$9,Paramètres!$A$1:$I$89,3,0)*0.475*44/12</f>
        <v>2.0443867336764416</v>
      </c>
      <c r="AC85" s="22">
        <f t="shared" si="57"/>
        <v>94.064955326284974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278.21846622758881</v>
      </c>
      <c r="AO85" s="59">
        <f t="shared" si="90"/>
        <v>245.37578316242906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7.4950142450142421</v>
      </c>
      <c r="BD85" s="12">
        <f>IF('Données projet'!$A$88&gt;35,BD84+BC85-BL84,IF(A85&lt;'Données projet'!$A$88,$BA$205^A85,IF(A85='Données projet'!$A$88,'Données projet'!$B$88,BD84+BC85-BL84)))</f>
        <v>243.39387464387485</v>
      </c>
      <c r="BE85" s="13">
        <f>BD85*VLOOKUP('Données projet'!$B$11,Paramètres!$A$1:$I$89,3,0)*VLOOKUP('Données projet'!$B$11,Paramètres!$A$1:$I$89,5,0)</f>
        <v>220.22277777777796</v>
      </c>
      <c r="BF85" s="13">
        <f t="shared" si="91"/>
        <v>54.163302517364365</v>
      </c>
      <c r="BG85" s="20">
        <f t="shared" si="61"/>
        <v>477.88908984737282</v>
      </c>
      <c r="BH85" s="59">
        <f t="shared" si="62"/>
        <v>771.22242318070607</v>
      </c>
      <c r="BI85" s="59">
        <f ca="1">AVERAGE(OFFSET($BH$3,0,0,'Données projet'!$E$11+1,1))-AVERAGE(OFFSET($H$3,0,0,'Données projet'!$E$11+1,1))</f>
        <v>270.87836509222456</v>
      </c>
      <c r="BJ85" s="59">
        <f t="shared" si="92"/>
        <v>205.24998237949734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31.490690063234698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31.490690063234698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7.4950142450142421</v>
      </c>
      <c r="BY85" s="12">
        <f>IF('Données projet'!$A$114&gt;35,BY84+BX85-CG84,IF(A85&lt;'Données projet'!$A$114,$BV$205^A85,IF(A85='Données projet'!$A$114,'Données projet'!$B$114,BY84+BX85-CG84)))</f>
        <v>243.39387464387485</v>
      </c>
      <c r="BZ85" s="13">
        <f>BY85*VLOOKUP('Données projet'!$B$12,Paramètres!$A$1:$I$89,3,0)*VLOOKUP('Données projet'!$B$12,Paramètres!$A$1:$I$89,5,0)</f>
        <v>246.80138888888911</v>
      </c>
      <c r="CA85" s="13">
        <f t="shared" si="93"/>
        <v>59.900493951858735</v>
      </c>
      <c r="CB85" s="20">
        <f t="shared" si="64"/>
        <v>534.17244594763577</v>
      </c>
      <c r="CC85" s="59">
        <f t="shared" si="65"/>
        <v>827.50577928096914</v>
      </c>
      <c r="CD85" s="59">
        <f ca="1">AVERAGE(OFFSET($CC$3,0,0,'Données projet'!$E$12+1,1))-AVERAGE(OFFSET($H$3,0,0,'Données projet'!$E$12+1,1))</f>
        <v>312.29056285877169</v>
      </c>
      <c r="CE85" s="59">
        <f t="shared" si="94"/>
        <v>233.85454224241693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35.29129058810787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35.29129058810787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5.5042735042735051</v>
      </c>
      <c r="CT85" s="12">
        <f>IF('Données projet'!$A$140&gt;35,CT84+CS85-DB84,IF(A85&lt;'Données projet'!$A$140,$CQ$205^A85,IF(A85='Données projet'!$A$140,'Données projet'!$B$140,CT84+CS85-DB84)))</f>
        <v>188.99786324786317</v>
      </c>
      <c r="CU85" s="17">
        <f>CT85*VLOOKUP('Données projet'!$B$13,Paramètres!$A$1:$I$89,3,0)*VLOOKUP('Données projet'!$B$13,Paramètres!$A$1:$I$89,5,0)</f>
        <v>215.2307666666666</v>
      </c>
      <c r="CV85" s="13">
        <f t="shared" si="95"/>
        <v>53.076997928591858</v>
      </c>
      <c r="CW85" s="20">
        <f t="shared" si="67"/>
        <v>467.30269000340849</v>
      </c>
      <c r="CX85" s="59">
        <f t="shared" si="68"/>
        <v>760.6360233367418</v>
      </c>
      <c r="CY85" s="59">
        <f ca="1">AVERAGE(OFFSET($CX$3,0,0,'Données projet'!$E$13+1,1))-AVERAGE(OFFSET($H$3,0,0,'Données projet'!$E$13+1,1))</f>
        <v>292.22737648725354</v>
      </c>
      <c r="CZ85" s="59">
        <f t="shared" si="96"/>
        <v>182.84038581199871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10.198768381864046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10.198768381864046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5.5042735042735051</v>
      </c>
      <c r="DO85" s="12">
        <f>IF('Données projet'!$A$166&gt;35,DO84+DN85-DW84,IF(A85&lt;'Données projet'!$A$166,$DL$205^A85,IF(A85='Données projet'!$A$166,'Données projet'!$B$166,DO84+DN85-DW84)))</f>
        <v>188.99786324786317</v>
      </c>
      <c r="DP85" s="17">
        <f>DO85*VLOOKUP('Données projet'!$B$14,Paramètres!$A$1:$I$89,3,0)*VLOOKUP('Données projet'!$B$14,Paramètres!$A$1:$I$89,5,0)</f>
        <v>206.38566666666659</v>
      </c>
      <c r="DQ85" s="13">
        <f t="shared" si="97"/>
        <v>51.144966660873123</v>
      </c>
      <c r="DR85" s="20">
        <f t="shared" si="70"/>
        <v>448.53251971213166</v>
      </c>
      <c r="DS85" s="59">
        <f t="shared" si="71"/>
        <v>741.86585304546497</v>
      </c>
      <c r="DT85" s="59">
        <f ca="1">AVERAGE(OFFSET($DS$3,0,0,'Données projet'!$E$14+1,1))-AVERAGE(OFFSET($H$3,0,0,'Données projet'!$E$14+1,1))</f>
        <v>276.52126514622455</v>
      </c>
      <c r="DU85" s="59">
        <f t="shared" si="98"/>
        <v>173.98404849503186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9.7796409141162055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9.7796409141162055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5.5042735042735051</v>
      </c>
      <c r="EJ85" s="12">
        <f>IF('Données projet'!$A$192&gt;35,EJ84+EI85-ER84,IF(A85&lt;'Données projet'!$A$192,$EG$205^A85,IF(A85='Données projet'!$A$192,'Données projet'!$B$192,EJ84+EI85-ER84)))</f>
        <v>188.99786324786317</v>
      </c>
      <c r="EK85" s="17">
        <f>EJ85*VLOOKUP('Données projet'!$B$15,Paramètres!$A$1:$I$89,3,0)*VLOOKUP('Données projet'!$B$15,Paramètres!$A$1:$I$89,5,0)</f>
        <v>182.79873333333327</v>
      </c>
      <c r="EL85" s="13">
        <f t="shared" si="99"/>
        <v>45.944292537531553</v>
      </c>
      <c r="EM85" s="20">
        <f t="shared" si="73"/>
        <v>398.39410339175623</v>
      </c>
      <c r="EN85" s="59">
        <f t="shared" si="74"/>
        <v>691.72743672508955</v>
      </c>
      <c r="EO85" s="59">
        <f ca="1">AVERAGE(OFFSET($EN$3,0,0,'Données projet'!$E$15+1,1))-AVERAGE(OFFSET($H$3,0,0,'Données projet'!$E$15+1,1))</f>
        <v>234.56750794375012</v>
      </c>
      <c r="EP85" s="59">
        <f t="shared" si="100"/>
        <v>150.32420541314724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8.6619676667886409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8.6619676667886409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12.124038461538468</v>
      </c>
      <c r="N86" s="13">
        <f>IF('Données projet'!$A$36&gt;35,N85+M86-V85,IF(A86&lt;'Données projet'!$A$36,$K$205^A86,IF(A86='Données projet'!$A$36,'Données projet'!$B$36,N85+M86-V85)))</f>
        <v>408.01923076923094</v>
      </c>
      <c r="O86" s="13">
        <f>N86*VLOOKUP('Données projet'!$B$9,Paramètres!$A$1:$I$89,3,0)*VLOOKUP('Données projet'!$B$9,Paramètres!$A$1:$I$89,5,0)</f>
        <v>190.95300000000006</v>
      </c>
      <c r="P86" s="13">
        <f t="shared" si="87"/>
        <v>47.750586229034354</v>
      </c>
      <c r="Q86" s="20">
        <f t="shared" si="54"/>
        <v>415.7420793489016</v>
      </c>
      <c r="R86" s="59">
        <f t="shared" si="55"/>
        <v>709.07541268223486</v>
      </c>
      <c r="S86" s="59">
        <f ca="1">AVERAGE(OFFSET($R$3,0,0,'Données projet'!$E$9+1,1))-AVERAGE(OFFSET($H$3,0,0,'Données projet'!$E$9+1,1))</f>
        <v>198.17898804494365</v>
      </c>
      <c r="T86" s="59">
        <f t="shared" si="88"/>
        <v>186.24772922797723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65.376493515614598</v>
      </c>
      <c r="AA86" s="21">
        <f>EXP(-LN(2)/25)*AA85+(1-EXP(-LN(2)/25))/(LN(2)/25)*Calculateur!V86*Calculateur!X86*VLOOKUP('Données projet'!$B$9,Paramètres!$A$1:$I$89,3,0)*0.475*44/12</f>
        <v>24.643613704499675</v>
      </c>
      <c r="AB86" s="21">
        <f>EXP(-LN(2)/2)*AB85+(1-EXP(-LN(2)/2))/(LN(2)/2)*V86*Y86*VLOOKUP('Données projet'!$B$9,Paramètres!$A$1:$I$89,3,0)*0.475*44/12</f>
        <v>1.4455997227504283</v>
      </c>
      <c r="AC86" s="22">
        <f t="shared" si="57"/>
        <v>91.465706942864699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278.21846622758881</v>
      </c>
      <c r="AO86" s="59">
        <f t="shared" si="90"/>
        <v>245.37578316242906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7.4950142450142421</v>
      </c>
      <c r="BD86" s="12">
        <f>IF('Données projet'!$A$88&gt;35,BD85+BC86-BL85,IF(A86&lt;'Données projet'!$A$88,$BA$205^A86,IF(A86='Données projet'!$A$88,'Données projet'!$B$88,BD85+BC86-BL85)))</f>
        <v>250.88888888888908</v>
      </c>
      <c r="BE86" s="13">
        <f>BD86*VLOOKUP('Données projet'!$B$11,Paramètres!$A$1:$I$89,3,0)*VLOOKUP('Données projet'!$B$11,Paramètres!$A$1:$I$89,5,0)</f>
        <v>227.00426666666684</v>
      </c>
      <c r="BF86" s="13">
        <f t="shared" si="91"/>
        <v>55.634440522110118</v>
      </c>
      <c r="BG86" s="20">
        <f t="shared" si="61"/>
        <v>492.26241502045315</v>
      </c>
      <c r="BH86" s="59">
        <f t="shared" si="62"/>
        <v>785.59574835378646</v>
      </c>
      <c r="BI86" s="59">
        <f ca="1">AVERAGE(OFFSET($BH$3,0,0,'Données projet'!$E$11+1,1))-AVERAGE(OFFSET($H$3,0,0,'Données projet'!$E$11+1,1))</f>
        <v>270.87836509222456</v>
      </c>
      <c r="BJ86" s="59">
        <f t="shared" si="92"/>
        <v>205.24998237949734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30.873176838519029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30.873176838519029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7.4950142450142421</v>
      </c>
      <c r="BY86" s="12">
        <f>IF('Données projet'!$A$114&gt;35,BY85+BX86-CG85,IF(A86&lt;'Données projet'!$A$114,$BV$205^A86,IF(A86='Données projet'!$A$114,'Données projet'!$B$114,BY85+BX86-CG85)))</f>
        <v>250.88888888888908</v>
      </c>
      <c r="BZ86" s="13">
        <f>BY86*VLOOKUP('Données projet'!$B$12,Paramètres!$A$1:$I$89,3,0)*VLOOKUP('Données projet'!$B$12,Paramètres!$A$1:$I$89,5,0)</f>
        <v>254.40133333333353</v>
      </c>
      <c r="CA86" s="13">
        <f t="shared" si="93"/>
        <v>61.527460718284608</v>
      </c>
      <c r="CB86" s="20">
        <f t="shared" si="64"/>
        <v>550.24264963990152</v>
      </c>
      <c r="CC86" s="59">
        <f t="shared" si="65"/>
        <v>843.57598297323489</v>
      </c>
      <c r="CD86" s="59">
        <f ca="1">AVERAGE(OFFSET($CC$3,0,0,'Données projet'!$E$12+1,1))-AVERAGE(OFFSET($H$3,0,0,'Données projet'!$E$12+1,1))</f>
        <v>312.29056285877169</v>
      </c>
      <c r="CE86" s="59">
        <f t="shared" si="94"/>
        <v>233.85454224241693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34.59924990523686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34.59924990523686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5.5042735042735051</v>
      </c>
      <c r="CT86" s="12">
        <f>IF('Données projet'!$A$140&gt;35,CT85+CS86-DB85,IF(A86&lt;'Données projet'!$A$140,$CQ$205^A86,IF(A86='Données projet'!$A$140,'Données projet'!$B$140,CT85+CS86-DB85)))</f>
        <v>194.50213675213666</v>
      </c>
      <c r="CU86" s="17">
        <f>CT86*VLOOKUP('Données projet'!$B$13,Paramètres!$A$1:$I$89,3,0)*VLOOKUP('Données projet'!$B$13,Paramètres!$A$1:$I$89,5,0)</f>
        <v>221.49903333333322</v>
      </c>
      <c r="CV86" s="13">
        <f t="shared" si="95"/>
        <v>54.44056433258185</v>
      </c>
      <c r="CW86" s="20">
        <f t="shared" si="67"/>
        <v>480.59479926813538</v>
      </c>
      <c r="CX86" s="59">
        <f t="shared" si="68"/>
        <v>773.92813260146863</v>
      </c>
      <c r="CY86" s="59">
        <f ca="1">AVERAGE(OFFSET($CX$3,0,0,'Données projet'!$E$13+1,1))-AVERAGE(OFFSET($H$3,0,0,'Données projet'!$E$13+1,1))</f>
        <v>292.22737648725354</v>
      </c>
      <c r="CZ86" s="59">
        <f t="shared" si="96"/>
        <v>182.84038581199871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9.9987767545301676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9.9987767545301676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5.5042735042735051</v>
      </c>
      <c r="DO86" s="12">
        <f>IF('Données projet'!$A$166&gt;35,DO85+DN86-DW85,IF(A86&lt;'Données projet'!$A$166,$DL$205^A86,IF(A86='Données projet'!$A$166,'Données projet'!$B$166,DO85+DN86-DW85)))</f>
        <v>194.50213675213666</v>
      </c>
      <c r="DP86" s="17">
        <f>DO86*VLOOKUP('Données projet'!$B$14,Paramètres!$A$1:$I$89,3,0)*VLOOKUP('Données projet'!$B$14,Paramètres!$A$1:$I$89,5,0)</f>
        <v>212.39633333333322</v>
      </c>
      <c r="DQ86" s="13">
        <f t="shared" si="97"/>
        <v>52.458898514475372</v>
      </c>
      <c r="DR86" s="20">
        <f t="shared" si="70"/>
        <v>461.28952880159983</v>
      </c>
      <c r="DS86" s="59">
        <f t="shared" si="71"/>
        <v>754.62286213493314</v>
      </c>
      <c r="DT86" s="59">
        <f ca="1">AVERAGE(OFFSET($DS$3,0,0,'Données projet'!$E$14+1,1))-AVERAGE(OFFSET($H$3,0,0,'Données projet'!$E$14+1,1))</f>
        <v>276.52126514622455</v>
      </c>
      <c r="DU86" s="59">
        <f t="shared" si="98"/>
        <v>173.98404849503186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9.5878681207823497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9.5878681207823497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5.5042735042735051</v>
      </c>
      <c r="EJ86" s="12">
        <f>IF('Données projet'!$A$192&gt;35,EJ85+EI86-ER85,IF(A86&lt;'Données projet'!$A$192,$EG$205^A86,IF(A86='Données projet'!$A$192,'Données projet'!$B$192,EJ85+EI86-ER85)))</f>
        <v>194.50213675213666</v>
      </c>
      <c r="EK86" s="17">
        <f>EJ86*VLOOKUP('Données projet'!$B$15,Paramètres!$A$1:$I$89,3,0)*VLOOKUP('Données projet'!$B$15,Paramètres!$A$1:$I$89,5,0)</f>
        <v>188.12246666666658</v>
      </c>
      <c r="EL86" s="13">
        <f t="shared" si="99"/>
        <v>47.124617277140104</v>
      </c>
      <c r="EM86" s="20">
        <f t="shared" si="73"/>
        <v>409.72200453546321</v>
      </c>
      <c r="EN86" s="59">
        <f t="shared" si="74"/>
        <v>703.05533786879653</v>
      </c>
      <c r="EO86" s="59">
        <f ca="1">AVERAGE(OFFSET($EN$3,0,0,'Données projet'!$E$15+1,1))-AVERAGE(OFFSET($H$3,0,0,'Données projet'!$E$15+1,1))</f>
        <v>234.56750794375012</v>
      </c>
      <c r="EP86" s="59">
        <f t="shared" si="100"/>
        <v>150.32420541314724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8.4921117641215123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8.4921117641215123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12.124038461538468</v>
      </c>
      <c r="N87" s="13">
        <f>IF('Données projet'!$A$36&gt;35,N86+M87-V86,IF(A87&lt;'Données projet'!$A$36,$K$205^A87,IF(A87='Données projet'!$A$36,'Données projet'!$B$36,N86+M87-V86)))</f>
        <v>420.14326923076942</v>
      </c>
      <c r="O87" s="13">
        <f>N87*VLOOKUP('Données projet'!$B$9,Paramètres!$A$1:$I$89,3,0)*VLOOKUP('Données projet'!$B$9,Paramètres!$A$1:$I$89,5,0)</f>
        <v>196.62705000000008</v>
      </c>
      <c r="P87" s="13">
        <f t="shared" si="87"/>
        <v>49.002163217129386</v>
      </c>
      <c r="Q87" s="20">
        <f t="shared" si="54"/>
        <v>427.80421301983375</v>
      </c>
      <c r="R87" s="59">
        <f t="shared" si="55"/>
        <v>721.13754635316707</v>
      </c>
      <c r="S87" s="59">
        <f ca="1">AVERAGE(OFFSET($R$3,0,0,'Données projet'!$E$9+1,1))-AVERAGE(OFFSET($H$3,0,0,'Données projet'!$E$9+1,1))</f>
        <v>198.17898804494365</v>
      </c>
      <c r="T87" s="59">
        <f t="shared" si="88"/>
        <v>186.24772922797723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64.09450035349704</v>
      </c>
      <c r="AA87" s="21">
        <f>EXP(-LN(2)/25)*AA86+(1-EXP(-LN(2)/25))/(LN(2)/25)*Calculateur!V87*Calculateur!X87*VLOOKUP('Données projet'!$B$9,Paramètres!$A$1:$I$89,3,0)*0.475*44/12</f>
        <v>23.969732791798812</v>
      </c>
      <c r="AB87" s="21">
        <f>EXP(-LN(2)/2)*AB86+(1-EXP(-LN(2)/2))/(LN(2)/2)*V87*Y87*VLOOKUP('Données projet'!$B$9,Paramètres!$A$1:$I$89,3,0)*0.475*44/12</f>
        <v>1.0221933668382208</v>
      </c>
      <c r="AC87" s="22">
        <f t="shared" si="57"/>
        <v>89.086426512134068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278.21846622758881</v>
      </c>
      <c r="AO87" s="59">
        <f t="shared" si="90"/>
        <v>245.37578316242906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7.4950142450142421</v>
      </c>
      <c r="BD87" s="12">
        <f>IF('Données projet'!$A$88&gt;35,BD86+BC87-BL86,IF(A87&lt;'Données projet'!$A$88,$BA$205^A87,IF(A87='Données projet'!$A$88,'Données projet'!$B$88,BD86+BC87-BL86)))</f>
        <v>258.38390313390335</v>
      </c>
      <c r="BE87" s="13">
        <f>BD87*VLOOKUP('Données projet'!$B$11,Paramètres!$A$1:$I$89,3,0)*VLOOKUP('Données projet'!$B$11,Paramètres!$A$1:$I$89,5,0)</f>
        <v>233.78575555555574</v>
      </c>
      <c r="BF87" s="13">
        <f t="shared" si="91"/>
        <v>57.10047099813341</v>
      </c>
      <c r="BG87" s="20">
        <f t="shared" si="61"/>
        <v>506.62684458100858</v>
      </c>
      <c r="BH87" s="59">
        <f t="shared" si="62"/>
        <v>799.9601779143419</v>
      </c>
      <c r="BI87" s="59">
        <f ca="1">AVERAGE(OFFSET($BH$3,0,0,'Données projet'!$E$11+1,1))-AVERAGE(OFFSET($H$3,0,0,'Données projet'!$E$11+1,1))</f>
        <v>270.87836509222456</v>
      </c>
      <c r="BJ87" s="59">
        <f t="shared" si="92"/>
        <v>205.24998237949734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30.267772671494157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30.267772671494157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7.4950142450142421</v>
      </c>
      <c r="BY87" s="12">
        <f>IF('Données projet'!$A$114&gt;35,BY86+BX87-CG86,IF(A87&lt;'Données projet'!$A$114,$BV$205^A87,IF(A87='Données projet'!$A$114,'Données projet'!$B$114,BY86+BX87-CG86)))</f>
        <v>258.38390313390335</v>
      </c>
      <c r="BZ87" s="13">
        <f>BY87*VLOOKUP('Données projet'!$B$12,Paramètres!$A$1:$I$89,3,0)*VLOOKUP('Données projet'!$B$12,Paramètres!$A$1:$I$89,5,0)</f>
        <v>262.001277777778</v>
      </c>
      <c r="CA87" s="13">
        <f t="shared" si="93"/>
        <v>63.148778946325088</v>
      </c>
      <c r="CB87" s="20">
        <f t="shared" si="64"/>
        <v>566.30301546114617</v>
      </c>
      <c r="CC87" s="59">
        <f t="shared" si="65"/>
        <v>859.63634879447955</v>
      </c>
      <c r="CD87" s="59">
        <f ca="1">AVERAGE(OFFSET($CC$3,0,0,'Données projet'!$E$12+1,1))-AVERAGE(OFFSET($H$3,0,0,'Données projet'!$E$12+1,1))</f>
        <v>312.29056285877169</v>
      </c>
      <c r="CE87" s="59">
        <f t="shared" si="94"/>
        <v>233.85454224241693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33.920779718053815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33.920779718053815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200.00641025641025</v>
      </c>
      <c r="CR87" s="12">
        <f>VLOOKUP(A87,'Données projet'!$A$139:$I$159,9,0)</f>
        <v>5.5042735042735051</v>
      </c>
      <c r="CS87" s="12">
        <f t="array" ref="CS87">INDEX(CR:CR,MIN(IF(ISNUMBER(CR87:CR283),ROW(CR87:CR283),"")))</f>
        <v>5.5042735042735051</v>
      </c>
      <c r="CT87" s="12">
        <f>IF('Données projet'!$A$140&gt;35,CT86+CS87-DB86,IF(A87&lt;'Données projet'!$A$140,$CQ$205^A87,IF(A87='Données projet'!$A$140,'Données projet'!$B$140,CT86+CS87-DB86)))</f>
        <v>200.00641025641016</v>
      </c>
      <c r="CU87" s="17">
        <f>CT87*VLOOKUP('Données projet'!$B$13,Paramètres!$A$1:$I$89,3,0)*VLOOKUP('Données projet'!$B$13,Paramètres!$A$1:$I$89,5,0)</f>
        <v>227.76729999999986</v>
      </c>
      <c r="CV87" s="13">
        <f t="shared" si="95"/>
        <v>55.799645854137196</v>
      </c>
      <c r="CW87" s="20">
        <f t="shared" si="67"/>
        <v>493.87909736262208</v>
      </c>
      <c r="CX87" s="59">
        <f t="shared" si="68"/>
        <v>787.21243069595539</v>
      </c>
      <c r="CY87" s="59">
        <f ca="1">AVERAGE(OFFSET($CX$3,0,0,'Données projet'!$E$13+1,1))-AVERAGE(OFFSET($H$3,0,0,'Données projet'!$E$13+1,1))</f>
        <v>292.22737648725354</v>
      </c>
      <c r="CZ87" s="59">
        <f t="shared" si="96"/>
        <v>182.84038581199871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35.083333333333329</v>
      </c>
      <c r="DC87" s="16">
        <f>IF(ISNA(VLOOKUP(A87,'Données projet'!$A$139:$I$159,5,0)),0%,VLOOKUP(A87,'Données projet'!$A$139:$I$159,5,0)*VLOOKUP('Données projet'!$B$13,Paramètres!$A$1:$I$89,7,0))</f>
        <v>0.30099999999999999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23.096897846484502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23.096897846484502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200.00641025641025</v>
      </c>
      <c r="DM87" s="12">
        <f>VLOOKUP(A87,'Données projet'!$A$165:$I$185,9,0)</f>
        <v>5.5042735042735051</v>
      </c>
      <c r="DN87" s="12">
        <f t="array" ref="DN87">INDEX(DM:DM,MIN(IF(ISNUMBER(DM87:DM283),ROW(DM87:DM283),"")))</f>
        <v>5.5042735042735051</v>
      </c>
      <c r="DO87" s="12">
        <f>IF('Données projet'!$A$166&gt;35,DO86+DN87-DW86,IF(A87&lt;'Données projet'!$A$166,$DL$205^A87,IF(A87='Données projet'!$A$166,'Données projet'!$B$166,DO86+DN87-DW86)))</f>
        <v>200.00641025641016</v>
      </c>
      <c r="DP87" s="17">
        <f>DO87*VLOOKUP('Données projet'!$B$14,Paramètres!$A$1:$I$89,3,0)*VLOOKUP('Données projet'!$B$14,Paramètres!$A$1:$I$89,5,0)</f>
        <v>218.4069999999999</v>
      </c>
      <c r="DQ87" s="13">
        <f t="shared" si="97"/>
        <v>53.768508737775321</v>
      </c>
      <c r="DR87" s="20">
        <f t="shared" si="70"/>
        <v>474.0390110516251</v>
      </c>
      <c r="DS87" s="59">
        <f t="shared" si="71"/>
        <v>767.37234438495841</v>
      </c>
      <c r="DT87" s="59">
        <f ca="1">AVERAGE(OFFSET($DS$3,0,0,'Données projet'!$E$14+1,1))-AVERAGE(OFFSET($H$3,0,0,'Données projet'!$E$14+1,1))</f>
        <v>276.52126514622455</v>
      </c>
      <c r="DU87" s="59">
        <f t="shared" si="98"/>
        <v>173.98404849503186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35.083333333333329</v>
      </c>
      <c r="DX87" s="16">
        <f>IF(ISNA(VLOOKUP(A87,'Données projet'!$A$165:$I$185,5,0)),0%,VLOOKUP(A87,'Données projet'!$A$165:$I$185,5,0)*VLOOKUP('Données projet'!$B$14,Paramètres!$A$1:$I$89,7,0))</f>
        <v>0.30099999999999999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22.147710263752259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22.147710263752259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projet'!$A$191:$I$211,2,0)</f>
        <v>200.00641025641025</v>
      </c>
      <c r="EH87" s="12">
        <f>VLOOKUP(A87,'Données projet'!$A$191:$I$211,9,0)</f>
        <v>5.5042735042735051</v>
      </c>
      <c r="EI87" s="12">
        <f t="array" ref="EI87">INDEX(EH:EH,MIN(IF(ISNUMBER(EH87:EH283),ROW(EH87:EH283),"")))</f>
        <v>5.5042735042735051</v>
      </c>
      <c r="EJ87" s="12">
        <f>IF('Données projet'!$A$192&gt;35,EJ86+EI87-ER86,IF(A87&lt;'Données projet'!$A$192,$EG$205^A87,IF(A87='Données projet'!$A$192,'Données projet'!$B$192,EJ86+EI87-ER86)))</f>
        <v>200.00641025641016</v>
      </c>
      <c r="EK87" s="17">
        <f>EJ87*VLOOKUP('Données projet'!$B$15,Paramètres!$A$1:$I$89,3,0)*VLOOKUP('Données projet'!$B$15,Paramètres!$A$1:$I$89,5,0)</f>
        <v>193.44619999999992</v>
      </c>
      <c r="EL87" s="13">
        <f t="shared" si="99"/>
        <v>48.301059831270564</v>
      </c>
      <c r="EM87" s="20">
        <f t="shared" si="73"/>
        <v>421.0431442061294</v>
      </c>
      <c r="EN87" s="59">
        <f t="shared" si="74"/>
        <v>714.37647753946271</v>
      </c>
      <c r="EO87" s="59">
        <f ca="1">AVERAGE(OFFSET($EN$3,0,0,'Données projet'!$E$15+1,1))-AVERAGE(OFFSET($H$3,0,0,'Données projet'!$E$15+1,1))</f>
        <v>234.56750794375012</v>
      </c>
      <c r="EP87" s="59">
        <f t="shared" si="100"/>
        <v>150.32420541314724</v>
      </c>
      <c r="EQ87" s="15">
        <f>IF(ISNA(VLOOKUP(A87,'Données projet'!$A$191:$I$211,3,0)),0,VLOOKUP(A87,'Données projet'!$A$191:$I$211,3,0))</f>
        <v>6</v>
      </c>
      <c r="ER87" s="15">
        <f>IF(ISNA(VLOOKUP(A87,'Données projet'!$A$191:$I$211,4,0)),0,VLOOKUP(A87,'Données projet'!$A$191:$I$211,4,0))</f>
        <v>35.083333333333329</v>
      </c>
      <c r="ES87" s="16">
        <f>IF(ISNA(VLOOKUP(A87,'Données projet'!$A$191:$I$211,5,0)),0%,VLOOKUP(A87,'Données projet'!$A$191:$I$211,5,0)*VLOOKUP('Données projet'!$B$15,Paramètres!$A$1:$I$89,7,0))</f>
        <v>0.30099999999999999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19.616543376466289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19.616543376466289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12.124038461538468</v>
      </c>
      <c r="N88" s="13">
        <f>IF('Données projet'!$A$36&gt;35,N87+M88-V87,IF(A88&lt;'Données projet'!$A$36,$K$205^A88,IF(A88='Données projet'!$A$36,'Données projet'!$B$36,N87+M88-V87)))</f>
        <v>432.2673076923079</v>
      </c>
      <c r="O88" s="13">
        <f>N88*VLOOKUP('Données projet'!$B$9,Paramètres!$A$1:$I$89,3,0)*VLOOKUP('Données projet'!$B$9,Paramètres!$A$1:$I$89,5,0)</f>
        <v>202.3011000000001</v>
      </c>
      <c r="P88" s="13">
        <f t="shared" si="87"/>
        <v>50.249542664134772</v>
      </c>
      <c r="Q88" s="20">
        <f t="shared" si="54"/>
        <v>439.85903597336824</v>
      </c>
      <c r="R88" s="59">
        <f t="shared" si="55"/>
        <v>733.19236930670149</v>
      </c>
      <c r="S88" s="59">
        <f ca="1">AVERAGE(OFFSET($R$3,0,0,'Données projet'!$E$9+1,1))-AVERAGE(OFFSET($H$3,0,0,'Données projet'!$E$9+1,1))</f>
        <v>198.17898804494365</v>
      </c>
      <c r="T88" s="59">
        <f t="shared" si="88"/>
        <v>186.24772922797723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62.837646295349991</v>
      </c>
      <c r="AA88" s="21">
        <f>EXP(-LN(2)/25)*AA87+(1-EXP(-LN(2)/25))/(LN(2)/25)*Calculateur!V88*Calculateur!X88*VLOOKUP('Données projet'!$B$9,Paramètres!$A$1:$I$89,3,0)*0.475*44/12</f>
        <v>23.314279188093611</v>
      </c>
      <c r="AB88" s="21">
        <f>EXP(-LN(2)/2)*AB87+(1-EXP(-LN(2)/2))/(LN(2)/2)*V88*Y88*VLOOKUP('Données projet'!$B$9,Paramètres!$A$1:$I$89,3,0)*0.475*44/12</f>
        <v>0.72279986137521413</v>
      </c>
      <c r="AC88" s="22">
        <f t="shared" si="57"/>
        <v>86.874725344818813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278.21846622758881</v>
      </c>
      <c r="AO88" s="59">
        <f t="shared" si="90"/>
        <v>245.37578316242906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7.4950142450142421</v>
      </c>
      <c r="BD88" s="12">
        <f>IF('Données projet'!$A$88&gt;35,BD87+BC88-BL87,IF(A88&lt;'Données projet'!$A$88,$BA$205^A88,IF(A88='Données projet'!$A$88,'Données projet'!$B$88,BD87+BC88-BL87)))</f>
        <v>265.87891737891761</v>
      </c>
      <c r="BE88" s="13">
        <f>BD88*VLOOKUP('Données projet'!$B$11,Paramètres!$A$1:$I$89,3,0)*VLOOKUP('Données projet'!$B$11,Paramètres!$A$1:$I$89,5,0)</f>
        <v>240.56724444444464</v>
      </c>
      <c r="BF88" s="13">
        <f t="shared" si="91"/>
        <v>58.5615591142816</v>
      </c>
      <c r="BG88" s="20">
        <f t="shared" si="61"/>
        <v>520.98266619811488</v>
      </c>
      <c r="BH88" s="59">
        <f t="shared" si="62"/>
        <v>814.31599953144814</v>
      </c>
      <c r="BI88" s="59">
        <f ca="1">AVERAGE(OFFSET($BH$3,0,0,'Données projet'!$E$11+1,1))-AVERAGE(OFFSET($H$3,0,0,'Données projet'!$E$11+1,1))</f>
        <v>270.87836509222456</v>
      </c>
      <c r="BJ88" s="59">
        <f t="shared" si="92"/>
        <v>205.24998237949734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29.674240110924561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29.674240110924561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7.4950142450142421</v>
      </c>
      <c r="BY88" s="12">
        <f>IF('Données projet'!$A$114&gt;35,BY87+BX88-CG87,IF(A88&lt;'Données projet'!$A$114,$BV$205^A88,IF(A88='Données projet'!$A$114,'Données projet'!$B$114,BY87+BX88-CG87)))</f>
        <v>265.87891737891761</v>
      </c>
      <c r="BZ88" s="13">
        <f>BY88*VLOOKUP('Données projet'!$B$12,Paramètres!$A$1:$I$89,3,0)*VLOOKUP('Données projet'!$B$12,Paramètres!$A$1:$I$89,5,0)</f>
        <v>269.60122222222248</v>
      </c>
      <c r="CA88" s="13">
        <f t="shared" si="93"/>
        <v>64.764631300165817</v>
      </c>
      <c r="CB88" s="20">
        <f t="shared" si="64"/>
        <v>582.35386155149297</v>
      </c>
      <c r="CC88" s="59">
        <f t="shared" si="65"/>
        <v>875.68719488482634</v>
      </c>
      <c r="CD88" s="59">
        <f ca="1">AVERAGE(OFFSET($CC$3,0,0,'Données projet'!$E$12+1,1))-AVERAGE(OFFSET($H$3,0,0,'Données projet'!$E$12+1,1))</f>
        <v>312.29056285877169</v>
      </c>
      <c r="CE88" s="59">
        <f t="shared" si="94"/>
        <v>233.85454224241693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33.255613917415474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33.255613917415474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5.2606837606837598</v>
      </c>
      <c r="CT88" s="12">
        <f>IF('Données projet'!$A$140&gt;35,CT87+CS88-DB87,IF(A88&lt;'Données projet'!$A$140,$CQ$205^A88,IF(A88='Données projet'!$A$140,'Données projet'!$B$140,CT87+CS88-DB87)))</f>
        <v>170.18376068376057</v>
      </c>
      <c r="CU88" s="17">
        <f>CT88*VLOOKUP('Données projet'!$B$13,Paramètres!$A$1:$I$89,3,0)*VLOOKUP('Données projet'!$B$13,Paramètres!$A$1:$I$89,5,0)</f>
        <v>193.80526666666654</v>
      </c>
      <c r="CV88" s="13">
        <f t="shared" si="95"/>
        <v>48.380269895997301</v>
      </c>
      <c r="CW88" s="20">
        <f t="shared" si="67"/>
        <v>421.80647617997283</v>
      </c>
      <c r="CX88" s="59">
        <f t="shared" si="68"/>
        <v>715.13980951330609</v>
      </c>
      <c r="CY88" s="59">
        <f ca="1">AVERAGE(OFFSET($CX$3,0,0,'Données projet'!$E$13+1,1))-AVERAGE(OFFSET($H$3,0,0,'Données projet'!$E$13+1,1))</f>
        <v>292.22737648725354</v>
      </c>
      <c r="CZ88" s="59">
        <f t="shared" si="96"/>
        <v>182.84038581199871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22.64398176743158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22.64398176743158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5.2606837606837598</v>
      </c>
      <c r="DO88" s="12">
        <f>IF('Données projet'!$A$166&gt;35,DO87+DN88-DW87,IF(A88&lt;'Données projet'!$A$166,$DL$205^A88,IF(A88='Données projet'!$A$166,'Données projet'!$B$166,DO87+DN88-DW87)))</f>
        <v>170.18376068376057</v>
      </c>
      <c r="DP88" s="17">
        <f>DO88*VLOOKUP('Données projet'!$B$14,Paramètres!$A$1:$I$89,3,0)*VLOOKUP('Données projet'!$B$14,Paramètres!$A$1:$I$89,5,0)</f>
        <v>185.84066666666652</v>
      </c>
      <c r="DQ88" s="13">
        <f t="shared" si="97"/>
        <v>46.619202054415624</v>
      </c>
      <c r="DR88" s="20">
        <f t="shared" si="70"/>
        <v>404.86760468921807</v>
      </c>
      <c r="DS88" s="59">
        <f t="shared" si="71"/>
        <v>698.20093802255133</v>
      </c>
      <c r="DT88" s="59">
        <f ca="1">AVERAGE(OFFSET($DS$3,0,0,'Données projet'!$E$14+1,1))-AVERAGE(OFFSET($H$3,0,0,'Données projet'!$E$14+1,1))</f>
        <v>276.52126514622455</v>
      </c>
      <c r="DU88" s="59">
        <f t="shared" si="98"/>
        <v>173.98404849503186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21.713407174249458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21.713407174249458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5.2606837606837598</v>
      </c>
      <c r="EJ88" s="12">
        <f>IF('Données projet'!$A$192&gt;35,EJ87+EI88-ER87,IF(A88&lt;'Données projet'!$A$192,$EG$205^A88,IF(A88='Données projet'!$A$192,'Données projet'!$B$192,EJ87+EI88-ER87)))</f>
        <v>170.18376068376057</v>
      </c>
      <c r="EK88" s="17">
        <f>EJ88*VLOOKUP('Données projet'!$B$15,Paramètres!$A$1:$I$89,3,0)*VLOOKUP('Données projet'!$B$15,Paramètres!$A$1:$I$89,5,0)</f>
        <v>164.60173333333324</v>
      </c>
      <c r="EL88" s="13">
        <f t="shared" si="99"/>
        <v>41.878730144777855</v>
      </c>
      <c r="EM88" s="20">
        <f t="shared" si="73"/>
        <v>359.6201405577101</v>
      </c>
      <c r="EN88" s="59">
        <f t="shared" si="74"/>
        <v>652.95347389104336</v>
      </c>
      <c r="EO88" s="59">
        <f ca="1">AVERAGE(OFFSET($EN$3,0,0,'Données projet'!$E$15+1,1))-AVERAGE(OFFSET($H$3,0,0,'Données projet'!$E$15+1,1))</f>
        <v>234.56750794375012</v>
      </c>
      <c r="EP88" s="59">
        <f t="shared" si="100"/>
        <v>150.32420541314724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19.231874925763808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19.231874925763808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12.124038461538468</v>
      </c>
      <c r="N89" s="13">
        <f>IF('Données projet'!$A$36&gt;35,N88+M89-V88,IF(A89&lt;'Données projet'!$A$36,$K$205^A89,IF(A89='Données projet'!$A$36,'Données projet'!$B$36,N88+M89-V88)))</f>
        <v>444.39134615384637</v>
      </c>
      <c r="O89" s="13">
        <f>N89*VLOOKUP('Données projet'!$B$9,Paramètres!$A$1:$I$89,3,0)*VLOOKUP('Données projet'!$B$9,Paramètres!$A$1:$I$89,5,0)</f>
        <v>207.9751500000001</v>
      </c>
      <c r="P89" s="13">
        <f t="shared" si="87"/>
        <v>51.492855825196166</v>
      </c>
      <c r="Q89" s="20">
        <f t="shared" si="54"/>
        <v>451.90677681221678</v>
      </c>
      <c r="R89" s="59">
        <f t="shared" si="55"/>
        <v>745.24011014555003</v>
      </c>
      <c r="S89" s="59">
        <f ca="1">AVERAGE(OFFSET($R$3,0,0,'Données projet'!$E$9+1,1))-AVERAGE(OFFSET($H$3,0,0,'Données projet'!$E$9+1,1))</f>
        <v>198.17898804494365</v>
      </c>
      <c r="T89" s="59">
        <f t="shared" si="88"/>
        <v>186.24772922797723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61.605438378677924</v>
      </c>
      <c r="AA89" s="21">
        <f>EXP(-LN(2)/25)*AA88+(1-EXP(-LN(2)/25))/(LN(2)/25)*Calculateur!V89*Calculateur!X89*VLOOKUP('Données projet'!$B$9,Paramètres!$A$1:$I$89,3,0)*0.475*44/12</f>
        <v>22.676748997650535</v>
      </c>
      <c r="AB89" s="21">
        <f>EXP(-LN(2)/2)*AB88+(1-EXP(-LN(2)/2))/(LN(2)/2)*V89*Y89*VLOOKUP('Données projet'!$B$9,Paramètres!$A$1:$I$89,3,0)*0.475*44/12</f>
        <v>0.51109668341911041</v>
      </c>
      <c r="AC89" s="22">
        <f t="shared" si="57"/>
        <v>84.793284059747577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278.21846622758881</v>
      </c>
      <c r="AO89" s="59">
        <f t="shared" si="90"/>
        <v>245.37578316242906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7.4950142450142421</v>
      </c>
      <c r="BD89" s="12">
        <f>IF('Données projet'!$A$88&gt;35,BD88+BC89-BL88,IF(A89&lt;'Données projet'!$A$88,$BA$205^A89,IF(A89='Données projet'!$A$88,'Données projet'!$B$88,BD88+BC89-BL88)))</f>
        <v>273.37393162393187</v>
      </c>
      <c r="BE89" s="13">
        <f>BD89*VLOOKUP('Données projet'!$B$11,Paramètres!$A$1:$I$89,3,0)*VLOOKUP('Données projet'!$B$11,Paramètres!$A$1:$I$89,5,0)</f>
        <v>247.34873333333351</v>
      </c>
      <c r="BF89" s="13">
        <f t="shared" si="91"/>
        <v>60.017860197565874</v>
      </c>
      <c r="BG89" s="20">
        <f t="shared" si="61"/>
        <v>535.33015039964971</v>
      </c>
      <c r="BH89" s="59">
        <f t="shared" si="62"/>
        <v>828.66348373298297</v>
      </c>
      <c r="BI89" s="59">
        <f ca="1">AVERAGE(OFFSET($BH$3,0,0,'Données projet'!$E$11+1,1))-AVERAGE(OFFSET($H$3,0,0,'Données projet'!$E$11+1,1))</f>
        <v>270.87836509222456</v>
      </c>
      <c r="BJ89" s="59">
        <f t="shared" si="92"/>
        <v>205.24998237949734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29.09234636184862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29.09234636184862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7.4950142450142421</v>
      </c>
      <c r="BY89" s="12">
        <f>IF('Données projet'!$A$114&gt;35,BY88+BX89-CG88,IF(A89&lt;'Données projet'!$A$114,$BV$205^A89,IF(A89='Données projet'!$A$114,'Données projet'!$B$114,BY88+BX89-CG88)))</f>
        <v>273.37393162393187</v>
      </c>
      <c r="BZ89" s="13">
        <f>BY89*VLOOKUP('Données projet'!$B$12,Paramètres!$A$1:$I$89,3,0)*VLOOKUP('Données projet'!$B$12,Paramètres!$A$1:$I$89,5,0)</f>
        <v>277.20116666666695</v>
      </c>
      <c r="CA89" s="13">
        <f t="shared" si="93"/>
        <v>66.37518955966982</v>
      </c>
      <c r="CB89" s="20">
        <f t="shared" si="64"/>
        <v>598.39548709420319</v>
      </c>
      <c r="CC89" s="59">
        <f t="shared" si="65"/>
        <v>891.72882042753645</v>
      </c>
      <c r="CD89" s="59">
        <f ca="1">AVERAGE(OFFSET($CC$3,0,0,'Données projet'!$E$12+1,1))-AVERAGE(OFFSET($H$3,0,0,'Données projet'!$E$12+1,1))</f>
        <v>312.29056285877169</v>
      </c>
      <c r="CE89" s="59">
        <f t="shared" si="94"/>
        <v>233.85454224241693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32.603491612416576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32.603491612416576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5.2606837606837598</v>
      </c>
      <c r="CT89" s="12">
        <f>IF('Données projet'!$A$140&gt;35,CT88+CS89-DB88,IF(A89&lt;'Données projet'!$A$140,$CQ$205^A89,IF(A89='Données projet'!$A$140,'Données projet'!$B$140,CT88+CS89-DB88)))</f>
        <v>175.44444444444431</v>
      </c>
      <c r="CU89" s="17">
        <f>CT89*VLOOKUP('Données projet'!$B$13,Paramètres!$A$1:$I$89,3,0)*VLOOKUP('Données projet'!$B$13,Paramètres!$A$1:$I$89,5,0)</f>
        <v>199.79613333333319</v>
      </c>
      <c r="CV89" s="13">
        <f t="shared" si="95"/>
        <v>49.699361343481407</v>
      </c>
      <c r="CW89" s="20">
        <f t="shared" si="67"/>
        <v>434.5379865621187</v>
      </c>
      <c r="CX89" s="59">
        <f t="shared" si="68"/>
        <v>727.87131989545196</v>
      </c>
      <c r="CY89" s="59">
        <f ca="1">AVERAGE(OFFSET($CX$3,0,0,'Données projet'!$E$13+1,1))-AVERAGE(OFFSET($H$3,0,0,'Données projet'!$E$13+1,1))</f>
        <v>292.22737648725354</v>
      </c>
      <c r="CZ89" s="59">
        <f t="shared" si="96"/>
        <v>182.84038581199871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22.199947096437356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22.199947096437356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5.2606837606837598</v>
      </c>
      <c r="DO89" s="12">
        <f>IF('Données projet'!$A$166&gt;35,DO88+DN89-DW88,IF(A89&lt;'Données projet'!$A$166,$DL$205^A89,IF(A89='Données projet'!$A$166,'Données projet'!$B$166,DO88+DN89-DW88)))</f>
        <v>175.44444444444431</v>
      </c>
      <c r="DP89" s="17">
        <f>DO89*VLOOKUP('Données projet'!$B$14,Paramètres!$A$1:$I$89,3,0)*VLOOKUP('Données projet'!$B$14,Paramètres!$A$1:$I$89,5,0)</f>
        <v>191.58533333333318</v>
      </c>
      <c r="DQ89" s="13">
        <f t="shared" si="97"/>
        <v>47.890277863845967</v>
      </c>
      <c r="DR89" s="20">
        <f t="shared" si="70"/>
        <v>417.08668950175365</v>
      </c>
      <c r="DS89" s="59">
        <f t="shared" si="71"/>
        <v>710.42002283508691</v>
      </c>
      <c r="DT89" s="59">
        <f ca="1">AVERAGE(OFFSET($DS$3,0,0,'Données projet'!$E$14+1,1))-AVERAGE(OFFSET($H$3,0,0,'Données projet'!$E$14+1,1))</f>
        <v>276.52126514622455</v>
      </c>
      <c r="DU89" s="59">
        <f t="shared" si="98"/>
        <v>173.98404849503186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21.287620503433079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21.287620503433079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5.2606837606837598</v>
      </c>
      <c r="EJ89" s="12">
        <f>IF('Données projet'!$A$192&gt;35,EJ88+EI89-ER88,IF(A89&lt;'Données projet'!$A$192,$EG$205^A89,IF(A89='Données projet'!$A$192,'Données projet'!$B$192,EJ88+EI89-ER88)))</f>
        <v>175.44444444444431</v>
      </c>
      <c r="EK89" s="17">
        <f>EJ89*VLOOKUP('Données projet'!$B$15,Paramètres!$A$1:$I$89,3,0)*VLOOKUP('Données projet'!$B$15,Paramètres!$A$1:$I$89,5,0)</f>
        <v>169.68986666666655</v>
      </c>
      <c r="EL89" s="13">
        <f t="shared" si="99"/>
        <v>43.020556655548141</v>
      </c>
      <c r="EM89" s="20">
        <f t="shared" si="73"/>
        <v>370.47065395285722</v>
      </c>
      <c r="EN89" s="59">
        <f t="shared" si="74"/>
        <v>663.80398728619048</v>
      </c>
      <c r="EO89" s="59">
        <f ca="1">AVERAGE(OFFSET($EN$3,0,0,'Données projet'!$E$15+1,1))-AVERAGE(OFFSET($H$3,0,0,'Données projet'!$E$15+1,1))</f>
        <v>234.56750794375012</v>
      </c>
      <c r="EP89" s="59">
        <f t="shared" si="100"/>
        <v>150.32420541314724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18.854749588755016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18.854749588755016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456.51538461538462</v>
      </c>
      <c r="L90" s="12">
        <f>VLOOKUP(A90,'Données projet'!$A$35:$I$55,9,0)</f>
        <v>12.124038461538468</v>
      </c>
      <c r="M90" s="12">
        <f t="array" ref="M90">INDEX(L:L,MIN(IF(ISNUMBER(L90:L286),ROW(L90:L286),"")))</f>
        <v>12.124038461538468</v>
      </c>
      <c r="N90" s="13">
        <f>IF('Données projet'!$A$36&gt;35,N89+M90-V89,IF(A90&lt;'Données projet'!$A$36,$K$205^A90,IF(A90='Données projet'!$A$36,'Données projet'!$B$36,N89+M90-V89)))</f>
        <v>456.51538461538485</v>
      </c>
      <c r="O90" s="13">
        <f>N90*VLOOKUP('Données projet'!$B$9,Paramètres!$A$1:$I$89,3,0)*VLOOKUP('Données projet'!$B$9,Paramètres!$A$1:$I$89,5,0)</f>
        <v>213.64920000000012</v>
      </c>
      <c r="P90" s="13">
        <f t="shared" si="87"/>
        <v>52.732226385923781</v>
      </c>
      <c r="Q90" s="20">
        <f t="shared" si="54"/>
        <v>463.94765095548405</v>
      </c>
      <c r="R90" s="59">
        <f t="shared" si="55"/>
        <v>757.28098428881731</v>
      </c>
      <c r="S90" s="59">
        <f ca="1">AVERAGE(OFFSET($R$3,0,0,'Données projet'!$E$9+1,1))-AVERAGE(OFFSET($H$3,0,0,'Données projet'!$E$9+1,1))</f>
        <v>198.17898804494365</v>
      </c>
      <c r="T90" s="59">
        <f t="shared" si="88"/>
        <v>186.24772922797723</v>
      </c>
      <c r="U90" s="15">
        <f>IF(ISNA(VLOOKUP(A90,'Données projet'!$A$35:$I$55,3,0)),0,VLOOKUP(A90,'Données projet'!$A$35:$I$55,3,0))</f>
        <v>7</v>
      </c>
      <c r="V90" s="15">
        <f>IF(ISNA(VLOOKUP(A90,'Données projet'!$A$35:$I$55,4,0)),0,VLOOKUP(A90,'Données projet'!$A$35:$I$55,4,0))</f>
        <v>77.330769230769235</v>
      </c>
      <c r="W90" s="16">
        <f>IF(ISNA(VLOOKUP(A90,'Données projet'!$A$35:$I$55,5,0)),0%,VLOOKUP(A90,'Données projet'!$A$35:$I$55,5,0)*VLOOKUP('Données projet'!$B$9,Paramètres!$A$1:$I$89,7,0))</f>
        <v>0.38500000000000001</v>
      </c>
      <c r="X90" s="16">
        <f>IF(ISNA(VLOOKUP(A90,'Données projet'!$A$35:$I$55,6,0)),0%,VLOOKUP(A90,'Données projet'!$A$35:$I$55,6,0)*VLOOKUP('Données projet'!$B$9,Paramètres!$A$1:$I$89,7,0))</f>
        <v>9.240000000000001E-2</v>
      </c>
      <c r="Y90" s="16">
        <f>IF(ISNA(VLOOKUP(A90,'Données projet'!$A$35:$I$55,7,0)),0%,VLOOKUP(A90,'Données projet'!$A$35:$I$55,7,0))</f>
        <v>0.13200000000000001</v>
      </c>
      <c r="Z90" s="21">
        <f>EXP(-LN(2)/35)*Z89+(1-EXP(-LN(2)/35))/(LN(2)/35)*V90*W90*VLOOKUP('Données projet'!$B$9,Paramètres!$A$1:$I$89,3,0)*0.475*44/12</f>
        <v>78.881023431838884</v>
      </c>
      <c r="AA90" s="21">
        <f>EXP(-LN(2)/25)*AA89+(1-EXP(-LN(2)/25))/(LN(2)/25)*Calculateur!V90*Calculateur!X90*VLOOKUP('Données projet'!$B$9,Paramètres!$A$1:$I$89,3,0)*0.475*44/12</f>
        <v>26.475256830882337</v>
      </c>
      <c r="AB90" s="21">
        <f>EXP(-LN(2)/2)*AB89+(1-EXP(-LN(2)/2))/(LN(2)/2)*V90*Y90*VLOOKUP('Données projet'!$B$9,Paramètres!$A$1:$I$89,3,0)*0.475*44/12</f>
        <v>5.770283758285955</v>
      </c>
      <c r="AC90" s="22">
        <f t="shared" si="57"/>
        <v>111.12656402100717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278.21846622758881</v>
      </c>
      <c r="AO90" s="59">
        <f t="shared" si="90"/>
        <v>245.37578316242906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7.4950142450142421</v>
      </c>
      <c r="BD90" s="12">
        <f>IF('Données projet'!$A$88&gt;35,BD89+BC90-BL89,IF(A90&lt;'Données projet'!$A$88,$BA$205^A90,IF(A90='Données projet'!$A$88,'Données projet'!$B$88,BD89+BC90-BL89)))</f>
        <v>280.86894586894613</v>
      </c>
      <c r="BE90" s="13">
        <f>BD90*VLOOKUP('Données projet'!$B$11,Paramètres!$A$1:$I$89,3,0)*VLOOKUP('Données projet'!$B$11,Paramètres!$A$1:$I$89,5,0)</f>
        <v>254.13022222222247</v>
      </c>
      <c r="BF90" s="13">
        <f t="shared" si="91"/>
        <v>61.469520573147591</v>
      </c>
      <c r="BG90" s="20">
        <f t="shared" si="61"/>
        <v>549.66955203526948</v>
      </c>
      <c r="BH90" s="59">
        <f t="shared" si="62"/>
        <v>843.00288536860285</v>
      </c>
      <c r="BI90" s="59">
        <f ca="1">AVERAGE(OFFSET($BH$3,0,0,'Données projet'!$E$11+1,1))-AVERAGE(OFFSET($H$3,0,0,'Données projet'!$E$11+1,1))</f>
        <v>270.87836509222456</v>
      </c>
      <c r="BJ90" s="59">
        <f t="shared" si="92"/>
        <v>205.24998237949734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28.521863194271916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28.521863194271916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7.4950142450142421</v>
      </c>
      <c r="BY90" s="12">
        <f>IF('Données projet'!$A$114&gt;35,BY89+BX90-CG89,IF(A90&lt;'Données projet'!$A$114,$BV$205^A90,IF(A90='Données projet'!$A$114,'Données projet'!$B$114,BY89+BX90-CG89)))</f>
        <v>280.86894586894613</v>
      </c>
      <c r="BZ90" s="13">
        <f>BY90*VLOOKUP('Données projet'!$B$12,Paramètres!$A$1:$I$89,3,0)*VLOOKUP('Données projet'!$B$12,Paramètres!$A$1:$I$89,5,0)</f>
        <v>284.80111111111137</v>
      </c>
      <c r="CA90" s="13">
        <f t="shared" si="93"/>
        <v>67.98061554933885</v>
      </c>
      <c r="CB90" s="20">
        <f t="shared" si="64"/>
        <v>614.42817393361736</v>
      </c>
      <c r="CC90" s="59">
        <f t="shared" si="65"/>
        <v>907.76150726695073</v>
      </c>
      <c r="CD90" s="59">
        <f ca="1">AVERAGE(OFFSET($CC$3,0,0,'Données projet'!$E$12+1,1))-AVERAGE(OFFSET($H$3,0,0,'Données projet'!$E$12+1,1))</f>
        <v>312.29056285877169</v>
      </c>
      <c r="CE90" s="59">
        <f t="shared" si="94"/>
        <v>233.85454224241693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31.964157028063376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31.964157028063376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5.2606837606837598</v>
      </c>
      <c r="CT90" s="12">
        <f>IF('Données projet'!$A$140&gt;35,CT89+CS90-DB89,IF(A90&lt;'Données projet'!$A$140,$CQ$205^A90,IF(A90='Données projet'!$A$140,'Données projet'!$B$140,CT89+CS90-DB89)))</f>
        <v>180.70512820512806</v>
      </c>
      <c r="CU90" s="17">
        <f>CT90*VLOOKUP('Données projet'!$B$13,Paramètres!$A$1:$I$89,3,0)*VLOOKUP('Données projet'!$B$13,Paramètres!$A$1:$I$89,5,0)</f>
        <v>205.78699999999986</v>
      </c>
      <c r="CV90" s="13">
        <f t="shared" si="95"/>
        <v>51.013856139764094</v>
      </c>
      <c r="CW90" s="20">
        <f t="shared" si="67"/>
        <v>447.26149111008885</v>
      </c>
      <c r="CX90" s="59">
        <f t="shared" si="68"/>
        <v>740.59482444342211</v>
      </c>
      <c r="CY90" s="59">
        <f ca="1">AVERAGE(OFFSET($CX$3,0,0,'Données projet'!$E$13+1,1))-AVERAGE(OFFSET($H$3,0,0,'Données projet'!$E$13+1,1))</f>
        <v>292.22737648725354</v>
      </c>
      <c r="CZ90" s="59">
        <f t="shared" si="96"/>
        <v>182.84038581199871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21.764619674506921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21.764619674506921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5.2606837606837598</v>
      </c>
      <c r="DO90" s="12">
        <f>IF('Données projet'!$A$166&gt;35,DO89+DN90-DW89,IF(A90&lt;'Données projet'!$A$166,$DL$205^A90,IF(A90='Données projet'!$A$166,'Données projet'!$B$166,DO89+DN90-DW89)))</f>
        <v>180.70512820512806</v>
      </c>
      <c r="DP90" s="17">
        <f>DO90*VLOOKUP('Données projet'!$B$14,Paramètres!$A$1:$I$89,3,0)*VLOOKUP('Données projet'!$B$14,Paramètres!$A$1:$I$89,5,0)</f>
        <v>197.32999999999984</v>
      </c>
      <c r="DQ90" s="13">
        <f t="shared" si="97"/>
        <v>49.156924342650555</v>
      </c>
      <c r="DR90" s="20">
        <f t="shared" si="70"/>
        <v>429.29805989678283</v>
      </c>
      <c r="DS90" s="59">
        <f t="shared" si="71"/>
        <v>722.63139323011615</v>
      </c>
      <c r="DT90" s="59">
        <f ca="1">AVERAGE(OFFSET($DS$3,0,0,'Données projet'!$E$14+1,1))-AVERAGE(OFFSET($H$3,0,0,'Données projet'!$E$14+1,1))</f>
        <v>276.52126514622455</v>
      </c>
      <c r="DU90" s="59">
        <f t="shared" si="98"/>
        <v>173.98404849503186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20.870183249527184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20.870183249527184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5.2606837606837598</v>
      </c>
      <c r="EJ90" s="12">
        <f>IF('Données projet'!$A$192&gt;35,EJ89+EI90-ER89,IF(A90&lt;'Données projet'!$A$192,$EG$205^A90,IF(A90='Données projet'!$A$192,'Données projet'!$B$192,EJ89+EI90-ER89)))</f>
        <v>180.70512820512806</v>
      </c>
      <c r="EK90" s="17">
        <f>EJ90*VLOOKUP('Données projet'!$B$15,Paramètres!$A$1:$I$89,3,0)*VLOOKUP('Données projet'!$B$15,Paramètres!$A$1:$I$89,5,0)</f>
        <v>174.77799999999988</v>
      </c>
      <c r="EL90" s="13">
        <f t="shared" si="99"/>
        <v>44.158404232020459</v>
      </c>
      <c r="EM90" s="20">
        <f t="shared" si="73"/>
        <v>381.31423737076875</v>
      </c>
      <c r="EN90" s="59">
        <f t="shared" si="74"/>
        <v>674.64757070410201</v>
      </c>
      <c r="EO90" s="59">
        <f ca="1">AVERAGE(OFFSET($EN$3,0,0,'Données projet'!$E$15+1,1))-AVERAGE(OFFSET($H$3,0,0,'Données projet'!$E$15+1,1))</f>
        <v>234.56750794375012</v>
      </c>
      <c r="EP90" s="59">
        <f t="shared" si="100"/>
        <v>150.32420541314724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18.485019449581223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18.485019449581223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11.242307692307691</v>
      </c>
      <c r="N91" s="13">
        <f>IF('Données projet'!$A$36&gt;35,N90+M91-V90,IF(A91&lt;'Données projet'!$A$36,$K$205^A91,IF(A91='Données projet'!$A$36,'Données projet'!$B$36,N90+M91-V90)))</f>
        <v>390.42692307692329</v>
      </c>
      <c r="O91" s="13">
        <f>N91*VLOOKUP('Données projet'!$B$9,Paramètres!$A$1:$I$89,3,0)*VLOOKUP('Données projet'!$B$9,Paramètres!$A$1:$I$89,5,0)</f>
        <v>182.71980000000011</v>
      </c>
      <c r="P91" s="13">
        <f t="shared" si="87"/>
        <v>45.926762394770535</v>
      </c>
      <c r="Q91" s="20">
        <f t="shared" si="54"/>
        <v>398.22609617089216</v>
      </c>
      <c r="R91" s="59">
        <f t="shared" si="55"/>
        <v>691.55942950422548</v>
      </c>
      <c r="S91" s="59">
        <f ca="1">AVERAGE(OFFSET($R$3,0,0,'Données projet'!$E$9+1,1))-AVERAGE(OFFSET($H$3,0,0,'Données projet'!$E$9+1,1))</f>
        <v>198.17898804494365</v>
      </c>
      <c r="T91" s="59">
        <f t="shared" si="88"/>
        <v>186.24772922797723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77.334214675014081</v>
      </c>
      <c r="AA91" s="21">
        <f>EXP(-LN(2)/25)*AA90+(1-EXP(-LN(2)/25))/(LN(2)/25)*Calculateur!V91*Calculateur!X91*VLOOKUP('Données projet'!$B$9,Paramètres!$A$1:$I$89,3,0)*0.475*44/12</f>
        <v>25.751289540568614</v>
      </c>
      <c r="AB91" s="21">
        <f>EXP(-LN(2)/2)*AB90+(1-EXP(-LN(2)/2))/(LN(2)/2)*V91*Y91*VLOOKUP('Données projet'!$B$9,Paramètres!$A$1:$I$89,3,0)*0.475*44/12</f>
        <v>4.080206774854596</v>
      </c>
      <c r="AC91" s="22">
        <f t="shared" si="57"/>
        <v>107.16571099043729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278.21846622758881</v>
      </c>
      <c r="AO91" s="59">
        <f t="shared" si="90"/>
        <v>245.37578316242906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7.4950142450142421</v>
      </c>
      <c r="BD91" s="12">
        <f>IF('Données projet'!$A$88&gt;35,BD90+BC91-BL90,IF(A91&lt;'Données projet'!$A$88,$BA$205^A91,IF(A91='Données projet'!$A$88,'Données projet'!$B$88,BD90+BC91-BL90)))</f>
        <v>288.36396011396039</v>
      </c>
      <c r="BE91" s="13">
        <f>BD91*VLOOKUP('Données projet'!$B$11,Paramètres!$A$1:$I$89,3,0)*VLOOKUP('Données projet'!$B$11,Paramètres!$A$1:$I$89,5,0)</f>
        <v>260.91171111111134</v>
      </c>
      <c r="BF91" s="13">
        <f t="shared" si="91"/>
        <v>62.916678312142118</v>
      </c>
      <c r="BG91" s="20">
        <f t="shared" si="61"/>
        <v>564.00111157883305</v>
      </c>
      <c r="BH91" s="59">
        <f t="shared" si="62"/>
        <v>857.33444491216642</v>
      </c>
      <c r="BI91" s="59">
        <f ca="1">AVERAGE(OFFSET($BH$3,0,0,'Données projet'!$E$11+1,1))-AVERAGE(OFFSET($H$3,0,0,'Données projet'!$E$11+1,1))</f>
        <v>270.87836509222456</v>
      </c>
      <c r="BJ91" s="59">
        <f t="shared" si="92"/>
        <v>205.24998237949734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27.962566853651019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27.962566853651019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7.4950142450142421</v>
      </c>
      <c r="BY91" s="12">
        <f>IF('Données projet'!$A$114&gt;35,BY90+BX91-CG90,IF(A91&lt;'Données projet'!$A$114,$BV$205^A91,IF(A91='Données projet'!$A$114,'Données projet'!$B$114,BY90+BX91-CG90)))</f>
        <v>288.36396011396039</v>
      </c>
      <c r="BZ91" s="13">
        <f>BY91*VLOOKUP('Données projet'!$B$12,Paramètres!$A$1:$I$89,3,0)*VLOOKUP('Données projet'!$B$12,Paramètres!$A$1:$I$89,5,0)</f>
        <v>292.40105555555584</v>
      </c>
      <c r="CA91" s="13">
        <f t="shared" si="93"/>
        <v>69.581061965327606</v>
      </c>
      <c r="CB91" s="20">
        <f t="shared" si="64"/>
        <v>630.45218801553858</v>
      </c>
      <c r="CC91" s="59">
        <f t="shared" si="65"/>
        <v>923.78552134887195</v>
      </c>
      <c r="CD91" s="59">
        <f ca="1">AVERAGE(OFFSET($CC$3,0,0,'Données projet'!$E$12+1,1))-AVERAGE(OFFSET($H$3,0,0,'Données projet'!$E$12+1,1))</f>
        <v>312.29056285877169</v>
      </c>
      <c r="CE91" s="59">
        <f t="shared" si="94"/>
        <v>233.85454224241693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31.337359404953748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31.337359404953748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5.2606837606837598</v>
      </c>
      <c r="CT91" s="12">
        <f>IF('Données projet'!$A$140&gt;35,CT90+CS91-DB90,IF(A91&lt;'Données projet'!$A$140,$CQ$205^A91,IF(A91='Données projet'!$A$140,'Données projet'!$B$140,CT90+CS91-DB90)))</f>
        <v>185.96581196581181</v>
      </c>
      <c r="CU91" s="17">
        <f>CT91*VLOOKUP('Données projet'!$B$13,Paramètres!$A$1:$I$89,3,0)*VLOOKUP('Données projet'!$B$13,Paramètres!$A$1:$I$89,5,0)</f>
        <v>211.77786666666648</v>
      </c>
      <c r="CV91" s="13">
        <f t="shared" si="95"/>
        <v>52.323903468703669</v>
      </c>
      <c r="CW91" s="20">
        <f t="shared" si="67"/>
        <v>459.97724965243629</v>
      </c>
      <c r="CX91" s="59">
        <f t="shared" si="68"/>
        <v>753.31058298576954</v>
      </c>
      <c r="CY91" s="59">
        <f ca="1">AVERAGE(OFFSET($CX$3,0,0,'Données projet'!$E$13+1,1))-AVERAGE(OFFSET($H$3,0,0,'Données projet'!$E$13+1,1))</f>
        <v>292.22737648725354</v>
      </c>
      <c r="CZ91" s="59">
        <f t="shared" si="96"/>
        <v>182.84038581199871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21.337828757797034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21.337828757797034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5.2606837606837598</v>
      </c>
      <c r="DO91" s="12">
        <f>IF('Données projet'!$A$166&gt;35,DO90+DN91-DW90,IF(A91&lt;'Données projet'!$A$166,$DL$205^A91,IF(A91='Données projet'!$A$166,'Données projet'!$B$166,DO90+DN91-DW90)))</f>
        <v>185.96581196581181</v>
      </c>
      <c r="DP91" s="17">
        <f>DO91*VLOOKUP('Données projet'!$B$14,Paramètres!$A$1:$I$89,3,0)*VLOOKUP('Données projet'!$B$14,Paramètres!$A$1:$I$89,5,0)</f>
        <v>203.0746666666665</v>
      </c>
      <c r="DQ91" s="13">
        <f t="shared" si="97"/>
        <v>50.41928524431507</v>
      </c>
      <c r="DR91" s="20">
        <f t="shared" si="70"/>
        <v>441.50196624495953</v>
      </c>
      <c r="DS91" s="59">
        <f t="shared" si="71"/>
        <v>734.83529957829285</v>
      </c>
      <c r="DT91" s="59">
        <f ca="1">AVERAGE(OFFSET($DS$3,0,0,'Données projet'!$E$14+1,1))-AVERAGE(OFFSET($H$3,0,0,'Données projet'!$E$14+1,1))</f>
        <v>276.52126514622455</v>
      </c>
      <c r="DU91" s="59">
        <f t="shared" si="98"/>
        <v>173.98404849503186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20.460931685558798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20.460931685558798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5.2606837606837598</v>
      </c>
      <c r="EJ91" s="12">
        <f>IF('Données projet'!$A$192&gt;35,EJ90+EI91-ER90,IF(A91&lt;'Données projet'!$A$192,$EG$205^A91,IF(A91='Données projet'!$A$192,'Données projet'!$B$192,EJ90+EI91-ER90)))</f>
        <v>185.96581196581181</v>
      </c>
      <c r="EK91" s="17">
        <f>EJ91*VLOOKUP('Données projet'!$B$15,Paramètres!$A$1:$I$89,3,0)*VLOOKUP('Données projet'!$B$15,Paramètres!$A$1:$I$89,5,0)</f>
        <v>179.86613333333318</v>
      </c>
      <c r="EL91" s="13">
        <f t="shared" si="99"/>
        <v>45.292402010112326</v>
      </c>
      <c r="EM91" s="20">
        <f t="shared" si="73"/>
        <v>392.15111572316761</v>
      </c>
      <c r="EN91" s="59">
        <f t="shared" si="74"/>
        <v>685.48444905650092</v>
      </c>
      <c r="EO91" s="59">
        <f ca="1">AVERAGE(OFFSET($EN$3,0,0,'Données projet'!$E$15+1,1))-AVERAGE(OFFSET($H$3,0,0,'Données projet'!$E$15+1,1))</f>
        <v>234.56750794375012</v>
      </c>
      <c r="EP91" s="59">
        <f t="shared" si="100"/>
        <v>150.32420541314724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18.122539492923512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18.122539492923512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11.242307692307691</v>
      </c>
      <c r="N92" s="13">
        <f>IF('Données projet'!$A$36&gt;35,N91+M92-V91,IF(A92&lt;'Données projet'!$A$36,$K$205^A92,IF(A92='Données projet'!$A$36,'Données projet'!$B$36,N91+M92-V91)))</f>
        <v>401.66923076923098</v>
      </c>
      <c r="O92" s="13">
        <f>N92*VLOOKUP('Données projet'!$B$9,Paramètres!$A$1:$I$89,3,0)*VLOOKUP('Données projet'!$B$9,Paramètres!$A$1:$I$89,5,0)</f>
        <v>187.98120000000011</v>
      </c>
      <c r="P92" s="13">
        <f t="shared" si="87"/>
        <v>47.093347732155607</v>
      </c>
      <c r="Q92" s="20">
        <f t="shared" si="54"/>
        <v>409.42150396683786</v>
      </c>
      <c r="R92" s="59">
        <f t="shared" si="55"/>
        <v>702.75483730017118</v>
      </c>
      <c r="S92" s="59">
        <f ca="1">AVERAGE(OFFSET($R$3,0,0,'Données projet'!$E$9+1,1))-AVERAGE(OFFSET($H$3,0,0,'Données projet'!$E$9+1,1))</f>
        <v>198.17898804494365</v>
      </c>
      <c r="T92" s="59">
        <f t="shared" si="88"/>
        <v>186.24772922797723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75.817737894450431</v>
      </c>
      <c r="AA92" s="21">
        <f>EXP(-LN(2)/25)*AA91+(1-EXP(-LN(2)/25))/(LN(2)/25)*Calculateur!V92*Calculateur!X92*VLOOKUP('Données projet'!$B$9,Paramètres!$A$1:$I$89,3,0)*0.475*44/12</f>
        <v>25.047119173880304</v>
      </c>
      <c r="AB92" s="21">
        <f>EXP(-LN(2)/2)*AB91+(1-EXP(-LN(2)/2))/(LN(2)/2)*V92*Y92*VLOOKUP('Données projet'!$B$9,Paramètres!$A$1:$I$89,3,0)*0.475*44/12</f>
        <v>2.8851418791429779</v>
      </c>
      <c r="AC92" s="22">
        <f t="shared" si="57"/>
        <v>103.74999894747371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278.21846622758881</v>
      </c>
      <c r="AO92" s="59">
        <f t="shared" si="90"/>
        <v>245.37578316242906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>
        <f>VLOOKUP(A92,'Données projet'!$A$87:$I$107,2,0)</f>
        <v>295.85897435897436</v>
      </c>
      <c r="BB92" s="12">
        <f>VLOOKUP(A92,'Données projet'!$A$87:$I$107,9,0)</f>
        <v>7.4950142450142421</v>
      </c>
      <c r="BC92" s="12">
        <f t="array" ref="BC92">INDEX(BB:BB,MIN(IF(ISNUMBER(BB92:BB288),ROW(BB92:BB288),"")))</f>
        <v>7.4950142450142421</v>
      </c>
      <c r="BD92" s="12">
        <f>IF('Données projet'!$A$88&gt;35,BD91+BC92-BL91,IF(A92&lt;'Données projet'!$A$88,$BA$205^A92,IF(A92='Données projet'!$A$88,'Données projet'!$B$88,BD91+BC92-BL91)))</f>
        <v>295.85897435897465</v>
      </c>
      <c r="BE92" s="13">
        <f>BD92*VLOOKUP('Données projet'!$B$11,Paramètres!$A$1:$I$89,3,0)*VLOOKUP('Données projet'!$B$11,Paramètres!$A$1:$I$89,5,0)</f>
        <v>267.69320000000022</v>
      </c>
      <c r="BF92" s="13">
        <f t="shared" si="91"/>
        <v>64.359463899490166</v>
      </c>
      <c r="BG92" s="20">
        <f t="shared" si="61"/>
        <v>578.32505629161233</v>
      </c>
      <c r="BH92" s="59">
        <f t="shared" si="62"/>
        <v>871.65838962494558</v>
      </c>
      <c r="BI92" s="59">
        <f ca="1">AVERAGE(OFFSET($BH$3,0,0,'Données projet'!$E$11+1,1))-AVERAGE(OFFSET($H$3,0,0,'Données projet'!$E$11+1,1))</f>
        <v>270.87836509222456</v>
      </c>
      <c r="BJ92" s="59">
        <f t="shared" si="92"/>
        <v>205.24998237949734</v>
      </c>
      <c r="BK92" s="15">
        <f>IF(ISNA(VLOOKUP(A92,'Données projet'!$A$87:$I$107,3,0)),0,VLOOKUP(A92,'Données projet'!$A$87:$I$107,3,0))</f>
        <v>8</v>
      </c>
      <c r="BL92" s="15">
        <f>IF(ISNA(VLOOKUP(A92,'Données projet'!$A$87:$I$107,4,0)),0,VLOOKUP(A92,'Données projet'!$A$87:$I$107,4,0))</f>
        <v>49.391025641025635</v>
      </c>
      <c r="BM92" s="16">
        <f>IF(ISNA(VLOOKUP(A92,'Données projet'!$A$87:$I$107,5,0)),0%,VLOOKUP(A92,'Données projet'!$A$87:$I$107,5,0)*VLOOKUP('Données projet'!$B$11,Paramètres!$A$1:$I$89,7,0))</f>
        <v>0.30099999999999999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42.284350076207964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42.284350076207964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>
        <f>VLOOKUP(A92,'Données projet'!$A$113:$I$133,2,0)</f>
        <v>295.85897435897436</v>
      </c>
      <c r="BW92" s="12">
        <f>VLOOKUP(A92,'Données projet'!$A$113:$I$133,9,0)</f>
        <v>7.4950142450142421</v>
      </c>
      <c r="BX92" s="12">
        <f t="array" ref="BX92">INDEX(BW:BW,MIN(IF(ISNUMBER(BW92:BW288),ROW(BW92:BW288),"")))</f>
        <v>7.4950142450142421</v>
      </c>
      <c r="BY92" s="12">
        <f>IF('Données projet'!$A$114&gt;35,BY91+BX92-CG91,IF(A92&lt;'Données projet'!$A$114,$BV$205^A92,IF(A92='Données projet'!$A$114,'Données projet'!$B$114,BY91+BX92-CG91)))</f>
        <v>295.85897435897465</v>
      </c>
      <c r="BZ92" s="13">
        <f>BY92*VLOOKUP('Données projet'!$B$12,Paramètres!$A$1:$I$89,3,0)*VLOOKUP('Données projet'!$B$12,Paramètres!$A$1:$I$89,5,0)</f>
        <v>300.00100000000032</v>
      </c>
      <c r="CA92" s="13">
        <f t="shared" si="93"/>
        <v>71.176673114058119</v>
      </c>
      <c r="CB92" s="20">
        <f t="shared" si="64"/>
        <v>646.46778067365187</v>
      </c>
      <c r="CC92" s="59">
        <f t="shared" si="65"/>
        <v>939.80111400698524</v>
      </c>
      <c r="CD92" s="59">
        <f ca="1">AVERAGE(OFFSET($CC$3,0,0,'Données projet'!$E$12+1,1))-AVERAGE(OFFSET($H$3,0,0,'Données projet'!$E$12+1,1))</f>
        <v>312.29056285877169</v>
      </c>
      <c r="CE92" s="59">
        <f t="shared" si="94"/>
        <v>233.85454224241693</v>
      </c>
      <c r="CF92" s="15">
        <f>IF(ISNA(VLOOKUP(A92,'Données projet'!$A$113:$I$133,3,0)),0,VLOOKUP(A92,'Données projet'!$A$113:$I$133,3,0))</f>
        <v>8</v>
      </c>
      <c r="CG92" s="15">
        <f>IF(ISNA(VLOOKUP(A92,'Données projet'!$A$113:$I$133,4,0)),0,VLOOKUP(A92,'Données projet'!$A$113:$I$133,4,0))</f>
        <v>49.391025641025635</v>
      </c>
      <c r="CH92" s="16">
        <f>IF(ISNA(VLOOKUP(A92,'Données projet'!$A$113:$I$133,5,0)),0%,VLOOKUP(A92,'Données projet'!$A$113:$I$133,5,0)*VLOOKUP('Données projet'!$B$12,Paramètres!$A$1:$I$89,7,0))</f>
        <v>0.30099999999999999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47.387633706095151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47.387633706095151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5.2606837606837598</v>
      </c>
      <c r="CT92" s="12">
        <f>IF('Données projet'!$A$140&gt;35,CT91+CS92-DB91,IF(A92&lt;'Données projet'!$A$140,$CQ$205^A92,IF(A92='Données projet'!$A$140,'Données projet'!$B$140,CT91+CS92-DB91)))</f>
        <v>191.22649572649556</v>
      </c>
      <c r="CU92" s="17">
        <f>CT92*VLOOKUP('Données projet'!$B$13,Paramètres!$A$1:$I$89,3,0)*VLOOKUP('Données projet'!$B$13,Paramètres!$A$1:$I$89,5,0)</f>
        <v>217.76873333333313</v>
      </c>
      <c r="CV92" s="13">
        <f t="shared" si="95"/>
        <v>53.62964359366044</v>
      </c>
      <c r="CW92" s="20">
        <f t="shared" si="67"/>
        <v>472.68550648118048</v>
      </c>
      <c r="CX92" s="59">
        <f t="shared" si="68"/>
        <v>766.01883981451374</v>
      </c>
      <c r="CY92" s="59">
        <f ca="1">AVERAGE(OFFSET($CX$3,0,0,'Données projet'!$E$13+1,1))-AVERAGE(OFFSET($H$3,0,0,'Données projet'!$E$13+1,1))</f>
        <v>292.22737648725354</v>
      </c>
      <c r="CZ92" s="59">
        <f t="shared" si="96"/>
        <v>182.84038581199871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20.919406950647073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20.919406950647073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5.2606837606837598</v>
      </c>
      <c r="DO92" s="12">
        <f>IF('Données projet'!$A$166&gt;35,DO91+DN92-DW91,IF(A92&lt;'Données projet'!$A$166,$DL$205^A92,IF(A92='Données projet'!$A$166,'Données projet'!$B$166,DO91+DN92-DW91)))</f>
        <v>191.22649572649556</v>
      </c>
      <c r="DP92" s="17">
        <f>DO92*VLOOKUP('Données projet'!$B$14,Paramètres!$A$1:$I$89,3,0)*VLOOKUP('Données projet'!$B$14,Paramètres!$A$1:$I$89,5,0)</f>
        <v>208.81933333333313</v>
      </c>
      <c r="DQ92" s="13">
        <f t="shared" si="97"/>
        <v>51.677495726537934</v>
      </c>
      <c r="DR92" s="20">
        <f t="shared" si="70"/>
        <v>453.69864394594202</v>
      </c>
      <c r="DS92" s="59">
        <f t="shared" si="71"/>
        <v>747.03197727927534</v>
      </c>
      <c r="DT92" s="59">
        <f ca="1">AVERAGE(OFFSET($DS$3,0,0,'Données projet'!$E$14+1,1))-AVERAGE(OFFSET($H$3,0,0,'Données projet'!$E$14+1,1))</f>
        <v>276.52126514622455</v>
      </c>
      <c r="DU92" s="59">
        <f t="shared" si="98"/>
        <v>173.98404849503186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20.059705295141026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20.059705295141026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5.2606837606837598</v>
      </c>
      <c r="EJ92" s="12">
        <f>IF('Données projet'!$A$192&gt;35,EJ91+EI92-ER91,IF(A92&lt;'Données projet'!$A$192,$EG$205^A92,IF(A92='Données projet'!$A$192,'Données projet'!$B$192,EJ91+EI92-ER91)))</f>
        <v>191.22649572649556</v>
      </c>
      <c r="EK92" s="17">
        <f>EJ92*VLOOKUP('Données projet'!$B$15,Paramètres!$A$1:$I$89,3,0)*VLOOKUP('Données projet'!$B$15,Paramètres!$A$1:$I$89,5,0)</f>
        <v>184.95426666666651</v>
      </c>
      <c r="EL92" s="13">
        <f t="shared" si="99"/>
        <v>46.422671404016612</v>
      </c>
      <c r="EM92" s="20">
        <f t="shared" si="73"/>
        <v>402.98150047310645</v>
      </c>
      <c r="EN92" s="59">
        <f t="shared" si="74"/>
        <v>696.31483380643976</v>
      </c>
      <c r="EO92" s="59">
        <f ca="1">AVERAGE(OFFSET($EN$3,0,0,'Données projet'!$E$15+1,1))-AVERAGE(OFFSET($H$3,0,0,'Données projet'!$E$15+1,1))</f>
        <v>234.56750794375012</v>
      </c>
      <c r="EP92" s="59">
        <f t="shared" si="100"/>
        <v>150.32420541314724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17.767167547124913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17.767167547124913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11.242307692307691</v>
      </c>
      <c r="N93" s="13">
        <f>IF('Données projet'!$A$36&gt;35,N92+M93-V92,IF(A93&lt;'Données projet'!$A$36,$K$205^A93,IF(A93='Données projet'!$A$36,'Données projet'!$B$36,N92+M93-V92)))</f>
        <v>412.91153846153867</v>
      </c>
      <c r="O93" s="13">
        <f>N93*VLOOKUP('Données projet'!$B$9,Paramètres!$A$1:$I$89,3,0)*VLOOKUP('Données projet'!$B$9,Paramètres!$A$1:$I$89,5,0)</f>
        <v>193.2426000000001</v>
      </c>
      <c r="P93" s="13">
        <f t="shared" si="87"/>
        <v>48.256138093290417</v>
      </c>
      <c r="Q93" s="20">
        <f t="shared" si="54"/>
        <v>420.6103021791476</v>
      </c>
      <c r="R93" s="59">
        <f t="shared" si="55"/>
        <v>713.94363551248091</v>
      </c>
      <c r="S93" s="59">
        <f ca="1">AVERAGE(OFFSET($R$3,0,0,'Données projet'!$E$9+1,1))-AVERAGE(OFFSET($H$3,0,0,'Données projet'!$E$9+1,1))</f>
        <v>198.17898804494365</v>
      </c>
      <c r="T93" s="59">
        <f t="shared" si="88"/>
        <v>186.24772922797723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74.330998298594139</v>
      </c>
      <c r="AA93" s="21">
        <f>EXP(-LN(2)/25)*AA92+(1-EXP(-LN(2)/25))/(LN(2)/25)*Calculateur!V93*Calculateur!X93*VLOOKUP('Données projet'!$B$9,Paramètres!$A$1:$I$89,3,0)*0.475*44/12</f>
        <v>24.362204382899797</v>
      </c>
      <c r="AB93" s="21">
        <f>EXP(-LN(2)/2)*AB92+(1-EXP(-LN(2)/2))/(LN(2)/2)*V93*Y93*VLOOKUP('Données projet'!$B$9,Paramètres!$A$1:$I$89,3,0)*0.475*44/12</f>
        <v>2.0401033874272985</v>
      </c>
      <c r="AC93" s="22">
        <f t="shared" si="57"/>
        <v>100.73330606892124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278.21846622758881</v>
      </c>
      <c r="AO93" s="59">
        <f t="shared" si="90"/>
        <v>245.37578316242906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7.1782051282051267</v>
      </c>
      <c r="BD93" s="12">
        <f>IF('Données projet'!$A$88&gt;35,BD92+BC93-BL92,IF(A93&lt;'Données projet'!$A$88,$BA$205^A93,IF(A93='Données projet'!$A$88,'Données projet'!$B$88,BD92+BC93-BL92)))</f>
        <v>253.64615384615416</v>
      </c>
      <c r="BE93" s="13">
        <f>BD93*VLOOKUP('Données projet'!$B$11,Paramètres!$A$1:$I$89,3,0)*VLOOKUP('Données projet'!$B$11,Paramètres!$A$1:$I$89,5,0)</f>
        <v>229.49904000000029</v>
      </c>
      <c r="BF93" s="13">
        <f t="shared" si="91"/>
        <v>56.174348524497042</v>
      </c>
      <c r="BG93" s="20">
        <f t="shared" si="61"/>
        <v>497.54781834683286</v>
      </c>
      <c r="BH93" s="59">
        <f t="shared" si="62"/>
        <v>790.88115168016611</v>
      </c>
      <c r="BI93" s="59">
        <f ca="1">AVERAGE(OFFSET($BH$3,0,0,'Données projet'!$E$11+1,1))-AVERAGE(OFFSET($H$3,0,0,'Données projet'!$E$11+1,1))</f>
        <v>270.87836509222456</v>
      </c>
      <c r="BJ93" s="59">
        <f t="shared" si="92"/>
        <v>205.24998237949734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41.45517976212043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41.45517976212043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7.1782051282051267</v>
      </c>
      <c r="BY93" s="12">
        <f>IF('Données projet'!$A$114&gt;35,BY92+BX93-CG92,IF(A93&lt;'Données projet'!$A$114,$BV$205^A93,IF(A93='Données projet'!$A$114,'Données projet'!$B$114,BY92+BX93-CG92)))</f>
        <v>253.64615384615416</v>
      </c>
      <c r="BZ93" s="13">
        <f>BY93*VLOOKUP('Données projet'!$B$12,Paramètres!$A$1:$I$89,3,0)*VLOOKUP('Données projet'!$B$12,Paramètres!$A$1:$I$89,5,0)</f>
        <v>257.19720000000035</v>
      </c>
      <c r="CA93" s="13">
        <f t="shared" si="93"/>
        <v>62.124557913773614</v>
      </c>
      <c r="CB93" s="20">
        <f t="shared" si="64"/>
        <v>556.15206169982298</v>
      </c>
      <c r="CC93" s="59">
        <f t="shared" si="65"/>
        <v>849.48539503315624</v>
      </c>
      <c r="CD93" s="59">
        <f ca="1">AVERAGE(OFFSET($CC$3,0,0,'Données projet'!$E$12+1,1))-AVERAGE(OFFSET($H$3,0,0,'Données projet'!$E$12+1,1))</f>
        <v>312.29056285877169</v>
      </c>
      <c r="CE93" s="59">
        <f t="shared" si="94"/>
        <v>233.85454224241693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46.458391112721195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46.458391112721195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5.2606837606837598</v>
      </c>
      <c r="CT93" s="12">
        <f>IF('Données projet'!$A$140&gt;35,CT92+CS93-DB92,IF(A93&lt;'Données projet'!$A$140,$CQ$205^A93,IF(A93='Données projet'!$A$140,'Données projet'!$B$140,CT92+CS93-DB92)))</f>
        <v>196.4871794871793</v>
      </c>
      <c r="CU93" s="17">
        <f>CT93*VLOOKUP('Données projet'!$B$13,Paramètres!$A$1:$I$89,3,0)*VLOOKUP('Données projet'!$B$13,Paramètres!$A$1:$I$89,5,0)</f>
        <v>223.75959999999978</v>
      </c>
      <c r="CV93" s="13">
        <f t="shared" si="95"/>
        <v>54.931208621443652</v>
      </c>
      <c r="CW93" s="20">
        <f t="shared" si="67"/>
        <v>485.38649168234724</v>
      </c>
      <c r="CX93" s="59">
        <f t="shared" si="68"/>
        <v>778.7198250156805</v>
      </c>
      <c r="CY93" s="59">
        <f ca="1">AVERAGE(OFFSET($CX$3,0,0,'Données projet'!$E$13+1,1))-AVERAGE(OFFSET($H$3,0,0,'Données projet'!$E$13+1,1))</f>
        <v>292.22737648725354</v>
      </c>
      <c r="CZ93" s="59">
        <f t="shared" si="96"/>
        <v>182.84038581199871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20.50919013992322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20.50919013992322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5.2606837606837598</v>
      </c>
      <c r="DO93" s="12">
        <f>IF('Données projet'!$A$166&gt;35,DO92+DN93-DW92,IF(A93&lt;'Données projet'!$A$166,$DL$205^A93,IF(A93='Données projet'!$A$166,'Données projet'!$B$166,DO92+DN93-DW92)))</f>
        <v>196.4871794871793</v>
      </c>
      <c r="DP93" s="17">
        <f>DO93*VLOOKUP('Données projet'!$B$14,Paramètres!$A$1:$I$89,3,0)*VLOOKUP('Données projet'!$B$14,Paramètres!$A$1:$I$89,5,0)</f>
        <v>214.56399999999979</v>
      </c>
      <c r="DQ93" s="13">
        <f t="shared" si="97"/>
        <v>52.931683087369649</v>
      </c>
      <c r="DR93" s="20">
        <f t="shared" si="70"/>
        <v>465.88831471050179</v>
      </c>
      <c r="DS93" s="59">
        <f t="shared" si="71"/>
        <v>759.2216480438351</v>
      </c>
      <c r="DT93" s="59">
        <f ca="1">AVERAGE(OFFSET($DS$3,0,0,'Données projet'!$E$14+1,1))-AVERAGE(OFFSET($H$3,0,0,'Données projet'!$E$14+1,1))</f>
        <v>276.52126514622455</v>
      </c>
      <c r="DU93" s="59">
        <f t="shared" si="98"/>
        <v>173.98404849503186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19.666346709515413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19.666346709515413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5.2606837606837598</v>
      </c>
      <c r="EJ93" s="12">
        <f>IF('Données projet'!$A$192&gt;35,EJ92+EI93-ER92,IF(A93&lt;'Données projet'!$A$192,$EG$205^A93,IF(A93='Données projet'!$A$192,'Données projet'!$B$192,EJ92+EI93-ER92)))</f>
        <v>196.4871794871793</v>
      </c>
      <c r="EK93" s="17">
        <f>EJ93*VLOOKUP('Données projet'!$B$15,Paramètres!$A$1:$I$89,3,0)*VLOOKUP('Données projet'!$B$15,Paramètres!$A$1:$I$89,5,0)</f>
        <v>190.04239999999982</v>
      </c>
      <c r="EL93" s="13">
        <f t="shared" si="99"/>
        <v>47.54932676748583</v>
      </c>
      <c r="EM93" s="20">
        <f t="shared" si="73"/>
        <v>413.80559078670422</v>
      </c>
      <c r="EN93" s="59">
        <f t="shared" si="74"/>
        <v>707.13892412003747</v>
      </c>
      <c r="EO93" s="59">
        <f ca="1">AVERAGE(OFFSET($EN$3,0,0,'Données projet'!$E$15+1,1))-AVERAGE(OFFSET($H$3,0,0,'Données projet'!$E$15+1,1))</f>
        <v>234.56750794375012</v>
      </c>
      <c r="EP93" s="59">
        <f t="shared" si="100"/>
        <v>150.32420541314724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17.418764228427943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17.418764228427943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11.242307692307691</v>
      </c>
      <c r="N94" s="13">
        <f>IF('Données projet'!$A$36&gt;35,N93+M94-V93,IF(A94&lt;'Données projet'!$A$36,$K$205^A94,IF(A94='Données projet'!$A$36,'Données projet'!$B$36,N93+M94-V93)))</f>
        <v>424.15384615384636</v>
      </c>
      <c r="O94" s="13">
        <f>N94*VLOOKUP('Données projet'!$B$9,Paramètres!$A$1:$I$89,3,0)*VLOOKUP('Données projet'!$B$9,Paramètres!$A$1:$I$89,5,0)</f>
        <v>198.5040000000001</v>
      </c>
      <c r="P94" s="13">
        <f t="shared" si="87"/>
        <v>49.415248676990458</v>
      </c>
      <c r="Q94" s="20">
        <f t="shared" si="54"/>
        <v>431.79269144575846</v>
      </c>
      <c r="R94" s="59">
        <f t="shared" si="55"/>
        <v>725.12602477909172</v>
      </c>
      <c r="S94" s="59">
        <f ca="1">AVERAGE(OFFSET($R$3,0,0,'Données projet'!$E$9+1,1))-AVERAGE(OFFSET($H$3,0,0,'Données projet'!$E$9+1,1))</f>
        <v>198.17898804494365</v>
      </c>
      <c r="T94" s="59">
        <f t="shared" si="88"/>
        <v>186.24772922797723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72.873412759390973</v>
      </c>
      <c r="AA94" s="21">
        <f>EXP(-LN(2)/25)*AA93+(1-EXP(-LN(2)/25))/(LN(2)/25)*Calculateur!V94*Calculateur!X94*VLOOKUP('Données projet'!$B$9,Paramètres!$A$1:$I$89,3,0)*0.475*44/12</f>
        <v>23.696018622896755</v>
      </c>
      <c r="AB94" s="21">
        <f>EXP(-LN(2)/2)*AB93+(1-EXP(-LN(2)/2))/(LN(2)/2)*V94*Y94*VLOOKUP('Données projet'!$B$9,Paramètres!$A$1:$I$89,3,0)*0.475*44/12</f>
        <v>1.4425709395714892</v>
      </c>
      <c r="AC94" s="22">
        <f t="shared" si="57"/>
        <v>98.012002321859228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278.21846622758881</v>
      </c>
      <c r="AO94" s="59">
        <f t="shared" si="90"/>
        <v>245.37578316242906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7.1782051282051267</v>
      </c>
      <c r="BD94" s="12">
        <f>IF('Données projet'!$A$88&gt;35,BD93+BC94-BL93,IF(A94&lt;'Données projet'!$A$88,$BA$205^A94,IF(A94='Données projet'!$A$88,'Données projet'!$B$88,BD93+BC94-BL93)))</f>
        <v>260.82435897435931</v>
      </c>
      <c r="BE94" s="13">
        <f>BD94*VLOOKUP('Données projet'!$B$11,Paramètres!$A$1:$I$89,3,0)*VLOOKUP('Données projet'!$B$11,Paramètres!$A$1:$I$89,5,0)</f>
        <v>235.99388000000027</v>
      </c>
      <c r="BF94" s="13">
        <f t="shared" si="91"/>
        <v>57.57675164364376</v>
      </c>
      <c r="BG94" s="20">
        <f t="shared" si="61"/>
        <v>511.30218344601343</v>
      </c>
      <c r="BH94" s="59">
        <f t="shared" si="62"/>
        <v>804.63551677934674</v>
      </c>
      <c r="BI94" s="59">
        <f ca="1">AVERAGE(OFFSET($BH$3,0,0,'Données projet'!$E$11+1,1))-AVERAGE(OFFSET($H$3,0,0,'Données projet'!$E$11+1,1))</f>
        <v>270.87836509222456</v>
      </c>
      <c r="BJ94" s="59">
        <f t="shared" si="92"/>
        <v>205.24998237949734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40.642268972148202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40.642268972148202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7.1782051282051267</v>
      </c>
      <c r="BY94" s="12">
        <f>IF('Données projet'!$A$114&gt;35,BY93+BX94-CG93,IF(A94&lt;'Données projet'!$A$114,$BV$205^A94,IF(A94='Données projet'!$A$114,'Données projet'!$B$114,BY93+BX94-CG93)))</f>
        <v>260.82435897435931</v>
      </c>
      <c r="BZ94" s="13">
        <f>BY94*VLOOKUP('Données projet'!$B$12,Paramètres!$A$1:$I$89,3,0)*VLOOKUP('Données projet'!$B$12,Paramètres!$A$1:$I$89,5,0)</f>
        <v>264.47590000000037</v>
      </c>
      <c r="CA94" s="13">
        <f t="shared" si="93"/>
        <v>63.675509123397234</v>
      </c>
      <c r="CB94" s="20">
        <f t="shared" si="64"/>
        <v>571.53037088991744</v>
      </c>
      <c r="CC94" s="59">
        <f t="shared" si="65"/>
        <v>864.86370422325081</v>
      </c>
      <c r="CD94" s="59">
        <f ca="1">AVERAGE(OFFSET($CC$3,0,0,'Données projet'!$E$12+1,1))-AVERAGE(OFFSET($H$3,0,0,'Données projet'!$E$12+1,1))</f>
        <v>312.29056285877169</v>
      </c>
      <c r="CE94" s="59">
        <f t="shared" si="94"/>
        <v>233.85454224241693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45.547370399821283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45.547370399821283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5.2606837606837598</v>
      </c>
      <c r="CT94" s="12">
        <f>IF('Données projet'!$A$140&gt;35,CT93+CS94-DB93,IF(A94&lt;'Données projet'!$A$140,$CQ$205^A94,IF(A94='Données projet'!$A$140,'Données projet'!$B$140,CT93+CS94-DB93)))</f>
        <v>201.74786324786305</v>
      </c>
      <c r="CU94" s="17">
        <f>CT94*VLOOKUP('Données projet'!$B$13,Paramètres!$A$1:$I$89,3,0)*VLOOKUP('Données projet'!$B$13,Paramètres!$A$1:$I$89,5,0)</f>
        <v>229.75046666666645</v>
      </c>
      <c r="CV94" s="13">
        <f t="shared" si="95"/>
        <v>56.228723182142566</v>
      </c>
      <c r="CW94" s="20">
        <f t="shared" si="67"/>
        <v>498.08042232000906</v>
      </c>
      <c r="CX94" s="59">
        <f t="shared" si="68"/>
        <v>791.41375565334238</v>
      </c>
      <c r="CY94" s="59">
        <f ca="1">AVERAGE(OFFSET($CX$3,0,0,'Données projet'!$E$13+1,1))-AVERAGE(OFFSET($H$3,0,0,'Données projet'!$E$13+1,1))</f>
        <v>292.22737648725354</v>
      </c>
      <c r="CZ94" s="59">
        <f t="shared" si="96"/>
        <v>182.84038581199871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20.107017430650114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20.107017430650114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5.2606837606837598</v>
      </c>
      <c r="DO94" s="12">
        <f>IF('Données projet'!$A$166&gt;35,DO93+DN94-DW93,IF(A94&lt;'Données projet'!$A$166,$DL$205^A94,IF(A94='Données projet'!$A$166,'Données projet'!$B$166,DO93+DN94-DW93)))</f>
        <v>201.74786324786305</v>
      </c>
      <c r="DP94" s="17">
        <f>DO94*VLOOKUP('Données projet'!$B$14,Paramètres!$A$1:$I$89,3,0)*VLOOKUP('Données projet'!$B$14,Paramètres!$A$1:$I$89,5,0)</f>
        <v>220.30866666666643</v>
      </c>
      <c r="DQ94" s="13">
        <f t="shared" si="97"/>
        <v>54.181967420297234</v>
      </c>
      <c r="DR94" s="20">
        <f t="shared" si="70"/>
        <v>478.07118770146172</v>
      </c>
      <c r="DS94" s="59">
        <f t="shared" si="71"/>
        <v>771.40452103479504</v>
      </c>
      <c r="DT94" s="59">
        <f ca="1">AVERAGE(OFFSET($DS$3,0,0,'Données projet'!$E$14+1,1))-AVERAGE(OFFSET($H$3,0,0,'Données projet'!$E$14+1,1))</f>
        <v>276.52126514622455</v>
      </c>
      <c r="DU94" s="59">
        <f t="shared" si="98"/>
        <v>173.98404849503186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19.280701645828874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19.280701645828874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5.2606837606837598</v>
      </c>
      <c r="EJ94" s="12">
        <f>IF('Données projet'!$A$192&gt;35,EJ93+EI94-ER93,IF(A94&lt;'Données projet'!$A$192,$EG$205^A94,IF(A94='Données projet'!$A$192,'Données projet'!$B$192,EJ93+EI94-ER93)))</f>
        <v>201.74786324786305</v>
      </c>
      <c r="EK94" s="17">
        <f>EJ94*VLOOKUP('Données projet'!$B$15,Paramètres!$A$1:$I$89,3,0)*VLOOKUP('Données projet'!$B$15,Paramètres!$A$1:$I$89,5,0)</f>
        <v>195.13053333333315</v>
      </c>
      <c r="EL94" s="13">
        <f t="shared" si="99"/>
        <v>48.672475982305059</v>
      </c>
      <c r="EM94" s="20">
        <f t="shared" si="73"/>
        <v>424.62357455806983</v>
      </c>
      <c r="EN94" s="59">
        <f t="shared" si="74"/>
        <v>717.95690789140315</v>
      </c>
      <c r="EO94" s="59">
        <f ca="1">AVERAGE(OFFSET($EN$3,0,0,'Données projet'!$E$15+1,1))-AVERAGE(OFFSET($H$3,0,0,'Données projet'!$E$15+1,1))</f>
        <v>234.56750794375012</v>
      </c>
      <c r="EP94" s="59">
        <f t="shared" si="100"/>
        <v>150.32420541314724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17.077192886305578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17.077192886305578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11.242307692307691</v>
      </c>
      <c r="N95" s="13">
        <f>IF('Données projet'!$A$36&gt;35,N94+M95-V94,IF(A95&lt;'Données projet'!$A$36,$K$205^A95,IF(A95='Données projet'!$A$36,'Données projet'!$B$36,N94+M95-V94)))</f>
        <v>435.39615384615405</v>
      </c>
      <c r="O95" s="13">
        <f>N95*VLOOKUP('Données projet'!$B$9,Paramètres!$A$1:$I$89,3,0)*VLOOKUP('Données projet'!$B$9,Paramètres!$A$1:$I$89,5,0)</f>
        <v>203.76540000000008</v>
      </c>
      <c r="P95" s="13">
        <f t="shared" si="87"/>
        <v>50.570788227585879</v>
      </c>
      <c r="Q95" s="20">
        <f t="shared" si="54"/>
        <v>442.96886116304557</v>
      </c>
      <c r="R95" s="59">
        <f t="shared" si="55"/>
        <v>736.30219449637889</v>
      </c>
      <c r="S95" s="59">
        <f ca="1">AVERAGE(OFFSET($R$3,0,0,'Données projet'!$E$9+1,1))-AVERAGE(OFFSET($H$3,0,0,'Données projet'!$E$9+1,1))</f>
        <v>198.17898804494365</v>
      </c>
      <c r="T95" s="59">
        <f t="shared" si="88"/>
        <v>186.24772922797723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71.444409583572181</v>
      </c>
      <c r="AA95" s="21">
        <f>EXP(-LN(2)/25)*AA94+(1-EXP(-LN(2)/25))/(LN(2)/25)*Calculateur!V95*Calculateur!X95*VLOOKUP('Données projet'!$B$9,Paramètres!$A$1:$I$89,3,0)*0.475*44/12</f>
        <v>23.048049747534183</v>
      </c>
      <c r="AB95" s="21">
        <f>EXP(-LN(2)/2)*AB94+(1-EXP(-LN(2)/2))/(LN(2)/2)*V95*Y95*VLOOKUP('Données projet'!$B$9,Paramètres!$A$1:$I$89,3,0)*0.475*44/12</f>
        <v>1.0200516937136495</v>
      </c>
      <c r="AC95" s="22">
        <f t="shared" si="57"/>
        <v>95.512511024820014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278.21846622758881</v>
      </c>
      <c r="AO95" s="59">
        <f t="shared" si="90"/>
        <v>245.37578316242906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7.1782051282051267</v>
      </c>
      <c r="BD95" s="12">
        <f>IF('Données projet'!$A$88&gt;35,BD94+BC95-BL94,IF(A95&lt;'Données projet'!$A$88,$BA$205^A95,IF(A95='Données projet'!$A$88,'Données projet'!$B$88,BD94+BC95-BL94)))</f>
        <v>268.00256410256446</v>
      </c>
      <c r="BE95" s="13">
        <f>BD95*VLOOKUP('Données projet'!$B$11,Paramètres!$A$1:$I$89,3,0)*VLOOKUP('Données projet'!$B$11,Paramètres!$A$1:$I$89,5,0)</f>
        <v>242.48872000000031</v>
      </c>
      <c r="BF95" s="13">
        <f t="shared" si="91"/>
        <v>58.974668795914049</v>
      </c>
      <c r="BG95" s="20">
        <f t="shared" si="61"/>
        <v>525.04873548621742</v>
      </c>
      <c r="BH95" s="59">
        <f t="shared" si="62"/>
        <v>818.3820688195508</v>
      </c>
      <c r="BI95" s="59">
        <f ca="1">AVERAGE(OFFSET($BH$3,0,0,'Données projet'!$E$11+1,1))-AVERAGE(OFFSET($H$3,0,0,'Données projet'!$E$11+1,1))</f>
        <v>270.87836509222456</v>
      </c>
      <c r="BJ95" s="59">
        <f t="shared" si="92"/>
        <v>205.24998237949734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39.845298866940702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39.845298866940702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7.1782051282051267</v>
      </c>
      <c r="BY95" s="12">
        <f>IF('Données projet'!$A$114&gt;35,BY94+BX95-CG94,IF(A95&lt;'Données projet'!$A$114,$BV$205^A95,IF(A95='Données projet'!$A$114,'Données projet'!$B$114,BY94+BX95-CG94)))</f>
        <v>268.00256410256446</v>
      </c>
      <c r="BZ95" s="13">
        <f>BY95*VLOOKUP('Données projet'!$B$12,Paramètres!$A$1:$I$89,3,0)*VLOOKUP('Données projet'!$B$12,Paramètres!$A$1:$I$89,5,0)</f>
        <v>271.75460000000038</v>
      </c>
      <c r="CA95" s="13">
        <f t="shared" si="93"/>
        <v>65.221499194772917</v>
      </c>
      <c r="CB95" s="20">
        <f t="shared" si="64"/>
        <v>586.90003943089675</v>
      </c>
      <c r="CC95" s="59">
        <f t="shared" si="65"/>
        <v>880.23337276423013</v>
      </c>
      <c r="CD95" s="59">
        <f ca="1">AVERAGE(OFFSET($CC$3,0,0,'Données projet'!$E$12+1,1))-AVERAGE(OFFSET($H$3,0,0,'Données projet'!$E$12+1,1))</f>
        <v>312.29056285877169</v>
      </c>
      <c r="CE95" s="59">
        <f t="shared" si="94"/>
        <v>233.85454224241693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44.654214247433572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44.654214247433572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5.2606837606837598</v>
      </c>
      <c r="CT95" s="12">
        <f>IF('Données projet'!$A$140&gt;35,CT94+CS95-DB94,IF(A95&lt;'Données projet'!$A$140,$CQ$205^A95,IF(A95='Données projet'!$A$140,'Données projet'!$B$140,CT94+CS95-DB94)))</f>
        <v>207.0085470085468</v>
      </c>
      <c r="CU95" s="17">
        <f>CT95*VLOOKUP('Données projet'!$B$13,Paramètres!$A$1:$I$89,3,0)*VLOOKUP('Données projet'!$B$13,Paramètres!$A$1:$I$89,5,0)</f>
        <v>235.7413333333331</v>
      </c>
      <c r="CV95" s="13">
        <f t="shared" si="95"/>
        <v>57.522305036055251</v>
      </c>
      <c r="CW95" s="20">
        <f t="shared" si="67"/>
        <v>510.76750349335134</v>
      </c>
      <c r="CX95" s="59">
        <f t="shared" si="68"/>
        <v>804.1008368266846</v>
      </c>
      <c r="CY95" s="59">
        <f ca="1">AVERAGE(OFFSET($CX$3,0,0,'Données projet'!$E$13+1,1))-AVERAGE(OFFSET($H$3,0,0,'Données projet'!$E$13+1,1))</f>
        <v>292.22737648725354</v>
      </c>
      <c r="CZ95" s="59">
        <f t="shared" si="96"/>
        <v>182.84038581199871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19.712731082904721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19.712731082904721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5.2606837606837598</v>
      </c>
      <c r="DO95" s="12">
        <f>IF('Données projet'!$A$166&gt;35,DO94+DN95-DW94,IF(A95&lt;'Données projet'!$A$166,$DL$205^A95,IF(A95='Données projet'!$A$166,'Données projet'!$B$166,DO94+DN95-DW94)))</f>
        <v>207.0085470085468</v>
      </c>
      <c r="DP95" s="17">
        <f>DO95*VLOOKUP('Données projet'!$B$14,Paramètres!$A$1:$I$89,3,0)*VLOOKUP('Données projet'!$B$14,Paramètres!$A$1:$I$89,5,0)</f>
        <v>226.05333333333309</v>
      </c>
      <c r="DQ95" s="13">
        <f t="shared" si="97"/>
        <v>55.428462199080357</v>
      </c>
      <c r="DR95" s="20">
        <f t="shared" si="70"/>
        <v>490.24746055228678</v>
      </c>
      <c r="DS95" s="59">
        <f t="shared" si="71"/>
        <v>783.5807938856201</v>
      </c>
      <c r="DT95" s="59">
        <f ca="1">AVERAGE(OFFSET($DS$3,0,0,'Données projet'!$E$14+1,1))-AVERAGE(OFFSET($H$3,0,0,'Données projet'!$E$14+1,1))</f>
        <v>276.52126514622455</v>
      </c>
      <c r="DU95" s="59">
        <f t="shared" si="98"/>
        <v>173.98404849503186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18.902618846620964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18.902618846620964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5.2606837606837598</v>
      </c>
      <c r="EJ95" s="12">
        <f>IF('Données projet'!$A$192&gt;35,EJ94+EI95-ER94,IF(A95&lt;'Données projet'!$A$192,$EG$205^A95,IF(A95='Données projet'!$A$192,'Données projet'!$B$192,EJ94+EI95-ER94)))</f>
        <v>207.0085470085468</v>
      </c>
      <c r="EK95" s="17">
        <f>EJ95*VLOOKUP('Données projet'!$B$15,Paramètres!$A$1:$I$89,3,0)*VLOOKUP('Données projet'!$B$15,Paramètres!$A$1:$I$89,5,0)</f>
        <v>200.21866666666645</v>
      </c>
      <c r="EL95" s="13">
        <f t="shared" si="99"/>
        <v>49.792220983658822</v>
      </c>
      <c r="EM95" s="20">
        <f t="shared" si="73"/>
        <v>435.43562932431655</v>
      </c>
      <c r="EN95" s="59">
        <f t="shared" si="74"/>
        <v>728.76896265764981</v>
      </c>
      <c r="EO95" s="59">
        <f ca="1">AVERAGE(OFFSET($EN$3,0,0,'Données projet'!$E$15+1,1))-AVERAGE(OFFSET($H$3,0,0,'Données projet'!$E$15+1,1))</f>
        <v>234.56750794375012</v>
      </c>
      <c r="EP95" s="59">
        <f t="shared" si="100"/>
        <v>150.32420541314724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16.742319549864288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16.742319549864288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11.242307692307691</v>
      </c>
      <c r="N96" s="13">
        <f>IF('Données projet'!$A$36&gt;35,N95+M96-V95,IF(A96&lt;'Données projet'!$A$36,$K$205^A96,IF(A96='Données projet'!$A$36,'Données projet'!$B$36,N95+M96-V95)))</f>
        <v>446.63846153846174</v>
      </c>
      <c r="O96" s="13">
        <f>N96*VLOOKUP('Données projet'!$B$9,Paramètres!$A$1:$I$89,3,0)*VLOOKUP('Données projet'!$B$9,Paramètres!$A$1:$I$89,5,0)</f>
        <v>209.02680000000009</v>
      </c>
      <c r="P96" s="13">
        <f t="shared" si="87"/>
        <v>51.722859553755349</v>
      </c>
      <c r="Q96" s="20">
        <f t="shared" si="54"/>
        <v>454.13899038945743</v>
      </c>
      <c r="R96" s="59">
        <f t="shared" si="55"/>
        <v>747.47232372279075</v>
      </c>
      <c r="S96" s="59">
        <f ca="1">AVERAGE(OFFSET($R$3,0,0,'Données projet'!$E$9+1,1))-AVERAGE(OFFSET($H$3,0,0,'Données projet'!$E$9+1,1))</f>
        <v>198.17898804494365</v>
      </c>
      <c r="T96" s="59">
        <f t="shared" si="88"/>
        <v>186.24772922797723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70.043428288425332</v>
      </c>
      <c r="AA96" s="21">
        <f>EXP(-LN(2)/25)*AA95+(1-EXP(-LN(2)/25))/(LN(2)/25)*Calculateur!V96*Calculateur!X96*VLOOKUP('Données projet'!$B$9,Paramètres!$A$1:$I$89,3,0)*0.475*44/12</f>
        <v>22.417799615143601</v>
      </c>
      <c r="AB96" s="21">
        <f>EXP(-LN(2)/2)*AB95+(1-EXP(-LN(2)/2))/(LN(2)/2)*V96*Y96*VLOOKUP('Données projet'!$B$9,Paramètres!$A$1:$I$89,3,0)*0.475*44/12</f>
        <v>0.72128546978574481</v>
      </c>
      <c r="AC96" s="22">
        <f t="shared" si="57"/>
        <v>93.182513373354666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278.21846622758881</v>
      </c>
      <c r="AO96" s="59">
        <f t="shared" si="90"/>
        <v>245.37578316242906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7.1782051282051267</v>
      </c>
      <c r="BD96" s="12">
        <f>IF('Données projet'!$A$88&gt;35,BD95+BC96-BL95,IF(A96&lt;'Données projet'!$A$88,$BA$205^A96,IF(A96='Données projet'!$A$88,'Données projet'!$B$88,BD95+BC96-BL95)))</f>
        <v>275.18076923076961</v>
      </c>
      <c r="BE96" s="13">
        <f>BD96*VLOOKUP('Données projet'!$B$11,Paramètres!$A$1:$I$89,3,0)*VLOOKUP('Données projet'!$B$11,Paramètres!$A$1:$I$89,5,0)</f>
        <v>248.98356000000032</v>
      </c>
      <c r="BF96" s="13">
        <f t="shared" si="91"/>
        <v>60.368233943158614</v>
      </c>
      <c r="BG96" s="20">
        <f t="shared" si="61"/>
        <v>538.78770778433511</v>
      </c>
      <c r="BH96" s="59">
        <f t="shared" si="62"/>
        <v>832.12104111766848</v>
      </c>
      <c r="BI96" s="59">
        <f ca="1">AVERAGE(OFFSET($BH$3,0,0,'Données projet'!$E$11+1,1))-AVERAGE(OFFSET($H$3,0,0,'Données projet'!$E$11+1,1))</f>
        <v>270.87836509222456</v>
      </c>
      <c r="BJ96" s="59">
        <f t="shared" si="92"/>
        <v>205.24998237949734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39.063956859392562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39.063956859392562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7.1782051282051267</v>
      </c>
      <c r="BY96" s="12">
        <f>IF('Données projet'!$A$114&gt;35,BY95+BX96-CG95,IF(A96&lt;'Données projet'!$A$114,$BV$205^A96,IF(A96='Données projet'!$A$114,'Données projet'!$B$114,BY95+BX96-CG95)))</f>
        <v>275.18076923076961</v>
      </c>
      <c r="BZ96" s="13">
        <f>BY96*VLOOKUP('Données projet'!$B$12,Paramètres!$A$1:$I$89,3,0)*VLOOKUP('Données projet'!$B$12,Paramètres!$A$1:$I$89,5,0)</f>
        <v>279.03330000000039</v>
      </c>
      <c r="CA96" s="13">
        <f t="shared" si="93"/>
        <v>66.762676279521131</v>
      </c>
      <c r="CB96" s="20">
        <f t="shared" si="64"/>
        <v>602.26132535349996</v>
      </c>
      <c r="CC96" s="59">
        <f t="shared" si="65"/>
        <v>895.59465868683333</v>
      </c>
      <c r="CD96" s="59">
        <f ca="1">AVERAGE(OFFSET($CC$3,0,0,'Données projet'!$E$12+1,1))-AVERAGE(OFFSET($H$3,0,0,'Données projet'!$E$12+1,1))</f>
        <v>312.29056285877169</v>
      </c>
      <c r="CE96" s="59">
        <f t="shared" si="94"/>
        <v>233.85454224241693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43.77857234242272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43.77857234242272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212.26923076923075</v>
      </c>
      <c r="CR96" s="12">
        <f>VLOOKUP(A96,'Données projet'!$A$139:$I$159,9,0)</f>
        <v>5.2606837606837598</v>
      </c>
      <c r="CS96" s="12">
        <f t="array" ref="CS96">INDEX(CR:CR,MIN(IF(ISNUMBER(CR96:CR292),ROW(CR96:CR292),"")))</f>
        <v>5.2606837606837598</v>
      </c>
      <c r="CT96" s="12">
        <f>IF('Données projet'!$A$140&gt;35,CT95+CS96-DB95,IF(A96&lt;'Données projet'!$A$140,$CQ$205^A96,IF(A96='Données projet'!$A$140,'Données projet'!$B$140,CT95+CS96-DB95)))</f>
        <v>212.26923076923055</v>
      </c>
      <c r="CU96" s="17">
        <f>CT96*VLOOKUP('Données projet'!$B$13,Paramètres!$A$1:$I$89,3,0)*VLOOKUP('Données projet'!$B$13,Paramètres!$A$1:$I$89,5,0)</f>
        <v>241.73219999999972</v>
      </c>
      <c r="CV96" s="13">
        <f t="shared" si="95"/>
        <v>58.812065617185162</v>
      </c>
      <c r="CW96" s="20">
        <f t="shared" si="67"/>
        <v>523.44792928326353</v>
      </c>
      <c r="CX96" s="59">
        <f t="shared" si="68"/>
        <v>816.7812626165969</v>
      </c>
      <c r="CY96" s="59">
        <f ca="1">AVERAGE(OFFSET($CX$3,0,0,'Données projet'!$E$13+1,1))-AVERAGE(OFFSET($H$3,0,0,'Données projet'!$E$13+1,1))</f>
        <v>292.22737648725354</v>
      </c>
      <c r="CZ96" s="59">
        <f t="shared" si="96"/>
        <v>182.84038581199871</v>
      </c>
      <c r="DA96" s="15">
        <f>IF(ISNA(VLOOKUP(A96,'Données projet'!$A$139:$I$159,3,0)),0,VLOOKUP(A96,'Données projet'!$A$139:$I$159,3,0))</f>
        <v>7</v>
      </c>
      <c r="DB96" s="15">
        <f>IF(ISNA(VLOOKUP(A96,'Données projet'!$A$139:$I$159,4,0)),0,VLOOKUP(A96,'Données projet'!$A$139:$I$159,4,0))</f>
        <v>30.083333333333332</v>
      </c>
      <c r="DC96" s="16">
        <f>IF(ISNA(VLOOKUP(A96,'Données projet'!$A$139:$I$159,5,0)),0%,VLOOKUP(A96,'Données projet'!$A$139:$I$159,5,0)*VLOOKUP('Données projet'!$B$13,Paramètres!$A$1:$I$89,7,0))</f>
        <v>0.30099999999999999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30.72570840474749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30.72570840474749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212.26923076923075</v>
      </c>
      <c r="DM96" s="12">
        <f>VLOOKUP(A96,'Données projet'!$A$165:$I$185,9,0)</f>
        <v>5.2606837606837598</v>
      </c>
      <c r="DN96" s="12">
        <f t="array" ref="DN96">INDEX(DM:DM,MIN(IF(ISNUMBER(DM96:DM292),ROW(DM96:DM292),"")))</f>
        <v>5.2606837606837598</v>
      </c>
      <c r="DO96" s="12">
        <f>IF('Données projet'!$A$166&gt;35,DO95+DN96-DW95,IF(A96&lt;'Données projet'!$A$166,$DL$205^A96,IF(A96='Données projet'!$A$166,'Données projet'!$B$166,DO95+DN96-DW95)))</f>
        <v>212.26923076923055</v>
      </c>
      <c r="DP96" s="17">
        <f>DO96*VLOOKUP('Données projet'!$B$14,Paramètres!$A$1:$I$89,3,0)*VLOOKUP('Données projet'!$B$14,Paramètres!$A$1:$I$89,5,0)</f>
        <v>231.79799999999972</v>
      </c>
      <c r="DQ96" s="13">
        <f t="shared" si="97"/>
        <v>56.671274801464996</v>
      </c>
      <c r="DR96" s="20">
        <f t="shared" si="70"/>
        <v>502.41732027921768</v>
      </c>
      <c r="DS96" s="59">
        <f t="shared" si="71"/>
        <v>795.75065361255099</v>
      </c>
      <c r="DT96" s="59">
        <f ca="1">AVERAGE(OFFSET($DS$3,0,0,'Données projet'!$E$14+1,1))-AVERAGE(OFFSET($H$3,0,0,'Données projet'!$E$14+1,1))</f>
        <v>276.52126514622455</v>
      </c>
      <c r="DU96" s="59">
        <f t="shared" si="98"/>
        <v>173.98404849503186</v>
      </c>
      <c r="DV96" s="15">
        <f>IF(ISNA(VLOOKUP(A96,'Données projet'!$A$165:$I$185,3,0)),0,VLOOKUP(A96,'Données projet'!$A$165:$I$185,3,0))</f>
        <v>7</v>
      </c>
      <c r="DW96" s="15">
        <f>IF(ISNA(VLOOKUP(A96,'Données projet'!$A$165:$I$185,4,0)),0,VLOOKUP(A96,'Données projet'!$A$165:$I$185,4,0))</f>
        <v>30.083333333333332</v>
      </c>
      <c r="DX96" s="16">
        <f>IF(ISNA(VLOOKUP(A96,'Données projet'!$A$165:$I$185,5,0)),0%,VLOOKUP(A96,'Données projet'!$A$165:$I$185,5,0)*VLOOKUP('Données projet'!$B$14,Paramètres!$A$1:$I$89,7,0))</f>
        <v>0.30099999999999999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29.463008059346905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29.463008059346905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>
        <f>VLOOKUP(A96,'Données projet'!$A$191:$I$211,2,0)</f>
        <v>212.26923076923075</v>
      </c>
      <c r="EH96" s="12">
        <f>VLOOKUP(A96,'Données projet'!$A$191:$I$211,9,0)</f>
        <v>5.2606837606837598</v>
      </c>
      <c r="EI96" s="12">
        <f t="array" ref="EI96">INDEX(EH:EH,MIN(IF(ISNUMBER(EH96:EH292),ROW(EH96:EH292),"")))</f>
        <v>5.2606837606837598</v>
      </c>
      <c r="EJ96" s="12">
        <f>IF('Données projet'!$A$192&gt;35,EJ95+EI96-ER95,IF(A96&lt;'Données projet'!$A$192,$EG$205^A96,IF(A96='Données projet'!$A$192,'Données projet'!$B$192,EJ95+EI96-ER95)))</f>
        <v>212.26923076923055</v>
      </c>
      <c r="EK96" s="17">
        <f>EJ96*VLOOKUP('Données projet'!$B$15,Paramètres!$A$1:$I$89,3,0)*VLOOKUP('Données projet'!$B$15,Paramètres!$A$1:$I$89,5,0)</f>
        <v>205.30679999999978</v>
      </c>
      <c r="EL96" s="13">
        <f t="shared" si="99"/>
        <v>50.908658230590753</v>
      </c>
      <c r="EM96" s="20">
        <f t="shared" si="73"/>
        <v>446.24192308494509</v>
      </c>
      <c r="EN96" s="59">
        <f t="shared" si="74"/>
        <v>739.5752564182784</v>
      </c>
      <c r="EO96" s="59">
        <f ca="1">AVERAGE(OFFSET($EN$3,0,0,'Données projet'!$E$15+1,1))-AVERAGE(OFFSET($H$3,0,0,'Données projet'!$E$15+1,1))</f>
        <v>234.56750794375012</v>
      </c>
      <c r="EP96" s="59">
        <f t="shared" si="100"/>
        <v>150.32420541314724</v>
      </c>
      <c r="EQ96" s="15">
        <f>IF(ISNA(VLOOKUP(A96,'Données projet'!$A$191:$I$211,3,0)),0,VLOOKUP(A96,'Données projet'!$A$191:$I$211,3,0))</f>
        <v>7</v>
      </c>
      <c r="ER96" s="15">
        <f>IF(ISNA(VLOOKUP(A96,'Données projet'!$A$191:$I$211,4,0)),0,VLOOKUP(A96,'Données projet'!$A$191:$I$211,4,0))</f>
        <v>30.083333333333332</v>
      </c>
      <c r="ES96" s="16">
        <f>IF(ISNA(VLOOKUP(A96,'Données projet'!$A$191:$I$211,5,0)),0%,VLOOKUP(A96,'Données projet'!$A$191:$I$211,5,0)*VLOOKUP('Données projet'!$B$15,Paramètres!$A$1:$I$89,7,0))</f>
        <v>0.30099999999999999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26.095807138278694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26.095807138278694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11.242307692307691</v>
      </c>
      <c r="N97" s="13">
        <f>IF('Données projet'!$A$36&gt;35,N96+M97-V96,IF(A97&lt;'Données projet'!$A$36,$K$205^A97,IF(A97='Données projet'!$A$36,'Données projet'!$B$36,N96+M97-V96)))</f>
        <v>457.88076923076943</v>
      </c>
      <c r="O97" s="13">
        <f>N97*VLOOKUP('Données projet'!$B$9,Paramètres!$A$1:$I$89,3,0)*VLOOKUP('Données projet'!$B$9,Paramètres!$A$1:$I$89,5,0)</f>
        <v>214.28820000000007</v>
      </c>
      <c r="P97" s="13">
        <f t="shared" si="87"/>
        <v>52.871559993650941</v>
      </c>
      <c r="Q97" s="20">
        <f t="shared" si="54"/>
        <v>465.3032486556088</v>
      </c>
      <c r="R97" s="59">
        <f t="shared" si="55"/>
        <v>758.63658198894211</v>
      </c>
      <c r="S97" s="59">
        <f ca="1">AVERAGE(OFFSET($R$3,0,0,'Données projet'!$E$9+1,1))-AVERAGE(OFFSET($H$3,0,0,'Données projet'!$E$9+1,1))</f>
        <v>198.17898804494365</v>
      </c>
      <c r="T97" s="59">
        <f t="shared" si="88"/>
        <v>186.24772922797723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68.669919381962089</v>
      </c>
      <c r="AA97" s="21">
        <f>EXP(-LN(2)/25)*AA96+(1-EXP(-LN(2)/25))/(LN(2)/25)*Calculateur!V97*Calculateur!X97*VLOOKUP('Données projet'!$B$9,Paramètres!$A$1:$I$89,3,0)*0.475*44/12</f>
        <v>21.804783705766653</v>
      </c>
      <c r="AB97" s="21">
        <f>EXP(-LN(2)/2)*AB96+(1-EXP(-LN(2)/2))/(LN(2)/2)*V97*Y97*VLOOKUP('Données projet'!$B$9,Paramètres!$A$1:$I$89,3,0)*0.475*44/12</f>
        <v>0.51002584685682484</v>
      </c>
      <c r="AC97" s="22">
        <f t="shared" si="57"/>
        <v>90.984728934585561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278.21846622758881</v>
      </c>
      <c r="AO97" s="59">
        <f t="shared" si="90"/>
        <v>245.37578316242906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7.1782051282051267</v>
      </c>
      <c r="BD97" s="12">
        <f>IF('Données projet'!$A$88&gt;35,BD96+BC97-BL96,IF(A97&lt;'Données projet'!$A$88,$BA$205^A97,IF(A97='Données projet'!$A$88,'Données projet'!$B$88,BD96+BC97-BL96)))</f>
        <v>282.35897435897476</v>
      </c>
      <c r="BE97" s="13">
        <f>BD97*VLOOKUP('Données projet'!$B$11,Paramètres!$A$1:$I$89,3,0)*VLOOKUP('Données projet'!$B$11,Paramètres!$A$1:$I$89,5,0)</f>
        <v>255.47840000000036</v>
      </c>
      <c r="BF97" s="13">
        <f t="shared" si="91"/>
        <v>61.757573660260803</v>
      </c>
      <c r="BG97" s="20">
        <f t="shared" si="61"/>
        <v>552.51932079162145</v>
      </c>
      <c r="BH97" s="59">
        <f t="shared" si="62"/>
        <v>845.85265412495482</v>
      </c>
      <c r="BI97" s="59">
        <f ca="1">AVERAGE(OFFSET($BH$3,0,0,'Données projet'!$E$11+1,1))-AVERAGE(OFFSET($H$3,0,0,'Données projet'!$E$11+1,1))</f>
        <v>270.87836509222456</v>
      </c>
      <c r="BJ97" s="59">
        <f t="shared" si="92"/>
        <v>205.24998237949734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38.297936492040868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38.297936492040868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7.1782051282051267</v>
      </c>
      <c r="BY97" s="12">
        <f>IF('Données projet'!$A$114&gt;35,BY96+BX97-CG96,IF(A97&lt;'Données projet'!$A$114,$BV$205^A97,IF(A97='Données projet'!$A$114,'Données projet'!$B$114,BY96+BX97-CG96)))</f>
        <v>282.35897435897476</v>
      </c>
      <c r="BZ97" s="13">
        <f>BY97*VLOOKUP('Données projet'!$B$12,Paramètres!$A$1:$I$89,3,0)*VLOOKUP('Données projet'!$B$12,Paramètres!$A$1:$I$89,5,0)</f>
        <v>286.31200000000047</v>
      </c>
      <c r="CA97" s="13">
        <f t="shared" si="93"/>
        <v>68.299180359837749</v>
      </c>
      <c r="CB97" s="20">
        <f t="shared" si="64"/>
        <v>617.6144724600515</v>
      </c>
      <c r="CC97" s="59">
        <f t="shared" si="65"/>
        <v>910.94780579338476</v>
      </c>
      <c r="CD97" s="59">
        <f ca="1">AVERAGE(OFFSET($CC$3,0,0,'Données projet'!$E$12+1,1))-AVERAGE(OFFSET($H$3,0,0,'Données projet'!$E$12+1,1))</f>
        <v>312.29056285877169</v>
      </c>
      <c r="CE97" s="59">
        <f t="shared" si="94"/>
        <v>233.85454224241693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42.92010124108031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42.92010124108031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5.2583333333333373</v>
      </c>
      <c r="CT97" s="12">
        <f>IF('Données projet'!$A$140&gt;35,CT96+CS97-DB96,IF(A97&lt;'Données projet'!$A$140,$CQ$205^A97,IF(A97='Données projet'!$A$140,'Données projet'!$B$140,CT96+CS97-DB96)))</f>
        <v>187.44423076923053</v>
      </c>
      <c r="CU97" s="17">
        <f>CT97*VLOOKUP('Données projet'!$B$13,Paramètres!$A$1:$I$89,3,0)*VLOOKUP('Données projet'!$B$13,Paramètres!$A$1:$I$89,5,0)</f>
        <v>213.46148999999971</v>
      </c>
      <c r="CV97" s="13">
        <f t="shared" si="95"/>
        <v>52.691287109010318</v>
      </c>
      <c r="CW97" s="20">
        <f t="shared" si="67"/>
        <v>463.54942013152572</v>
      </c>
      <c r="CX97" s="59">
        <f t="shared" si="68"/>
        <v>756.88275346485898</v>
      </c>
      <c r="CY97" s="59">
        <f ca="1">AVERAGE(OFFSET($CX$3,0,0,'Données projet'!$E$13+1,1))-AVERAGE(OFFSET($H$3,0,0,'Données projet'!$E$13+1,1))</f>
        <v>292.22737648725354</v>
      </c>
      <c r="CZ97" s="59">
        <f t="shared" si="96"/>
        <v>182.84038581199871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30.123196003762015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30.123196003762015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5.2583333333333373</v>
      </c>
      <c r="DO97" s="12">
        <f>IF('Données projet'!$A$166&gt;35,DO96+DN97-DW96,IF(A97&lt;'Données projet'!$A$166,$DL$205^A97,IF(A97='Données projet'!$A$166,'Données projet'!$B$166,DO96+DN97-DW96)))</f>
        <v>187.44423076923053</v>
      </c>
      <c r="DP97" s="17">
        <f>DO97*VLOOKUP('Données projet'!$B$14,Paramètres!$A$1:$I$89,3,0)*VLOOKUP('Données projet'!$B$14,Paramètres!$A$1:$I$89,5,0)</f>
        <v>204.68909999999974</v>
      </c>
      <c r="DQ97" s="13">
        <f t="shared" si="97"/>
        <v>50.773295922547334</v>
      </c>
      <c r="DR97" s="20">
        <f t="shared" si="70"/>
        <v>444.93033956510277</v>
      </c>
      <c r="DS97" s="59">
        <f t="shared" si="71"/>
        <v>738.26367289843608</v>
      </c>
      <c r="DT97" s="59">
        <f ca="1">AVERAGE(OFFSET($DS$3,0,0,'Données projet'!$E$14+1,1))-AVERAGE(OFFSET($H$3,0,0,'Données projet'!$E$14+1,1))</f>
        <v>276.52126514622455</v>
      </c>
      <c r="DU97" s="59">
        <f t="shared" si="98"/>
        <v>173.98404849503186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28.885256441963573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28.885256441963573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5.2583333333333373</v>
      </c>
      <c r="EJ97" s="12">
        <f>IF('Données projet'!$A$192&gt;35,EJ96+EI97-ER96,IF(A97&lt;'Données projet'!$A$192,$EG$205^A97,IF(A97='Données projet'!$A$192,'Données projet'!$B$192,EJ96+EI97-ER96)))</f>
        <v>187.44423076923053</v>
      </c>
      <c r="EK97" s="17">
        <f>EJ97*VLOOKUP('Données projet'!$B$15,Paramètres!$A$1:$I$89,3,0)*VLOOKUP('Données projet'!$B$15,Paramètres!$A$1:$I$89,5,0)</f>
        <v>181.29605999999978</v>
      </c>
      <c r="EL97" s="13">
        <f t="shared" si="99"/>
        <v>45.610415125067746</v>
      </c>
      <c r="EM97" s="20">
        <f t="shared" si="73"/>
        <v>395.19544417615924</v>
      </c>
      <c r="EN97" s="59">
        <f t="shared" si="74"/>
        <v>688.52877750949256</v>
      </c>
      <c r="EO97" s="59">
        <f ca="1">AVERAGE(OFFSET($EN$3,0,0,'Données projet'!$E$15+1,1))-AVERAGE(OFFSET($H$3,0,0,'Données projet'!$E$15+1,1))</f>
        <v>234.56750794375012</v>
      </c>
      <c r="EP97" s="59">
        <f t="shared" si="100"/>
        <v>150.32420541314724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25.584084277167744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25.584084277167744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469.12307692307689</v>
      </c>
      <c r="L98" s="12">
        <f>VLOOKUP(A98,'Données projet'!$A$35:$I$55,9,0)</f>
        <v>11.242307692307691</v>
      </c>
      <c r="M98" s="12">
        <f t="array" ref="M98">INDEX(L:L,MIN(IF(ISNUMBER(L98:L294),ROW(L98:L294),"")))</f>
        <v>11.242307692307691</v>
      </c>
      <c r="N98" s="13">
        <f>IF('Données projet'!$A$36&gt;35,N97+M98-V97,IF(A98&lt;'Données projet'!$A$36,$K$205^A98,IF(A98='Données projet'!$A$36,'Données projet'!$B$36,N97+M98-V97)))</f>
        <v>469.12307692307712</v>
      </c>
      <c r="O98" s="13">
        <f>N98*VLOOKUP('Données projet'!$B$9,Paramètres!$A$1:$I$89,3,0)*VLOOKUP('Données projet'!$B$9,Paramètres!$A$1:$I$89,5,0)</f>
        <v>219.54960000000008</v>
      </c>
      <c r="P98" s="13">
        <f t="shared" si="87"/>
        <v>54.016981833057052</v>
      </c>
      <c r="Q98" s="20">
        <f t="shared" si="54"/>
        <v>476.46179669257441</v>
      </c>
      <c r="R98" s="59">
        <f t="shared" si="55"/>
        <v>769.79513002590772</v>
      </c>
      <c r="S98" s="59">
        <f ca="1">AVERAGE(OFFSET($R$3,0,0,'Données projet'!$E$9+1,1))-AVERAGE(OFFSET($H$3,0,0,'Données projet'!$E$9+1,1))</f>
        <v>198.17898804494365</v>
      </c>
      <c r="T98" s="59">
        <f t="shared" si="88"/>
        <v>186.24772922797723</v>
      </c>
      <c r="U98" s="15">
        <f>IF(ISNA(VLOOKUP(A98,'Données projet'!$A$35:$I$55,3,0)),0,VLOOKUP(A98,'Données projet'!$A$35:$I$55,3,0))</f>
        <v>8</v>
      </c>
      <c r="V98" s="15">
        <f>IF(ISNA(VLOOKUP(A98,'Données projet'!$A$35:$I$55,4,0)),0,VLOOKUP(A98,'Données projet'!$A$35:$I$55,4,0))</f>
        <v>234.42307692307691</v>
      </c>
      <c r="W98" s="16">
        <f>IF(ISNA(VLOOKUP(A98,'Données projet'!$A$35:$I$55,5,0)),0%,VLOOKUP(A98,'Données projet'!$A$35:$I$55,5,0)*VLOOKUP('Données projet'!$B$9,Paramètres!$A$1:$I$89,7,0))</f>
        <v>0.38500000000000001</v>
      </c>
      <c r="X98" s="16">
        <f>IF(ISNA(VLOOKUP(A98,'Données projet'!$A$35:$I$55,6,0)),0%,VLOOKUP(A98,'Données projet'!$A$35:$I$55,6,0)*VLOOKUP('Données projet'!$B$9,Paramètres!$A$1:$I$89,7,0))</f>
        <v>9.240000000000001E-2</v>
      </c>
      <c r="Y98" s="16">
        <f>IF(ISNA(VLOOKUP(A98,'Données projet'!$A$35:$I$55,7,0)),0%,VLOOKUP(A98,'Données projet'!$A$35:$I$55,7,0))</f>
        <v>0.13200000000000001</v>
      </c>
      <c r="Z98" s="21">
        <f>EXP(-LN(2)/35)*Z97+(1-EXP(-LN(2)/35))/(LN(2)/35)*V98*W98*VLOOKUP('Données projet'!$B$9,Paramètres!$A$1:$I$89,3,0)*0.475*44/12</f>
        <v>123.35523791381158</v>
      </c>
      <c r="AA98" s="21">
        <f>EXP(-LN(2)/25)*AA97+(1-EXP(-LN(2)/25))/(LN(2)/25)*Calculateur!V98*Calculateur!X98*VLOOKUP('Données projet'!$B$9,Paramètres!$A$1:$I$89,3,0)*0.475*44/12</f>
        <v>34.603236712868167</v>
      </c>
      <c r="AB98" s="21">
        <f>EXP(-LN(2)/2)*AB97+(1-EXP(-LN(2)/2))/(LN(2)/2)*V98*Y98*VLOOKUP('Données projet'!$B$9,Paramètres!$A$1:$I$89,3,0)*0.475*44/12</f>
        <v>16.757313842627845</v>
      </c>
      <c r="AC98" s="22">
        <f t="shared" si="57"/>
        <v>174.71578846930757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278.21846622758881</v>
      </c>
      <c r="AO98" s="59">
        <f t="shared" si="90"/>
        <v>245.37578316242906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7.1782051282051267</v>
      </c>
      <c r="BD98" s="12">
        <f>IF('Données projet'!$A$88&gt;35,BD97+BC98-BL97,IF(A98&lt;'Données projet'!$A$88,$BA$205^A98,IF(A98='Données projet'!$A$88,'Données projet'!$B$88,BD97+BC98-BL97)))</f>
        <v>289.53717948717991</v>
      </c>
      <c r="BE98" s="13">
        <f>BD98*VLOOKUP('Données projet'!$B$11,Paramètres!$A$1:$I$89,3,0)*VLOOKUP('Données projet'!$B$11,Paramètres!$A$1:$I$89,5,0)</f>
        <v>261.97324000000037</v>
      </c>
      <c r="BF98" s="13">
        <f t="shared" si="91"/>
        <v>63.142807719765102</v>
      </c>
      <c r="BG98" s="20">
        <f t="shared" si="61"/>
        <v>566.24378311192481</v>
      </c>
      <c r="BH98" s="59">
        <f t="shared" si="62"/>
        <v>859.57711644525807</v>
      </c>
      <c r="BI98" s="59">
        <f ca="1">AVERAGE(OFFSET($BH$3,0,0,'Données projet'!$E$11+1,1))-AVERAGE(OFFSET($H$3,0,0,'Données projet'!$E$11+1,1))</f>
        <v>270.87836509222456</v>
      </c>
      <c r="BJ98" s="59">
        <f t="shared" si="92"/>
        <v>205.24998237949734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37.546937316866654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37.546937316866654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7.1782051282051267</v>
      </c>
      <c r="BY98" s="12">
        <f>IF('Données projet'!$A$114&gt;35,BY97+BX98-CG97,IF(A98&lt;'Données projet'!$A$114,$BV$205^A98,IF(A98='Données projet'!$A$114,'Données projet'!$B$114,BY97+BX98-CG97)))</f>
        <v>289.53717948717991</v>
      </c>
      <c r="BZ98" s="13">
        <f>BY98*VLOOKUP('Données projet'!$B$12,Paramètres!$A$1:$I$89,3,0)*VLOOKUP('Données projet'!$B$12,Paramètres!$A$1:$I$89,5,0)</f>
        <v>293.59070000000042</v>
      </c>
      <c r="CA98" s="13">
        <f t="shared" si="93"/>
        <v>69.831143895049522</v>
      </c>
      <c r="CB98" s="20">
        <f t="shared" si="64"/>
        <v>632.95971145054534</v>
      </c>
      <c r="CC98" s="59">
        <f t="shared" si="65"/>
        <v>926.29304478387871</v>
      </c>
      <c r="CD98" s="59">
        <f ca="1">AVERAGE(OFFSET($CC$3,0,0,'Données projet'!$E$12+1,1))-AVERAGE(OFFSET($H$3,0,0,'Données projet'!$E$12+1,1))</f>
        <v>312.29056285877169</v>
      </c>
      <c r="CE98" s="59">
        <f t="shared" si="94"/>
        <v>233.85454224241693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42.078464234419556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42.078464234419556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5.2583333333333373</v>
      </c>
      <c r="CT98" s="12">
        <f>IF('Données projet'!$A$140&gt;35,CT97+CS98-DB97,IF(A98&lt;'Données projet'!$A$140,$CQ$205^A98,IF(A98='Données projet'!$A$140,'Données projet'!$B$140,CT97+CS98-DB97)))</f>
        <v>192.70256410256385</v>
      </c>
      <c r="CU98" s="17">
        <f>CT98*VLOOKUP('Données projet'!$B$13,Paramètres!$A$1:$I$89,3,0)*VLOOKUP('Données projet'!$B$13,Paramètres!$A$1:$I$89,5,0)</f>
        <v>219.44967999999972</v>
      </c>
      <c r="CV98" s="13">
        <f t="shared" si="95"/>
        <v>53.995258958105701</v>
      </c>
      <c r="CW98" s="20">
        <f t="shared" si="67"/>
        <v>476.24993535203356</v>
      </c>
      <c r="CX98" s="59">
        <f t="shared" si="68"/>
        <v>769.58326868536687</v>
      </c>
      <c r="CY98" s="59">
        <f ca="1">AVERAGE(OFFSET($CX$3,0,0,'Données projet'!$E$13+1,1))-AVERAGE(OFFSET($H$3,0,0,'Données projet'!$E$13+1,1))</f>
        <v>292.22737648725354</v>
      </c>
      <c r="CZ98" s="59">
        <f t="shared" si="96"/>
        <v>182.84038581199871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29.532498503463589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29.532498503463589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5.2583333333333373</v>
      </c>
      <c r="DO98" s="12">
        <f>IF('Données projet'!$A$166&gt;35,DO97+DN98-DW97,IF(A98&lt;'Données projet'!$A$166,$DL$205^A98,IF(A98='Données projet'!$A$166,'Données projet'!$B$166,DO97+DN98-DW97)))</f>
        <v>192.70256410256385</v>
      </c>
      <c r="DP98" s="17">
        <f>DO98*VLOOKUP('Données projet'!$B$14,Paramètres!$A$1:$I$89,3,0)*VLOOKUP('Données projet'!$B$14,Paramètres!$A$1:$I$89,5,0)</f>
        <v>210.43119999999973</v>
      </c>
      <c r="DQ98" s="13">
        <f t="shared" si="97"/>
        <v>52.029802495101102</v>
      </c>
      <c r="DR98" s="20">
        <f t="shared" si="70"/>
        <v>457.11957934563389</v>
      </c>
      <c r="DS98" s="59">
        <f t="shared" si="71"/>
        <v>750.45291267896721</v>
      </c>
      <c r="DT98" s="59">
        <f ca="1">AVERAGE(OFFSET($DS$3,0,0,'Données projet'!$E$14+1,1))-AVERAGE(OFFSET($H$3,0,0,'Données projet'!$E$14+1,1))</f>
        <v>276.52126514622455</v>
      </c>
      <c r="DU98" s="59">
        <f t="shared" si="98"/>
        <v>173.98404849503186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28.318834181403439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28.318834181403439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5.2583333333333373</v>
      </c>
      <c r="EJ98" s="12">
        <f>IF('Données projet'!$A$192&gt;35,EJ97+EI98-ER97,IF(A98&lt;'Données projet'!$A$192,$EG$205^A98,IF(A98='Données projet'!$A$192,'Données projet'!$B$192,EJ97+EI98-ER97)))</f>
        <v>192.70256410256385</v>
      </c>
      <c r="EK98" s="17">
        <f>EJ98*VLOOKUP('Données projet'!$B$15,Paramètres!$A$1:$I$89,3,0)*VLOOKUP('Données projet'!$B$15,Paramètres!$A$1:$I$89,5,0)</f>
        <v>186.38191999999978</v>
      </c>
      <c r="EL98" s="13">
        <f t="shared" si="99"/>
        <v>46.739153871297241</v>
      </c>
      <c r="EM98" s="20">
        <f t="shared" si="73"/>
        <v>406.01920365917562</v>
      </c>
      <c r="EN98" s="59">
        <f t="shared" si="74"/>
        <v>699.35253699250893</v>
      </c>
      <c r="EO98" s="59">
        <f ca="1">AVERAGE(OFFSET($EN$3,0,0,'Données projet'!$E$15+1,1))-AVERAGE(OFFSET($H$3,0,0,'Données projet'!$E$15+1,1))</f>
        <v>234.56750794375012</v>
      </c>
      <c r="EP98" s="59">
        <f t="shared" si="100"/>
        <v>150.32420541314724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25.082395989243054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25.082395989243054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7.5015384615384617</v>
      </c>
      <c r="N99" s="13">
        <f>IF('Données projet'!$A$36&gt;35,N98+M99-V98,IF(A99&lt;'Données projet'!$A$36,$K$205^A99,IF(A99='Données projet'!$A$36,'Données projet'!$B$36,N98+M99-V98)))</f>
        <v>242.20153846153869</v>
      </c>
      <c r="O99" s="13">
        <f>N99*VLOOKUP('Données projet'!$B$9,Paramètres!$A$1:$I$89,3,0)*VLOOKUP('Données projet'!$B$9,Paramètres!$A$1:$I$89,5,0)</f>
        <v>113.35032000000011</v>
      </c>
      <c r="P99" s="13">
        <f t="shared" si="87"/>
        <v>30.118962463528121</v>
      </c>
      <c r="Q99" s="20">
        <f t="shared" ref="Q99:Q130" si="107">(O99+P99)*0.475*44/12</f>
        <v>249.87566695731167</v>
      </c>
      <c r="R99" s="59">
        <f t="shared" si="55"/>
        <v>543.20900029064501</v>
      </c>
      <c r="S99" s="59">
        <f ca="1">AVERAGE(OFFSET($R$3,0,0,'Données projet'!$E$9+1,1))-AVERAGE(OFFSET($H$3,0,0,'Données projet'!$E$9+1,1))</f>
        <v>198.17898804494365</v>
      </c>
      <c r="T99" s="59">
        <f t="shared" si="88"/>
        <v>186.24772922797723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120.93631693758761</v>
      </c>
      <c r="AA99" s="21">
        <f>EXP(-LN(2)/25)*AA98+(1-EXP(-LN(2)/25))/(LN(2)/25)*Calculateur!V99*Calculateur!X99*VLOOKUP('Données projet'!$B$9,Paramètres!$A$1:$I$89,3,0)*0.475*44/12</f>
        <v>33.657009385249658</v>
      </c>
      <c r="AB99" s="21">
        <f>EXP(-LN(2)/2)*AB98+(1-EXP(-LN(2)/2))/(LN(2)/2)*V99*Y99*VLOOKUP('Données projet'!$B$9,Paramètres!$A$1:$I$89,3,0)*0.475*44/12</f>
        <v>11.849210252593352</v>
      </c>
      <c r="AC99" s="22">
        <f t="shared" si="57"/>
        <v>166.44253657543061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278.21846622758881</v>
      </c>
      <c r="AO99" s="59">
        <f t="shared" si="90"/>
        <v>245.37578316242906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7.1782051282051267</v>
      </c>
      <c r="BD99" s="12">
        <f>IF('Données projet'!$A$88&gt;35,BD98+BC99-BL98,IF(A99&lt;'Données projet'!$A$88,$BA$205^A99,IF(A99='Données projet'!$A$88,'Données projet'!$B$88,BD98+BC99-BL98)))</f>
        <v>296.71538461538506</v>
      </c>
      <c r="BE99" s="13">
        <f>BD99*VLOOKUP('Données projet'!$B$11,Paramètres!$A$1:$I$89,3,0)*VLOOKUP('Données projet'!$B$11,Paramètres!$A$1:$I$89,5,0)</f>
        <v>268.46808000000038</v>
      </c>
      <c r="BF99" s="13">
        <f t="shared" si="91"/>
        <v>64.524049616897415</v>
      </c>
      <c r="BG99" s="20">
        <f t="shared" si="61"/>
        <v>579.96129241609697</v>
      </c>
      <c r="BH99" s="59">
        <f t="shared" si="62"/>
        <v>873.29462574943022</v>
      </c>
      <c r="BI99" s="59">
        <f ca="1">AVERAGE(OFFSET($BH$3,0,0,'Données projet'!$E$11+1,1))-AVERAGE(OFFSET($H$3,0,0,'Données projet'!$E$11+1,1))</f>
        <v>270.87836509222456</v>
      </c>
      <c r="BJ99" s="59">
        <f t="shared" si="92"/>
        <v>205.24998237949734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36.81066477745334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36.81066477745334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7.1782051282051267</v>
      </c>
      <c r="BY99" s="12">
        <f>IF('Données projet'!$A$114&gt;35,BY98+BX99-CG98,IF(A99&lt;'Données projet'!$A$114,$BV$205^A99,IF(A99='Données projet'!$A$114,'Données projet'!$B$114,BY98+BX99-CG98)))</f>
        <v>296.71538461538506</v>
      </c>
      <c r="BZ99" s="13">
        <f>BY99*VLOOKUP('Données projet'!$B$12,Paramètres!$A$1:$I$89,3,0)*VLOOKUP('Données projet'!$B$12,Paramètres!$A$1:$I$89,5,0)</f>
        <v>300.8694000000005</v>
      </c>
      <c r="CA99" s="13">
        <f t="shared" si="93"/>
        <v>71.35869240224595</v>
      </c>
      <c r="CB99" s="20">
        <f t="shared" si="64"/>
        <v>648.29726093391253</v>
      </c>
      <c r="CC99" s="59">
        <f t="shared" si="65"/>
        <v>941.6305942672459</v>
      </c>
      <c r="CD99" s="59">
        <f ca="1">AVERAGE(OFFSET($CC$3,0,0,'Données projet'!$E$12+1,1))-AVERAGE(OFFSET($H$3,0,0,'Données projet'!$E$12+1,1))</f>
        <v>312.29056285877169</v>
      </c>
      <c r="CE99" s="59">
        <f t="shared" si="94"/>
        <v>233.85454224241693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41.253331216111533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41.253331216111533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5.2583333333333373</v>
      </c>
      <c r="CT99" s="12">
        <f>IF('Données projet'!$A$140&gt;35,CT98+CS99-DB98,IF(A99&lt;'Données projet'!$A$140,$CQ$205^A99,IF(A99='Données projet'!$A$140,'Données projet'!$B$140,CT98+CS99-DB98)))</f>
        <v>197.96089743589718</v>
      </c>
      <c r="CU99" s="17">
        <f>CT99*VLOOKUP('Données projet'!$B$13,Paramètres!$A$1:$I$89,3,0)*VLOOKUP('Données projet'!$B$13,Paramètres!$A$1:$I$89,5,0)</f>
        <v>225.43786999999972</v>
      </c>
      <c r="CV99" s="13">
        <f t="shared" si="95"/>
        <v>55.295095105161515</v>
      </c>
      <c r="CW99" s="20">
        <f t="shared" si="67"/>
        <v>488.94324755815575</v>
      </c>
      <c r="CX99" s="59">
        <f t="shared" si="68"/>
        <v>782.27658089148906</v>
      </c>
      <c r="CY99" s="59">
        <f ca="1">AVERAGE(OFFSET($CX$3,0,0,'Données projet'!$E$13+1,1))-AVERAGE(OFFSET($H$3,0,0,'Données projet'!$E$13+1,1))</f>
        <v>292.22737648725354</v>
      </c>
      <c r="CZ99" s="59">
        <f t="shared" si="96"/>
        <v>182.84038581199871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28.953384220856115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28.953384220856115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5.2583333333333373</v>
      </c>
      <c r="DO99" s="12">
        <f>IF('Données projet'!$A$166&gt;35,DO98+DN99-DW98,IF(A99&lt;'Données projet'!$A$166,$DL$205^A99,IF(A99='Données projet'!$A$166,'Données projet'!$B$166,DO98+DN99-DW98)))</f>
        <v>197.96089743589718</v>
      </c>
      <c r="DP99" s="17">
        <f>DO99*VLOOKUP('Données projet'!$B$14,Paramètres!$A$1:$I$89,3,0)*VLOOKUP('Données projet'!$B$14,Paramètres!$A$1:$I$89,5,0)</f>
        <v>216.1732999999997</v>
      </c>
      <c r="DQ99" s="13">
        <f t="shared" si="97"/>
        <v>53.282323907393625</v>
      </c>
      <c r="DR99" s="20">
        <f t="shared" si="70"/>
        <v>469.30187830537665</v>
      </c>
      <c r="DS99" s="59">
        <f t="shared" si="71"/>
        <v>762.63521163870996</v>
      </c>
      <c r="DT99" s="59">
        <f ca="1">AVERAGE(OFFSET($DS$3,0,0,'Données projet'!$E$14+1,1))-AVERAGE(OFFSET($H$3,0,0,'Données projet'!$E$14+1,1))</f>
        <v>276.52126514622455</v>
      </c>
      <c r="DU99" s="59">
        <f t="shared" si="98"/>
        <v>173.98404849503186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27.763519115889423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27.763519115889423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5.2583333333333373</v>
      </c>
      <c r="EJ99" s="12">
        <f>IF('Données projet'!$A$192&gt;35,EJ98+EI99-ER98,IF(A99&lt;'Données projet'!$A$192,$EG$205^A99,IF(A99='Données projet'!$A$192,'Données projet'!$B$192,EJ98+EI99-ER98)))</f>
        <v>197.96089743589718</v>
      </c>
      <c r="EK99" s="17">
        <f>EJ99*VLOOKUP('Données projet'!$B$15,Paramètres!$A$1:$I$89,3,0)*VLOOKUP('Données projet'!$B$15,Paramètres!$A$1:$I$89,5,0)</f>
        <v>191.46777999999978</v>
      </c>
      <c r="EL99" s="13">
        <f t="shared" si="99"/>
        <v>47.864312688145425</v>
      </c>
      <c r="EM99" s="20">
        <f t="shared" si="73"/>
        <v>416.83672809851947</v>
      </c>
      <c r="EN99" s="59">
        <f t="shared" si="74"/>
        <v>710.17006143185279</v>
      </c>
      <c r="EO99" s="59">
        <f ca="1">AVERAGE(OFFSET($EN$3,0,0,'Données projet'!$E$15+1,1))-AVERAGE(OFFSET($H$3,0,0,'Données projet'!$E$15+1,1))</f>
        <v>234.56750794375012</v>
      </c>
      <c r="EP99" s="59">
        <f t="shared" si="100"/>
        <v>150.32420541314724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24.590545502644925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24.590545502644925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7.5015384615384617</v>
      </c>
      <c r="N100" s="13">
        <f>IF('Données projet'!$A$36&gt;35,N99+M100-V99,IF(A100&lt;'Données projet'!$A$36,$K$205^A100,IF(A100='Données projet'!$A$36,'Données projet'!$B$36,N99+M100-V99)))</f>
        <v>249.70307692307716</v>
      </c>
      <c r="O100" s="13">
        <f>N100*VLOOKUP('Données projet'!$B$9,Paramètres!$A$1:$I$89,3,0)*VLOOKUP('Données projet'!$B$9,Paramètres!$A$1:$I$89,5,0)</f>
        <v>116.86104000000012</v>
      </c>
      <c r="P100" s="13">
        <f t="shared" si="87"/>
        <v>30.941762857231797</v>
      </c>
      <c r="Q100" s="20">
        <f t="shared" si="107"/>
        <v>257.42321497634555</v>
      </c>
      <c r="R100" s="59">
        <f t="shared" si="55"/>
        <v>550.75654830967892</v>
      </c>
      <c r="S100" s="59">
        <f ca="1">AVERAGE(OFFSET($R$3,0,0,'Données projet'!$E$9+1,1))-AVERAGE(OFFSET($H$3,0,0,'Données projet'!$E$9+1,1))</f>
        <v>198.17898804494365</v>
      </c>
      <c r="T100" s="59">
        <f t="shared" si="88"/>
        <v>186.24772922797723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118.56482952631127</v>
      </c>
      <c r="AA100" s="21">
        <f>EXP(-LN(2)/25)*AA99+(1-EXP(-LN(2)/25))/(LN(2)/25)*Calculateur!V100*Calculateur!X100*VLOOKUP('Données projet'!$B$9,Paramètres!$A$1:$I$89,3,0)*0.475*44/12</f>
        <v>32.736656693664806</v>
      </c>
      <c r="AB100" s="21">
        <f>EXP(-LN(2)/2)*AB99+(1-EXP(-LN(2)/2))/(LN(2)/2)*V100*Y100*VLOOKUP('Données projet'!$B$9,Paramètres!$A$1:$I$89,3,0)*0.475*44/12</f>
        <v>8.3786569213139241</v>
      </c>
      <c r="AC100" s="22">
        <f t="shared" si="57"/>
        <v>159.68014314129002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278.21846622758881</v>
      </c>
      <c r="AO100" s="59">
        <f t="shared" si="90"/>
        <v>245.37578316242906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7.1782051282051267</v>
      </c>
      <c r="BD100" s="12">
        <f>IF('Données projet'!$A$88&gt;35,BD99+BC100-BL99,IF(A100&lt;'Données projet'!$A$88,$BA$205^A100,IF(A100='Données projet'!$A$88,'Données projet'!$B$88,BD99+BC100-BL99)))</f>
        <v>303.89358974359021</v>
      </c>
      <c r="BE100" s="13">
        <f>BD100*VLOOKUP('Données projet'!$B$11,Paramètres!$A$1:$I$89,3,0)*VLOOKUP('Données projet'!$B$11,Paramètres!$A$1:$I$89,5,0)</f>
        <v>274.96292000000045</v>
      </c>
      <c r="BF100" s="13">
        <f t="shared" si="91"/>
        <v>65.901407042348566</v>
      </c>
      <c r="BG100" s="20">
        <f t="shared" si="61"/>
        <v>593.67203626542459</v>
      </c>
      <c r="BH100" s="59">
        <f t="shared" si="62"/>
        <v>887.00536959875785</v>
      </c>
      <c r="BI100" s="59">
        <f ca="1">AVERAGE(OFFSET($BH$3,0,0,'Données projet'!$E$11+1,1))-AVERAGE(OFFSET($H$3,0,0,'Données projet'!$E$11+1,1))</f>
        <v>270.87836509222456</v>
      </c>
      <c r="BJ100" s="59">
        <f t="shared" si="92"/>
        <v>205.24998237949734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36.088830093456018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36.088830093456018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7.1782051282051267</v>
      </c>
      <c r="BY100" s="12">
        <f>IF('Données projet'!$A$114&gt;35,BY99+BX100-CG99,IF(A100&lt;'Données projet'!$A$114,$BV$205^A100,IF(A100='Données projet'!$A$114,'Données projet'!$B$114,BY99+BX100-CG99)))</f>
        <v>303.89358974359021</v>
      </c>
      <c r="BZ100" s="13">
        <f>BY100*VLOOKUP('Données projet'!$B$12,Paramètres!$A$1:$I$89,3,0)*VLOOKUP('Données projet'!$B$12,Paramètres!$A$1:$I$89,5,0)</f>
        <v>308.14810000000051</v>
      </c>
      <c r="CA100" s="13">
        <f t="shared" si="93"/>
        <v>72.881944979142219</v>
      </c>
      <c r="CB100" s="20">
        <f t="shared" si="64"/>
        <v>663.62732833867358</v>
      </c>
      <c r="CC100" s="59">
        <f t="shared" si="65"/>
        <v>956.96066167200684</v>
      </c>
      <c r="CD100" s="59">
        <f ca="1">AVERAGE(OFFSET($CC$3,0,0,'Données projet'!$E$12+1,1))-AVERAGE(OFFSET($H$3,0,0,'Données projet'!$E$12+1,1))</f>
        <v>312.29056285877169</v>
      </c>
      <c r="CE100" s="59">
        <f t="shared" si="94"/>
        <v>233.85454224241693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40.444378553011084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40.444378553011084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5.2583333333333373</v>
      </c>
      <c r="CT100" s="12">
        <f>IF('Données projet'!$A$140&gt;35,CT99+CS100-DB99,IF(A100&lt;'Données projet'!$A$140,$CQ$205^A100,IF(A100='Données projet'!$A$140,'Données projet'!$B$140,CT99+CS100-DB99)))</f>
        <v>203.21923076923051</v>
      </c>
      <c r="CU100" s="17">
        <f>CT100*VLOOKUP('Données projet'!$B$13,Paramètres!$A$1:$I$89,3,0)*VLOOKUP('Données projet'!$B$13,Paramètres!$A$1:$I$89,5,0)</f>
        <v>231.42605999999972</v>
      </c>
      <c r="CV100" s="13">
        <f t="shared" si="95"/>
        <v>56.590918031525391</v>
      </c>
      <c r="CW100" s="20">
        <f t="shared" si="67"/>
        <v>501.62957007157291</v>
      </c>
      <c r="CX100" s="59">
        <f t="shared" si="68"/>
        <v>794.96290340490623</v>
      </c>
      <c r="CY100" s="59">
        <f ca="1">AVERAGE(OFFSET($CX$3,0,0,'Données projet'!$E$13+1,1))-AVERAGE(OFFSET($H$3,0,0,'Données projet'!$E$13+1,1))</f>
        <v>292.22737648725354</v>
      </c>
      <c r="CZ100" s="59">
        <f t="shared" si="96"/>
        <v>182.84038581199871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28.385626016105739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28.385626016105739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5.2583333333333373</v>
      </c>
      <c r="DO100" s="12">
        <f>IF('Données projet'!$A$166&gt;35,DO99+DN100-DW99,IF(A100&lt;'Données projet'!$A$166,$DL$205^A100,IF(A100='Données projet'!$A$166,'Données projet'!$B$166,DO99+DN100-DW99)))</f>
        <v>203.21923076923051</v>
      </c>
      <c r="DP100" s="17">
        <f>DO100*VLOOKUP('Données projet'!$B$14,Paramètres!$A$1:$I$89,3,0)*VLOOKUP('Données projet'!$B$14,Paramètres!$A$1:$I$89,5,0)</f>
        <v>221.91539999999972</v>
      </c>
      <c r="DQ100" s="13">
        <f t="shared" si="97"/>
        <v>54.530978182385581</v>
      </c>
      <c r="DR100" s="20">
        <f t="shared" si="70"/>
        <v>481.47744200098759</v>
      </c>
      <c r="DS100" s="59">
        <f t="shared" si="71"/>
        <v>774.81077533432085</v>
      </c>
      <c r="DT100" s="59">
        <f ca="1">AVERAGE(OFFSET($DS$3,0,0,'Données projet'!$E$14+1,1))-AVERAGE(OFFSET($H$3,0,0,'Données projet'!$E$14+1,1))</f>
        <v>276.52126514622455</v>
      </c>
      <c r="DU100" s="59">
        <f t="shared" si="98"/>
        <v>173.98404849503186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27.219093440101393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27.219093440101393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5.2583333333333373</v>
      </c>
      <c r="EJ100" s="12">
        <f>IF('Données projet'!$A$192&gt;35,EJ99+EI100-ER99,IF(A100&lt;'Données projet'!$A$192,$EG$205^A100,IF(A100='Données projet'!$A$192,'Données projet'!$B$192,EJ99+EI100-ER99)))</f>
        <v>203.21923076923051</v>
      </c>
      <c r="EK100" s="17">
        <f>EJ100*VLOOKUP('Données projet'!$B$15,Paramètres!$A$1:$I$89,3,0)*VLOOKUP('Données projet'!$B$15,Paramètres!$A$1:$I$89,5,0)</f>
        <v>196.55363999999975</v>
      </c>
      <c r="EL100" s="13">
        <f t="shared" si="99"/>
        <v>48.985997597412556</v>
      </c>
      <c r="EM100" s="20">
        <f t="shared" si="73"/>
        <v>427.64820214882644</v>
      </c>
      <c r="EN100" s="59">
        <f t="shared" si="74"/>
        <v>720.98153548215976</v>
      </c>
      <c r="EO100" s="59">
        <f ca="1">AVERAGE(OFFSET($EN$3,0,0,'Données projet'!$E$15+1,1))-AVERAGE(OFFSET($H$3,0,0,'Données projet'!$E$15+1,1))</f>
        <v>234.56750794375012</v>
      </c>
      <c r="EP100" s="59">
        <f t="shared" si="100"/>
        <v>150.32420541314724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24.10833990408981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24.10833990408981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7.5015384615384617</v>
      </c>
      <c r="N101" s="13">
        <f>IF('Données projet'!$A$36&gt;35,N100+M101-V100,IF(A101&lt;'Données projet'!$A$36,$K$205^A101,IF(A101='Données projet'!$A$36,'Données projet'!$B$36,N100+M101-V100)))</f>
        <v>257.20461538461564</v>
      </c>
      <c r="O101" s="13">
        <f>N101*VLOOKUP('Données projet'!$B$9,Paramètres!$A$1:$I$89,3,0)*VLOOKUP('Données projet'!$B$9,Paramètres!$A$1:$I$89,5,0)</f>
        <v>120.37176000000012</v>
      </c>
      <c r="P101" s="13">
        <f t="shared" si="87"/>
        <v>31.761690593555869</v>
      </c>
      <c r="Q101" s="20">
        <f t="shared" si="107"/>
        <v>264.96575978377672</v>
      </c>
      <c r="R101" s="59">
        <f t="shared" si="55"/>
        <v>558.29909311711003</v>
      </c>
      <c r="S101" s="59">
        <f ca="1">AVERAGE(OFFSET($R$3,0,0,'Données projet'!$E$9+1,1))-AVERAGE(OFFSET($H$3,0,0,'Données projet'!$E$9+1,1))</f>
        <v>198.17898804494365</v>
      </c>
      <c r="T101" s="59">
        <f t="shared" si="88"/>
        <v>186.24772922797723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116.23984553670557</v>
      </c>
      <c r="AA101" s="21">
        <f>EXP(-LN(2)/25)*AA100+(1-EXP(-LN(2)/25))/(LN(2)/25)*Calculateur!V101*Calculateur!X101*VLOOKUP('Données projet'!$B$9,Paramètres!$A$1:$I$89,3,0)*0.475*44/12</f>
        <v>31.841471094830588</v>
      </c>
      <c r="AB101" s="21">
        <f>EXP(-LN(2)/2)*AB100+(1-EXP(-LN(2)/2))/(LN(2)/2)*V101*Y101*VLOOKUP('Données projet'!$B$9,Paramètres!$A$1:$I$89,3,0)*0.475*44/12</f>
        <v>5.9246051262966777</v>
      </c>
      <c r="AC101" s="22">
        <f t="shared" si="57"/>
        <v>154.00592175783285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278.21846622758881</v>
      </c>
      <c r="AO101" s="59">
        <f t="shared" si="90"/>
        <v>245.37578316242906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7.1782051282051267</v>
      </c>
      <c r="BD101" s="12">
        <f>IF('Données projet'!$A$88&gt;35,BD100+BC101-BL100,IF(A101&lt;'Données projet'!$A$88,$BA$205^A101,IF(A101='Données projet'!$A$88,'Données projet'!$B$88,BD100+BC101-BL100)))</f>
        <v>311.07179487179536</v>
      </c>
      <c r="BE101" s="13">
        <f>BD101*VLOOKUP('Données projet'!$B$11,Paramètres!$A$1:$I$89,3,0)*VLOOKUP('Données projet'!$B$11,Paramètres!$A$1:$I$89,5,0)</f>
        <v>281.45776000000041</v>
      </c>
      <c r="BF101" s="13">
        <f t="shared" si="91"/>
        <v>67.274982309129811</v>
      </c>
      <c r="BG101" s="20">
        <f t="shared" si="61"/>
        <v>607.37619285506855</v>
      </c>
      <c r="BH101" s="59">
        <f t="shared" si="62"/>
        <v>900.70952618840192</v>
      </c>
      <c r="BI101" s="59">
        <f ca="1">AVERAGE(OFFSET($BH$3,0,0,'Données projet'!$E$11+1,1))-AVERAGE(OFFSET($H$3,0,0,'Données projet'!$E$11+1,1))</f>
        <v>270.87836509222456</v>
      </c>
      <c r="BJ101" s="59">
        <f t="shared" si="92"/>
        <v>205.24998237949734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35.3811501473362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35.3811501473362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7.1782051282051267</v>
      </c>
      <c r="BY101" s="12">
        <f>IF('Données projet'!$A$114&gt;35,BY100+BX101-CG100,IF(A101&lt;'Données projet'!$A$114,$BV$205^A101,IF(A101='Données projet'!$A$114,'Données projet'!$B$114,BY100+BX101-CG100)))</f>
        <v>311.07179487179536</v>
      </c>
      <c r="BZ101" s="13">
        <f>BY101*VLOOKUP('Données projet'!$B$12,Paramètres!$A$1:$I$89,3,0)*VLOOKUP('Données projet'!$B$12,Paramètres!$A$1:$I$89,5,0)</f>
        <v>315.42680000000053</v>
      </c>
      <c r="CA101" s="13">
        <f t="shared" si="93"/>
        <v>74.401014776148614</v>
      </c>
      <c r="CB101" s="20">
        <f t="shared" si="64"/>
        <v>678.95011073512637</v>
      </c>
      <c r="CC101" s="59">
        <f t="shared" si="65"/>
        <v>972.28344406845963</v>
      </c>
      <c r="CD101" s="59">
        <f ca="1">AVERAGE(OFFSET($CC$3,0,0,'Données projet'!$E$12+1,1))-AVERAGE(OFFSET($H$3,0,0,'Données projet'!$E$12+1,1))</f>
        <v>312.29056285877169</v>
      </c>
      <c r="CE101" s="59">
        <f t="shared" si="94"/>
        <v>233.85454224241693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39.651288958221627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39.651288958221627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5.2583333333333373</v>
      </c>
      <c r="CT101" s="12">
        <f>IF('Données projet'!$A$140&gt;35,CT100+CS101-DB100,IF(A101&lt;'Données projet'!$A$140,$CQ$205^A101,IF(A101='Données projet'!$A$140,'Données projet'!$B$140,CT100+CS101-DB100)))</f>
        <v>208.47756410256383</v>
      </c>
      <c r="CU101" s="17">
        <f>CT101*VLOOKUP('Données projet'!$B$13,Paramètres!$A$1:$I$89,3,0)*VLOOKUP('Données projet'!$B$13,Paramètres!$A$1:$I$89,5,0)</f>
        <v>237.41424999999967</v>
      </c>
      <c r="CV101" s="13">
        <f t="shared" si="95"/>
        <v>57.882843519029187</v>
      </c>
      <c r="CW101" s="20">
        <f t="shared" si="67"/>
        <v>514.30910454564184</v>
      </c>
      <c r="CX101" s="59">
        <f t="shared" si="68"/>
        <v>807.64243787897522</v>
      </c>
      <c r="CY101" s="59">
        <f ca="1">AVERAGE(OFFSET($CX$3,0,0,'Données projet'!$E$13+1,1))-AVERAGE(OFFSET($H$3,0,0,'Données projet'!$E$13+1,1))</f>
        <v>292.22737648725354</v>
      </c>
      <c r="CZ101" s="59">
        <f t="shared" si="96"/>
        <v>182.84038581199871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27.829001203452208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27.829001203452208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5.2583333333333373</v>
      </c>
      <c r="DO101" s="12">
        <f>IF('Données projet'!$A$166&gt;35,DO100+DN101-DW100,IF(A101&lt;'Données projet'!$A$166,$DL$205^A101,IF(A101='Données projet'!$A$166,'Données projet'!$B$166,DO100+DN101-DW100)))</f>
        <v>208.47756410256383</v>
      </c>
      <c r="DP101" s="17">
        <f>DO101*VLOOKUP('Données projet'!$B$14,Paramètres!$A$1:$I$89,3,0)*VLOOKUP('Données projet'!$B$14,Paramètres!$A$1:$I$89,5,0)</f>
        <v>227.65749999999969</v>
      </c>
      <c r="DQ101" s="13">
        <f t="shared" si="97"/>
        <v>55.775876887387881</v>
      </c>
      <c r="DR101" s="20">
        <f t="shared" si="70"/>
        <v>493.64646474553336</v>
      </c>
      <c r="DS101" s="59">
        <f t="shared" si="71"/>
        <v>786.97979807886668</v>
      </c>
      <c r="DT101" s="59">
        <f ca="1">AVERAGE(OFFSET($DS$3,0,0,'Données projet'!$E$14+1,1))-AVERAGE(OFFSET($H$3,0,0,'Données projet'!$E$14+1,1))</f>
        <v>276.52126514622455</v>
      </c>
      <c r="DU101" s="59">
        <f t="shared" si="98"/>
        <v>173.98404849503186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26.685343619748689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26.685343619748689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5.2583333333333373</v>
      </c>
      <c r="EJ101" s="12">
        <f>IF('Données projet'!$A$192&gt;35,EJ100+EI101-ER100,IF(A101&lt;'Données projet'!$A$192,$EG$205^A101,IF(A101='Données projet'!$A$192,'Données projet'!$B$192,EJ100+EI101-ER100)))</f>
        <v>208.47756410256383</v>
      </c>
      <c r="EK101" s="17">
        <f>EJ101*VLOOKUP('Données projet'!$B$15,Paramètres!$A$1:$I$89,3,0)*VLOOKUP('Données projet'!$B$15,Paramètres!$A$1:$I$89,5,0)</f>
        <v>201.63949999999974</v>
      </c>
      <c r="EL101" s="13">
        <f t="shared" si="99"/>
        <v>50.104308821691369</v>
      </c>
      <c r="EM101" s="20">
        <f t="shared" si="73"/>
        <v>438.45380036444539</v>
      </c>
      <c r="EN101" s="59">
        <f t="shared" si="74"/>
        <v>731.7871336977787</v>
      </c>
      <c r="EO101" s="59">
        <f ca="1">AVERAGE(OFFSET($EN$3,0,0,'Données projet'!$E$15+1,1))-AVERAGE(OFFSET($H$3,0,0,'Données projet'!$E$15+1,1))</f>
        <v>234.56750794375012</v>
      </c>
      <c r="EP101" s="59">
        <f t="shared" si="100"/>
        <v>150.32420541314724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23.635590063205989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23.635590063205989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7.5015384615384617</v>
      </c>
      <c r="N102" s="13">
        <f>IF('Données projet'!$A$36&gt;35,N101+M102-V101,IF(A102&lt;'Données projet'!$A$36,$K$205^A102,IF(A102='Données projet'!$A$36,'Données projet'!$B$36,N101+M102-V101)))</f>
        <v>264.70615384615411</v>
      </c>
      <c r="O102" s="13">
        <f>N102*VLOOKUP('Données projet'!$B$9,Paramètres!$A$1:$I$89,3,0)*VLOOKUP('Données projet'!$B$9,Paramètres!$A$1:$I$89,5,0)</f>
        <v>123.88248000000011</v>
      </c>
      <c r="P102" s="13">
        <f t="shared" si="87"/>
        <v>32.578839075986679</v>
      </c>
      <c r="Q102" s="20">
        <f t="shared" si="107"/>
        <v>272.50346405734365</v>
      </c>
      <c r="R102" s="59">
        <f t="shared" si="55"/>
        <v>565.83679739067702</v>
      </c>
      <c r="S102" s="59">
        <f ca="1">AVERAGE(OFFSET($R$3,0,0,'Données projet'!$E$9+1,1))-AVERAGE(OFFSET($H$3,0,0,'Données projet'!$E$9+1,1))</f>
        <v>198.17898804494365</v>
      </c>
      <c r="T102" s="59">
        <f t="shared" si="88"/>
        <v>186.24772922797723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113.96045306503584</v>
      </c>
      <c r="AA102" s="21">
        <f>EXP(-LN(2)/25)*AA101+(1-EXP(-LN(2)/25))/(LN(2)/25)*Calculateur!V102*Calculateur!X102*VLOOKUP('Données projet'!$B$9,Paramètres!$A$1:$I$89,3,0)*0.475*44/12</f>
        <v>30.970764393272255</v>
      </c>
      <c r="AB102" s="21">
        <f>EXP(-LN(2)/2)*AB101+(1-EXP(-LN(2)/2))/(LN(2)/2)*V102*Y102*VLOOKUP('Données projet'!$B$9,Paramètres!$A$1:$I$89,3,0)*0.475*44/12</f>
        <v>4.189328460656963</v>
      </c>
      <c r="AC102" s="22">
        <f t="shared" si="57"/>
        <v>149.12054591896504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278.21846622758881</v>
      </c>
      <c r="AO102" s="59">
        <f t="shared" si="90"/>
        <v>245.37578316242906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318.25</v>
      </c>
      <c r="BB102" s="12">
        <f>VLOOKUP(A102,'Données projet'!$A$87:$I$107,9,0)</f>
        <v>7.1782051282051267</v>
      </c>
      <c r="BC102" s="12">
        <f t="array" ref="BC102">INDEX(BB:BB,MIN(IF(ISNUMBER(BB102:BB298),ROW(BB102:BB298),"")))</f>
        <v>7.1782051282051267</v>
      </c>
      <c r="BD102" s="12">
        <f>IF('Données projet'!$A$88&gt;35,BD101+BC102-BL101,IF(A102&lt;'Données projet'!$A$88,$BA$205^A102,IF(A102='Données projet'!$A$88,'Données projet'!$B$88,BD101+BC102-BL101)))</f>
        <v>318.25000000000051</v>
      </c>
      <c r="BE102" s="13">
        <f>BD102*VLOOKUP('Données projet'!$B$11,Paramètres!$A$1:$I$89,3,0)*VLOOKUP('Données projet'!$B$11,Paramètres!$A$1:$I$89,5,0)</f>
        <v>287.95260000000047</v>
      </c>
      <c r="BF102" s="13">
        <f t="shared" si="91"/>
        <v>68.6448727389173</v>
      </c>
      <c r="BG102" s="20">
        <f t="shared" si="61"/>
        <v>621.07393168694841</v>
      </c>
      <c r="BH102" s="59">
        <f t="shared" si="62"/>
        <v>914.40726502028178</v>
      </c>
      <c r="BI102" s="59">
        <f ca="1">AVERAGE(OFFSET($BH$3,0,0,'Données projet'!$E$11+1,1))-AVERAGE(OFFSET($H$3,0,0,'Données projet'!$E$11+1,1))</f>
        <v>270.87836509222456</v>
      </c>
      <c r="BJ102" s="59">
        <f t="shared" si="92"/>
        <v>205.24998237949734</v>
      </c>
      <c r="BK102" s="15">
        <f>IF(ISNA(VLOOKUP(A102,'Données projet'!$A$87:$I$107,3,0)),0,VLOOKUP(A102,'Données projet'!$A$87:$I$107,3,0))</f>
        <v>9</v>
      </c>
      <c r="BL102" s="15">
        <f>IF(ISNA(VLOOKUP(A102,'Données projet'!$A$87:$I$107,4,0)),0,VLOOKUP(A102,'Données projet'!$A$87:$I$107,4,0))</f>
        <v>48.019230769230766</v>
      </c>
      <c r="BM102" s="16">
        <f>IF(ISNA(VLOOKUP(A102,'Données projet'!$A$87:$I$107,5,0)),0%,VLOOKUP(A102,'Données projet'!$A$87:$I$107,5,0)*VLOOKUP('Données projet'!$B$11,Paramètres!$A$1:$I$89,7,0))</f>
        <v>0.30099999999999999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49.144454416035025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49.144454416035025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318.25</v>
      </c>
      <c r="BW102" s="12">
        <f>VLOOKUP(A102,'Données projet'!$A$113:$I$133,9,0)</f>
        <v>7.1782051282051267</v>
      </c>
      <c r="BX102" s="12">
        <f t="array" ref="BX102">INDEX(BW:BW,MIN(IF(ISNUMBER(BW102:BW298),ROW(BW102:BW298),"")))</f>
        <v>7.1782051282051267</v>
      </c>
      <c r="BY102" s="12">
        <f>IF('Données projet'!$A$114&gt;35,BY101+BX102-CG101,IF(A102&lt;'Données projet'!$A$114,$BV$205^A102,IF(A102='Données projet'!$A$114,'Données projet'!$B$114,BY101+BX102-CG101)))</f>
        <v>318.25000000000051</v>
      </c>
      <c r="BZ102" s="13">
        <f>BY102*VLOOKUP('Données projet'!$B$12,Paramètres!$A$1:$I$89,3,0)*VLOOKUP('Données projet'!$B$12,Paramètres!$A$1:$I$89,5,0)</f>
        <v>322.70550000000054</v>
      </c>
      <c r="CA102" s="13">
        <f t="shared" si="93"/>
        <v>75.916009423638798</v>
      </c>
      <c r="CB102" s="20">
        <f t="shared" si="64"/>
        <v>694.26579557950515</v>
      </c>
      <c r="CC102" s="59">
        <f t="shared" si="65"/>
        <v>987.59912891283852</v>
      </c>
      <c r="CD102" s="59">
        <f ca="1">AVERAGE(OFFSET($CC$3,0,0,'Données projet'!$E$12+1,1))-AVERAGE(OFFSET($H$3,0,0,'Données projet'!$E$12+1,1))</f>
        <v>312.29056285877169</v>
      </c>
      <c r="CE102" s="59">
        <f t="shared" si="94"/>
        <v>233.85454224241693</v>
      </c>
      <c r="CF102" s="15">
        <f>IF(ISNA(VLOOKUP(A102,'Données projet'!$A$113:$I$133,3,0)),0,VLOOKUP(A102,'Données projet'!$A$113:$I$133,3,0))</f>
        <v>9</v>
      </c>
      <c r="CG102" s="15">
        <f>IF(ISNA(VLOOKUP(A102,'Données projet'!$A$113:$I$133,4,0)),0,VLOOKUP(A102,'Données projet'!$A$113:$I$133,4,0))</f>
        <v>48.019230769230766</v>
      </c>
      <c r="CH102" s="16">
        <f>IF(ISNA(VLOOKUP(A102,'Données projet'!$A$113:$I$133,5,0)),0%,VLOOKUP(A102,'Données projet'!$A$113:$I$133,5,0)*VLOOKUP('Données projet'!$B$12,Paramètres!$A$1:$I$89,7,0))</f>
        <v>0.30099999999999999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55.075681673142725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55.075681673142725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5.2583333333333373</v>
      </c>
      <c r="CT102" s="12">
        <f>IF('Données projet'!$A$140&gt;35,CT101+CS102-DB101,IF(A102&lt;'Données projet'!$A$140,$CQ$205^A102,IF(A102='Données projet'!$A$140,'Données projet'!$B$140,CT101+CS102-DB101)))</f>
        <v>213.73589743589716</v>
      </c>
      <c r="CU102" s="17">
        <f>CT102*VLOOKUP('Données projet'!$B$13,Paramètres!$A$1:$I$89,3,0)*VLOOKUP('Données projet'!$B$13,Paramètres!$A$1:$I$89,5,0)</f>
        <v>243.40243999999967</v>
      </c>
      <c r="CV102" s="13">
        <f t="shared" si="95"/>
        <v>59.170981176047299</v>
      </c>
      <c r="CW102" s="20">
        <f t="shared" si="67"/>
        <v>526.98204188161515</v>
      </c>
      <c r="CX102" s="59">
        <f t="shared" si="68"/>
        <v>820.31537521494852</v>
      </c>
      <c r="CY102" s="59">
        <f ca="1">AVERAGE(OFFSET($CX$3,0,0,'Données projet'!$E$13+1,1))-AVERAGE(OFFSET($H$3,0,0,'Données projet'!$E$13+1,1))</f>
        <v>292.22737648725354</v>
      </c>
      <c r="CZ102" s="59">
        <f t="shared" si="96"/>
        <v>182.84038581199871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27.283291463867201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27.283291463867201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5.2583333333333373</v>
      </c>
      <c r="DO102" s="12">
        <f>IF('Données projet'!$A$166&gt;35,DO101+DN102-DW101,IF(A102&lt;'Données projet'!$A$166,$DL$205^A102,IF(A102='Données projet'!$A$166,'Données projet'!$B$166,DO101+DN102-DW101)))</f>
        <v>213.73589743589716</v>
      </c>
      <c r="DP102" s="17">
        <f>DO102*VLOOKUP('Données projet'!$B$14,Paramètres!$A$1:$I$89,3,0)*VLOOKUP('Données projet'!$B$14,Paramètres!$A$1:$I$89,5,0)</f>
        <v>233.39959999999968</v>
      </c>
      <c r="DQ102" s="13">
        <f t="shared" si="97"/>
        <v>57.017125640971152</v>
      </c>
      <c r="DR102" s="20">
        <f t="shared" si="70"/>
        <v>505.80913049135751</v>
      </c>
      <c r="DS102" s="59">
        <f t="shared" si="71"/>
        <v>799.14246382469082</v>
      </c>
      <c r="DT102" s="59">
        <f ca="1">AVERAGE(OFFSET($DS$3,0,0,'Données projet'!$E$14+1,1))-AVERAGE(OFFSET($H$3,0,0,'Données projet'!$E$14+1,1))</f>
        <v>276.52126514622455</v>
      </c>
      <c r="DU102" s="59">
        <f t="shared" si="98"/>
        <v>173.98404849503186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26.16206030781786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26.16206030781786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5.2583333333333373</v>
      </c>
      <c r="EJ102" s="12">
        <f>IF('Données projet'!$A$192&gt;35,EJ101+EI102-ER101,IF(A102&lt;'Données projet'!$A$192,$EG$205^A102,IF(A102='Données projet'!$A$192,'Données projet'!$B$192,EJ101+EI102-ER101)))</f>
        <v>213.73589743589716</v>
      </c>
      <c r="EK102" s="17">
        <f>EJ102*VLOOKUP('Données projet'!$B$15,Paramètres!$A$1:$I$89,3,0)*VLOOKUP('Données projet'!$B$15,Paramètres!$A$1:$I$89,5,0)</f>
        <v>206.72535999999974</v>
      </c>
      <c r="EL102" s="13">
        <f t="shared" si="99"/>
        <v>51.219341239731868</v>
      </c>
      <c r="EM102" s="20">
        <f t="shared" si="73"/>
        <v>449.25368799253255</v>
      </c>
      <c r="EN102" s="59">
        <f t="shared" si="74"/>
        <v>742.58702132586586</v>
      </c>
      <c r="EO102" s="59">
        <f ca="1">AVERAGE(OFFSET($EN$3,0,0,'Données projet'!$E$15+1,1))-AVERAGE(OFFSET($H$3,0,0,'Données projet'!$E$15+1,1))</f>
        <v>234.56750794375012</v>
      </c>
      <c r="EP102" s="59">
        <f t="shared" si="100"/>
        <v>150.32420541314724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23.172110558352969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23.172110558352969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7.5015384615384617</v>
      </c>
      <c r="N103" s="13">
        <f>IF('Données projet'!$A$36&gt;35,N102+M103-V102,IF(A103&lt;'Données projet'!$A$36,$K$205^A103,IF(A103='Données projet'!$A$36,'Données projet'!$B$36,N102+M103-V102)))</f>
        <v>272.20769230769258</v>
      </c>
      <c r="O103" s="13">
        <f>N103*VLOOKUP('Données projet'!$B$9,Paramètres!$A$1:$I$89,3,0)*VLOOKUP('Données projet'!$B$9,Paramètres!$A$1:$I$89,5,0)</f>
        <v>127.39320000000012</v>
      </c>
      <c r="P103" s="13">
        <f t="shared" si="87"/>
        <v>33.393296112922592</v>
      </c>
      <c r="Q103" s="20">
        <f t="shared" si="107"/>
        <v>280.03648073000704</v>
      </c>
      <c r="R103" s="59">
        <f t="shared" si="55"/>
        <v>573.3698140633403</v>
      </c>
      <c r="S103" s="59">
        <f ca="1">AVERAGE(OFFSET($R$3,0,0,'Données projet'!$E$9+1,1))-AVERAGE(OFFSET($H$3,0,0,'Données projet'!$E$9+1,1))</f>
        <v>198.17898804494365</v>
      </c>
      <c r="T103" s="59">
        <f t="shared" si="88"/>
        <v>186.24772922797723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111.7257580894434</v>
      </c>
      <c r="AA103" s="21">
        <f>EXP(-LN(2)/25)*AA102+(1-EXP(-LN(2)/25))/(LN(2)/25)*Calculateur!V103*Calculateur!X103*VLOOKUP('Données projet'!$B$9,Paramètres!$A$1:$I$89,3,0)*0.475*44/12</f>
        <v>30.12386721225651</v>
      </c>
      <c r="AB103" s="21">
        <f>EXP(-LN(2)/2)*AB102+(1-EXP(-LN(2)/2))/(LN(2)/2)*V103*Y103*VLOOKUP('Données projet'!$B$9,Paramètres!$A$1:$I$89,3,0)*0.475*44/12</f>
        <v>2.9623025631483393</v>
      </c>
      <c r="AC103" s="22">
        <f t="shared" si="57"/>
        <v>144.81192786484826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278.21846622758881</v>
      </c>
      <c r="AO103" s="59">
        <f t="shared" si="90"/>
        <v>245.37578316242906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6.9935897435897401</v>
      </c>
      <c r="BD103" s="12">
        <f>IF('Données projet'!$A$88&gt;35,BD102+BC103-BL102,IF(A103&lt;'Données projet'!$A$88,$BA$205^A103,IF(A103='Données projet'!$A$88,'Données projet'!$B$88,BD102+BC103-BL102)))</f>
        <v>277.22435897435946</v>
      </c>
      <c r="BE103" s="13">
        <f>BD103*VLOOKUP('Données projet'!$B$11,Paramètres!$A$1:$I$89,3,0)*VLOOKUP('Données projet'!$B$11,Paramètres!$A$1:$I$89,5,0)</f>
        <v>250.83260000000041</v>
      </c>
      <c r="BF103" s="13">
        <f t="shared" si="91"/>
        <v>60.764195096344402</v>
      </c>
      <c r="BG103" s="20">
        <f t="shared" si="61"/>
        <v>542.69775145946721</v>
      </c>
      <c r="BH103" s="59">
        <f t="shared" si="62"/>
        <v>836.03108479280058</v>
      </c>
      <c r="BI103" s="59">
        <f ca="1">AVERAGE(OFFSET($BH$3,0,0,'Données projet'!$E$11+1,1))-AVERAGE(OFFSET($H$3,0,0,'Données projet'!$E$11+1,1))</f>
        <v>270.87836509222456</v>
      </c>
      <c r="BJ103" s="59">
        <f t="shared" si="92"/>
        <v>205.24998237949734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48.180761640093969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48.180761640093969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6.9935897435897401</v>
      </c>
      <c r="BY103" s="12">
        <f>IF('Données projet'!$A$114&gt;35,BY102+BX103-CG102,IF(A103&lt;'Données projet'!$A$114,$BV$205^A103,IF(A103='Données projet'!$A$114,'Données projet'!$B$114,BY102+BX103-CG102)))</f>
        <v>277.22435897435946</v>
      </c>
      <c r="BZ103" s="13">
        <f>BY103*VLOOKUP('Données projet'!$B$12,Paramètres!$A$1:$I$89,3,0)*VLOOKUP('Données projet'!$B$12,Paramètres!$A$1:$I$89,5,0)</f>
        <v>281.10550000000052</v>
      </c>
      <c r="CA103" s="13">
        <f t="shared" si="93"/>
        <v>67.200579205657675</v>
      </c>
      <c r="CB103" s="20">
        <f t="shared" si="64"/>
        <v>606.63308794985471</v>
      </c>
      <c r="CC103" s="59">
        <f t="shared" si="65"/>
        <v>899.96642128318808</v>
      </c>
      <c r="CD103" s="59">
        <f ca="1">AVERAGE(OFFSET($CC$3,0,0,'Données projet'!$E$12+1,1))-AVERAGE(OFFSET($H$3,0,0,'Données projet'!$E$12+1,1))</f>
        <v>312.29056285877169</v>
      </c>
      <c r="CE103" s="59">
        <f t="shared" si="94"/>
        <v>233.85454224241693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53.995681148381202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53.995681148381202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5.2583333333333373</v>
      </c>
      <c r="CT103" s="12">
        <f>IF('Données projet'!$A$140&gt;35,CT102+CS103-DB102,IF(A103&lt;'Données projet'!$A$140,$CQ$205^A103,IF(A103='Données projet'!$A$140,'Données projet'!$B$140,CT102+CS103-DB102)))</f>
        <v>218.99423076923048</v>
      </c>
      <c r="CU103" s="17">
        <f>CT103*VLOOKUP('Données projet'!$B$13,Paramètres!$A$1:$I$89,3,0)*VLOOKUP('Données projet'!$B$13,Paramètres!$A$1:$I$89,5,0)</f>
        <v>249.39062999999967</v>
      </c>
      <c r="CV103" s="13">
        <f t="shared" si="95"/>
        <v>60.45543491032879</v>
      </c>
      <c r="CW103" s="20">
        <f t="shared" si="67"/>
        <v>539.64856305215528</v>
      </c>
      <c r="CX103" s="59">
        <f t="shared" si="68"/>
        <v>832.98189638548865</v>
      </c>
      <c r="CY103" s="59">
        <f ca="1">AVERAGE(OFFSET($CX$3,0,0,'Données projet'!$E$13+1,1))-AVERAGE(OFFSET($H$3,0,0,'Données projet'!$E$13+1,1))</f>
        <v>292.22737648725354</v>
      </c>
      <c r="CZ103" s="59">
        <f t="shared" si="96"/>
        <v>182.84038581199871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26.748282759425379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26.748282759425379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5.2583333333333373</v>
      </c>
      <c r="DO103" s="12">
        <f>IF('Données projet'!$A$166&gt;35,DO102+DN103-DW102,IF(A103&lt;'Données projet'!$A$166,$DL$205^A103,IF(A103='Données projet'!$A$166,'Données projet'!$B$166,DO102+DN103-DW102)))</f>
        <v>218.99423076923048</v>
      </c>
      <c r="DP103" s="17">
        <f>DO103*VLOOKUP('Données projet'!$B$14,Paramètres!$A$1:$I$89,3,0)*VLOOKUP('Données projet'!$B$14,Paramètres!$A$1:$I$89,5,0)</f>
        <v>239.1416999999997</v>
      </c>
      <c r="DQ103" s="13">
        <f t="shared" si="97"/>
        <v>58.254824568586514</v>
      </c>
      <c r="DR103" s="20">
        <f t="shared" si="70"/>
        <v>517.96561362362092</v>
      </c>
      <c r="DS103" s="59">
        <f t="shared" si="71"/>
        <v>811.2989469569543</v>
      </c>
      <c r="DT103" s="59">
        <f ca="1">AVERAGE(OFFSET($DS$3,0,0,'Données projet'!$E$14+1,1))-AVERAGE(OFFSET($H$3,0,0,'Données projet'!$E$14+1,1))</f>
        <v>276.52126514622455</v>
      </c>
      <c r="DU103" s="59">
        <f t="shared" si="98"/>
        <v>173.98404849503186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25.649038262462689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25.649038262462689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5.2583333333333373</v>
      </c>
      <c r="EJ103" s="12">
        <f>IF('Données projet'!$A$192&gt;35,EJ102+EI103-ER102,IF(A103&lt;'Données projet'!$A$192,$EG$205^A103,IF(A103='Données projet'!$A$192,'Données projet'!$B$192,EJ102+EI103-ER102)))</f>
        <v>218.99423076923048</v>
      </c>
      <c r="EK103" s="17">
        <f>EJ103*VLOOKUP('Données projet'!$B$15,Paramètres!$A$1:$I$89,3,0)*VLOOKUP('Données projet'!$B$15,Paramètres!$A$1:$I$89,5,0)</f>
        <v>211.81121999999974</v>
      </c>
      <c r="EL103" s="13">
        <f t="shared" si="99"/>
        <v>52.331184795732305</v>
      </c>
      <c r="EM103" s="20">
        <f t="shared" si="73"/>
        <v>460.04802168589998</v>
      </c>
      <c r="EN103" s="59">
        <f t="shared" si="74"/>
        <v>753.3813550192333</v>
      </c>
      <c r="EO103" s="59">
        <f ca="1">AVERAGE(OFFSET($EN$3,0,0,'Données projet'!$E$15+1,1))-AVERAGE(OFFSET($H$3,0,0,'Données projet'!$E$15+1,1))</f>
        <v>234.56750794375012</v>
      </c>
      <c r="EP103" s="59">
        <f t="shared" si="100"/>
        <v>150.32420541314724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22.717719603895532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22.717719603895532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7.5015384615384617</v>
      </c>
      <c r="N104" s="13">
        <f>IF('Données projet'!$A$36&gt;35,N103+M104-V103,IF(A104&lt;'Données projet'!$A$36,$K$205^A104,IF(A104='Données projet'!$A$36,'Données projet'!$B$36,N103+M104-V103)))</f>
        <v>279.70923076923106</v>
      </c>
      <c r="O104" s="13">
        <f>N104*VLOOKUP('Données projet'!$B$9,Paramètres!$A$1:$I$89,3,0)*VLOOKUP('Données projet'!$B$9,Paramètres!$A$1:$I$89,5,0)</f>
        <v>130.90392000000014</v>
      </c>
      <c r="P104" s="13">
        <f t="shared" si="87"/>
        <v>34.205144397668505</v>
      </c>
      <c r="Q104" s="20">
        <f t="shared" si="107"/>
        <v>287.56495382593954</v>
      </c>
      <c r="R104" s="59">
        <f t="shared" si="55"/>
        <v>580.89828715927285</v>
      </c>
      <c r="S104" s="59">
        <f ca="1">AVERAGE(OFFSET($R$3,0,0,'Données projet'!$E$9+1,1))-AVERAGE(OFFSET($H$3,0,0,'Données projet'!$E$9+1,1))</f>
        <v>198.17898804494365</v>
      </c>
      <c r="T104" s="59">
        <f t="shared" si="88"/>
        <v>186.24772922797723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109.534884119293</v>
      </c>
      <c r="AA104" s="21">
        <f>EXP(-LN(2)/25)*AA103+(1-EXP(-LN(2)/25))/(LN(2)/25)*Calculateur!V104*Calculateur!X104*VLOOKUP('Données projet'!$B$9,Paramètres!$A$1:$I$89,3,0)*0.475*44/12</f>
        <v>29.300128479192029</v>
      </c>
      <c r="AB104" s="21">
        <f>EXP(-LN(2)/2)*AB103+(1-EXP(-LN(2)/2))/(LN(2)/2)*V104*Y104*VLOOKUP('Données projet'!$B$9,Paramètres!$A$1:$I$89,3,0)*0.475*44/12</f>
        <v>2.0946642303284819</v>
      </c>
      <c r="AC104" s="22">
        <f t="shared" si="57"/>
        <v>140.92967682881351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278.21846622758881</v>
      </c>
      <c r="AO104" s="59">
        <f t="shared" si="90"/>
        <v>245.37578316242906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6.9935897435897401</v>
      </c>
      <c r="BD104" s="12">
        <f>IF('Données projet'!$A$88&gt;35,BD103+BC104-BL103,IF(A104&lt;'Données projet'!$A$88,$BA$205^A104,IF(A104='Données projet'!$A$88,'Données projet'!$B$88,BD103+BC104-BL103)))</f>
        <v>284.21794871794918</v>
      </c>
      <c r="BE104" s="13">
        <f>BD104*VLOOKUP('Données projet'!$B$11,Paramètres!$A$1:$I$89,3,0)*VLOOKUP('Données projet'!$B$11,Paramètres!$A$1:$I$89,5,0)</f>
        <v>257.16040000000038</v>
      </c>
      <c r="BF104" s="13">
        <f t="shared" si="91"/>
        <v>62.116703672873726</v>
      </c>
      <c r="BG104" s="20">
        <f t="shared" si="61"/>
        <v>556.07428889692233</v>
      </c>
      <c r="BH104" s="59">
        <f t="shared" si="62"/>
        <v>849.40762223025558</v>
      </c>
      <c r="BI104" s="59">
        <f ca="1">AVERAGE(OFFSET($BH$3,0,0,'Données projet'!$E$11+1,1))-AVERAGE(OFFSET($H$3,0,0,'Données projet'!$E$11+1,1))</f>
        <v>270.87836509222456</v>
      </c>
      <c r="BJ104" s="59">
        <f t="shared" si="92"/>
        <v>205.24998237949734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47.235966291694567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47.235966291694567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6.9935897435897401</v>
      </c>
      <c r="BY104" s="12">
        <f>IF('Données projet'!$A$114&gt;35,BY103+BX104-CG103,IF(A104&lt;'Données projet'!$A$114,$BV$205^A104,IF(A104='Données projet'!$A$114,'Données projet'!$B$114,BY103+BX104-CG103)))</f>
        <v>284.21794871794918</v>
      </c>
      <c r="BZ104" s="13">
        <f>BY104*VLOOKUP('Données projet'!$B$12,Paramètres!$A$1:$I$89,3,0)*VLOOKUP('Données projet'!$B$12,Paramètres!$A$1:$I$89,5,0)</f>
        <v>288.19700000000051</v>
      </c>
      <c r="CA104" s="13">
        <f t="shared" si="93"/>
        <v>68.696350845178046</v>
      </c>
      <c r="CB104" s="20">
        <f t="shared" si="64"/>
        <v>621.5892527220193</v>
      </c>
      <c r="CC104" s="59">
        <f t="shared" si="65"/>
        <v>914.92258605535267</v>
      </c>
      <c r="CD104" s="59">
        <f ca="1">AVERAGE(OFFSET($CC$3,0,0,'Données projet'!$E$12+1,1))-AVERAGE(OFFSET($H$3,0,0,'Données projet'!$E$12+1,1))</f>
        <v>312.29056285877169</v>
      </c>
      <c r="CE104" s="59">
        <f t="shared" si="94"/>
        <v>233.85454224241693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52.936858775174976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52.936858775174976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5.2583333333333373</v>
      </c>
      <c r="CT104" s="12">
        <f>IF('Données projet'!$A$140&gt;35,CT103+CS104-DB103,IF(A104&lt;'Données projet'!$A$140,$CQ$205^A104,IF(A104='Données projet'!$A$140,'Données projet'!$B$140,CT103+CS104-DB103)))</f>
        <v>224.25256410256381</v>
      </c>
      <c r="CU104" s="17">
        <f>CT104*VLOOKUP('Données projet'!$B$13,Paramètres!$A$1:$I$89,3,0)*VLOOKUP('Données projet'!$B$13,Paramètres!$A$1:$I$89,5,0)</f>
        <v>255.37881999999968</v>
      </c>
      <c r="CV104" s="13">
        <f t="shared" si="95"/>
        <v>61.736303355137871</v>
      </c>
      <c r="CW104" s="20">
        <f t="shared" si="67"/>
        <v>552.30883984353113</v>
      </c>
      <c r="CX104" s="59">
        <f t="shared" si="68"/>
        <v>845.64217317686439</v>
      </c>
      <c r="CY104" s="59">
        <f ca="1">AVERAGE(OFFSET($CX$3,0,0,'Données projet'!$E$13+1,1))-AVERAGE(OFFSET($H$3,0,0,'Données projet'!$E$13+1,1))</f>
        <v>292.22737648725354</v>
      </c>
      <c r="CZ104" s="59">
        <f t="shared" si="96"/>
        <v>182.84038581199871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26.223765249354575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26.223765249354575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5.2583333333333373</v>
      </c>
      <c r="DO104" s="12">
        <f>IF('Données projet'!$A$166&gt;35,DO103+DN104-DW103,IF(A104&lt;'Données projet'!$A$166,$DL$205^A104,IF(A104='Données projet'!$A$166,'Données projet'!$B$166,DO103+DN104-DW103)))</f>
        <v>224.25256410256381</v>
      </c>
      <c r="DP104" s="17">
        <f>DO104*VLOOKUP('Données projet'!$B$14,Paramètres!$A$1:$I$89,3,0)*VLOOKUP('Données projet'!$B$14,Paramètres!$A$1:$I$89,5,0)</f>
        <v>244.88379999999967</v>
      </c>
      <c r="DQ104" s="13">
        <f t="shared" si="97"/>
        <v>59.489068713194364</v>
      </c>
      <c r="DR104" s="20">
        <f t="shared" si="70"/>
        <v>530.11607967547957</v>
      </c>
      <c r="DS104" s="59">
        <f t="shared" si="71"/>
        <v>823.44941300881283</v>
      </c>
      <c r="DT104" s="59">
        <f ca="1">AVERAGE(OFFSET($DS$3,0,0,'Données projet'!$E$14+1,1))-AVERAGE(OFFSET($H$3,0,0,'Données projet'!$E$14+1,1))</f>
        <v>276.52126514622455</v>
      </c>
      <c r="DU104" s="59">
        <f t="shared" si="98"/>
        <v>173.98404849503186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25.146076266504384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25.146076266504384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5.2583333333333373</v>
      </c>
      <c r="EJ104" s="12">
        <f>IF('Données projet'!$A$192&gt;35,EJ103+EI104-ER103,IF(A104&lt;'Données projet'!$A$192,$EG$205^A104,IF(A104='Données projet'!$A$192,'Données projet'!$B$192,EJ103+EI104-ER103)))</f>
        <v>224.25256410256381</v>
      </c>
      <c r="EK104" s="17">
        <f>EJ104*VLOOKUP('Données projet'!$B$15,Paramètres!$A$1:$I$89,3,0)*VLOOKUP('Données projet'!$B$15,Paramètres!$A$1:$I$89,5,0)</f>
        <v>216.89707999999973</v>
      </c>
      <c r="EL104" s="13">
        <f t="shared" si="99"/>
        <v>53.439924868212991</v>
      </c>
      <c r="EM104" s="20">
        <f t="shared" si="73"/>
        <v>470.83695014547044</v>
      </c>
      <c r="EN104" s="59">
        <f t="shared" si="74"/>
        <v>764.17028347880375</v>
      </c>
      <c r="EO104" s="59">
        <f ca="1">AVERAGE(OFFSET($EN$3,0,0,'Données projet'!$E$15+1,1))-AVERAGE(OFFSET($H$3,0,0,'Données projet'!$E$15+1,1))</f>
        <v>234.56750794375012</v>
      </c>
      <c r="EP104" s="59">
        <f t="shared" si="100"/>
        <v>150.32420541314724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22.272238978903889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22.272238978903889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7.5015384615384617</v>
      </c>
      <c r="N105" s="13">
        <f>IF('Données projet'!$A$36&gt;35,N104+M105-V104,IF(A105&lt;'Données projet'!$A$36,$K$205^A105,IF(A105='Données projet'!$A$36,'Données projet'!$B$36,N104+M105-V104)))</f>
        <v>287.21076923076953</v>
      </c>
      <c r="O105" s="13">
        <f>N105*VLOOKUP('Données projet'!$B$9,Paramètres!$A$1:$I$89,3,0)*VLOOKUP('Données projet'!$B$9,Paramètres!$A$1:$I$89,5,0)</f>
        <v>134.41464000000013</v>
      </c>
      <c r="P105" s="13">
        <f t="shared" si="87"/>
        <v>35.014461935490388</v>
      </c>
      <c r="Q105" s="20">
        <f t="shared" si="107"/>
        <v>295.08901920431265</v>
      </c>
      <c r="R105" s="59">
        <f t="shared" si="55"/>
        <v>588.42235253764602</v>
      </c>
      <c r="S105" s="59">
        <f ca="1">AVERAGE(OFFSET($R$3,0,0,'Données projet'!$E$9+1,1))-AVERAGE(OFFSET($H$3,0,0,'Données projet'!$E$9+1,1))</f>
        <v>198.17898804494365</v>
      </c>
      <c r="T105" s="59">
        <f t="shared" si="88"/>
        <v>186.24772922797723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107.38697185139607</v>
      </c>
      <c r="AA105" s="21">
        <f>EXP(-LN(2)/25)*AA104+(1-EXP(-LN(2)/25))/(LN(2)/25)*Calculateur!V105*Calculateur!X105*VLOOKUP('Données projet'!$B$9,Paramètres!$A$1:$I$89,3,0)*0.475*44/12</f>
        <v>28.498914925101733</v>
      </c>
      <c r="AB105" s="21">
        <f>EXP(-LN(2)/2)*AB104+(1-EXP(-LN(2)/2))/(LN(2)/2)*V105*Y105*VLOOKUP('Données projet'!$B$9,Paramètres!$A$1:$I$89,3,0)*0.475*44/12</f>
        <v>1.4811512815741699</v>
      </c>
      <c r="AC105" s="22">
        <f t="shared" si="57"/>
        <v>137.36703805807198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278.21846622758881</v>
      </c>
      <c r="AO105" s="59">
        <f t="shared" si="90"/>
        <v>245.37578316242906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6.9935897435897401</v>
      </c>
      <c r="BD105" s="12">
        <f>IF('Données projet'!$A$88&gt;35,BD104+BC105-BL104,IF(A105&lt;'Données projet'!$A$88,$BA$205^A105,IF(A105='Données projet'!$A$88,'Données projet'!$B$88,BD104+BC105-BL104)))</f>
        <v>291.21153846153891</v>
      </c>
      <c r="BE105" s="13">
        <f>BD105*VLOOKUP('Données projet'!$B$11,Paramètres!$A$1:$I$89,3,0)*VLOOKUP('Données projet'!$B$11,Paramètres!$A$1:$I$89,5,0)</f>
        <v>263.4882000000004</v>
      </c>
      <c r="BF105" s="13">
        <f t="shared" si="91"/>
        <v>63.465343539396919</v>
      </c>
      <c r="BG105" s="20">
        <f t="shared" si="61"/>
        <v>569.44408833111697</v>
      </c>
      <c r="BH105" s="59">
        <f t="shared" si="62"/>
        <v>862.77742166445023</v>
      </c>
      <c r="BI105" s="59">
        <f ca="1">AVERAGE(OFFSET($BH$3,0,0,'Données projet'!$E$11+1,1))-AVERAGE(OFFSET($H$3,0,0,'Données projet'!$E$11+1,1))</f>
        <v>270.87836509222456</v>
      </c>
      <c r="BJ105" s="59">
        <f t="shared" si="92"/>
        <v>205.24998237949734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46.309697803809016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46.309697803809016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6.9935897435897401</v>
      </c>
      <c r="BY105" s="12">
        <f>IF('Données projet'!$A$114&gt;35,BY104+BX105-CG104,IF(A105&lt;'Données projet'!$A$114,$BV$205^A105,IF(A105='Données projet'!$A$114,'Données projet'!$B$114,BY104+BX105-CG104)))</f>
        <v>291.21153846153891</v>
      </c>
      <c r="BZ105" s="13">
        <f>BY105*VLOOKUP('Données projet'!$B$12,Paramètres!$A$1:$I$89,3,0)*VLOOKUP('Données projet'!$B$12,Paramètres!$A$1:$I$89,5,0)</f>
        <v>295.28850000000051</v>
      </c>
      <c r="CA105" s="13">
        <f t="shared" si="93"/>
        <v>70.187843985612119</v>
      </c>
      <c r="CB105" s="20">
        <f t="shared" si="64"/>
        <v>636.53796577494199</v>
      </c>
      <c r="CC105" s="59">
        <f t="shared" si="65"/>
        <v>929.87129910827525</v>
      </c>
      <c r="CD105" s="59">
        <f ca="1">AVERAGE(OFFSET($CC$3,0,0,'Données projet'!$E$12+1,1))-AVERAGE(OFFSET($H$3,0,0,'Données projet'!$E$12+1,1))</f>
        <v>312.29056285877169</v>
      </c>
      <c r="CE105" s="59">
        <f t="shared" si="94"/>
        <v>233.85454224241693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51.89879926288944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51.89879926288944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5.2583333333333373</v>
      </c>
      <c r="CT105" s="12">
        <f>IF('Données projet'!$A$140&gt;35,CT104+CS105-DB104,IF(A105&lt;'Données projet'!$A$140,$CQ$205^A105,IF(A105='Données projet'!$A$140,'Données projet'!$B$140,CT104+CS105-DB104)))</f>
        <v>229.51089743589714</v>
      </c>
      <c r="CU105" s="17">
        <f>CT105*VLOOKUP('Données projet'!$B$13,Paramètres!$A$1:$I$89,3,0)*VLOOKUP('Données projet'!$B$13,Paramètres!$A$1:$I$89,5,0)</f>
        <v>261.36700999999965</v>
      </c>
      <c r="CV105" s="13">
        <f t="shared" si="95"/>
        <v>63.013680254298812</v>
      </c>
      <c r="CW105" s="20">
        <f t="shared" si="67"/>
        <v>564.96303552623647</v>
      </c>
      <c r="CX105" s="59">
        <f t="shared" si="68"/>
        <v>858.29636885956984</v>
      </c>
      <c r="CY105" s="59">
        <f ca="1">AVERAGE(OFFSET($CX$3,0,0,'Données projet'!$E$13+1,1))-AVERAGE(OFFSET($H$3,0,0,'Données projet'!$E$13+1,1))</f>
        <v>292.22737648725354</v>
      </c>
      <c r="CZ105" s="59">
        <f t="shared" si="96"/>
        <v>182.84038581199871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25.709533207732168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25.709533207732168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5.2583333333333373</v>
      </c>
      <c r="DO105" s="12">
        <f>IF('Données projet'!$A$166&gt;35,DO104+DN105-DW104,IF(A105&lt;'Données projet'!$A$166,$DL$205^A105,IF(A105='Données projet'!$A$166,'Données projet'!$B$166,DO104+DN105-DW104)))</f>
        <v>229.51089743589714</v>
      </c>
      <c r="DP105" s="17">
        <f>DO105*VLOOKUP('Données projet'!$B$14,Paramètres!$A$1:$I$89,3,0)*VLOOKUP('Données projet'!$B$14,Paramètres!$A$1:$I$89,5,0)</f>
        <v>250.62589999999969</v>
      </c>
      <c r="DQ105" s="13">
        <f t="shared" si="97"/>
        <v>60.719948406293256</v>
      </c>
      <c r="DR105" s="20">
        <f t="shared" si="70"/>
        <v>542.26068597429344</v>
      </c>
      <c r="DS105" s="59">
        <f t="shared" si="71"/>
        <v>835.5940193076267</v>
      </c>
      <c r="DT105" s="59">
        <f ca="1">AVERAGE(OFFSET($DS$3,0,0,'Données projet'!$E$14+1,1))-AVERAGE(OFFSET($H$3,0,0,'Données projet'!$E$14+1,1))</f>
        <v>276.52126514622455</v>
      </c>
      <c r="DU105" s="59">
        <f t="shared" si="98"/>
        <v>173.98404849503186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24.652977048510294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24.652977048510294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5.2583333333333373</v>
      </c>
      <c r="EJ105" s="12">
        <f>IF('Données projet'!$A$192&gt;35,EJ104+EI105-ER104,IF(A105&lt;'Données projet'!$A$192,$EG$205^A105,IF(A105='Données projet'!$A$192,'Données projet'!$B$192,EJ104+EI105-ER104)))</f>
        <v>229.51089743589714</v>
      </c>
      <c r="EK105" s="17">
        <f>EJ105*VLOOKUP('Données projet'!$B$15,Paramètres!$A$1:$I$89,3,0)*VLOOKUP('Données projet'!$B$15,Paramètres!$A$1:$I$89,5,0)</f>
        <v>221.9829399999997</v>
      </c>
      <c r="EL105" s="13">
        <f t="shared" si="99"/>
        <v>54.545642603317233</v>
      </c>
      <c r="EM105" s="20">
        <f t="shared" si="73"/>
        <v>481.62061470077691</v>
      </c>
      <c r="EN105" s="59">
        <f t="shared" si="74"/>
        <v>774.95394803411023</v>
      </c>
      <c r="EO105" s="59">
        <f ca="1">AVERAGE(OFFSET($EN$3,0,0,'Données projet'!$E$15+1,1))-AVERAGE(OFFSET($H$3,0,0,'Données projet'!$E$15+1,1))</f>
        <v>234.56750794375012</v>
      </c>
      <c r="EP105" s="59">
        <f t="shared" si="100"/>
        <v>150.32420541314724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21.83549395725198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21.83549395725198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7.5015384615384617</v>
      </c>
      <c r="N106" s="13">
        <f>IF('Données projet'!$A$36&gt;35,N105+M106-V105,IF(A106&lt;'Données projet'!$A$36,$K$205^A106,IF(A106='Données projet'!$A$36,'Données projet'!$B$36,N105+M106-V105)))</f>
        <v>294.712307692308</v>
      </c>
      <c r="O106" s="13">
        <f>N106*VLOOKUP('Données projet'!$B$9,Paramètres!$A$1:$I$89,3,0)*VLOOKUP('Données projet'!$B$9,Paramètres!$A$1:$I$89,5,0)</f>
        <v>137.92536000000015</v>
      </c>
      <c r="P106" s="13">
        <f t="shared" si="87"/>
        <v>35.82132242479814</v>
      </c>
      <c r="Q106" s="20">
        <f t="shared" si="107"/>
        <v>302.6088052231903</v>
      </c>
      <c r="R106" s="59">
        <f t="shared" si="55"/>
        <v>595.94213855652356</v>
      </c>
      <c r="S106" s="59">
        <f ca="1">AVERAGE(OFFSET($R$3,0,0,'Données projet'!$E$9+1,1))-AVERAGE(OFFSET($H$3,0,0,'Données projet'!$E$9+1,1))</f>
        <v>198.17898804494365</v>
      </c>
      <c r="T106" s="59">
        <f t="shared" si="88"/>
        <v>186.24772922797723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105.28117883297547</v>
      </c>
      <c r="AA106" s="21">
        <f>EXP(-LN(2)/25)*AA105+(1-EXP(-LN(2)/25))/(LN(2)/25)*Calculateur!V106*Calculateur!X106*VLOOKUP('Données projet'!$B$9,Paramètres!$A$1:$I$89,3,0)*0.475*44/12</f>
        <v>27.719610597782026</v>
      </c>
      <c r="AB106" s="21">
        <f>EXP(-LN(2)/2)*AB105+(1-EXP(-LN(2)/2))/(LN(2)/2)*V106*Y106*VLOOKUP('Données projet'!$B$9,Paramètres!$A$1:$I$89,3,0)*0.475*44/12</f>
        <v>1.047332115164241</v>
      </c>
      <c r="AC106" s="22">
        <f t="shared" si="57"/>
        <v>134.04812154592173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278.21846622758881</v>
      </c>
      <c r="AO106" s="59">
        <f t="shared" si="90"/>
        <v>245.37578316242906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6.9935897435897401</v>
      </c>
      <c r="BD106" s="12">
        <f>IF('Données projet'!$A$88&gt;35,BD105+BC106-BL105,IF(A106&lt;'Données projet'!$A$88,$BA$205^A106,IF(A106='Données projet'!$A$88,'Données projet'!$B$88,BD105+BC106-BL105)))</f>
        <v>298.20512820512863</v>
      </c>
      <c r="BE106" s="13">
        <f>BD106*VLOOKUP('Données projet'!$B$11,Paramètres!$A$1:$I$89,3,0)*VLOOKUP('Données projet'!$B$11,Paramètres!$A$1:$I$89,5,0)</f>
        <v>269.81600000000037</v>
      </c>
      <c r="BF106" s="13">
        <f t="shared" si="91"/>
        <v>64.810218294809729</v>
      </c>
      <c r="BG106" s="20">
        <f t="shared" si="61"/>
        <v>582.80733019679417</v>
      </c>
      <c r="BH106" s="59">
        <f t="shared" si="62"/>
        <v>876.14066353012754</v>
      </c>
      <c r="BI106" s="59">
        <f ca="1">AVERAGE(OFFSET($BH$3,0,0,'Données projet'!$E$11+1,1))-AVERAGE(OFFSET($H$3,0,0,'Données projet'!$E$11+1,1))</f>
        <v>270.87836509222456</v>
      </c>
      <c r="BJ106" s="59">
        <f t="shared" si="92"/>
        <v>205.24998237949734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45.401592876002908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45.401592876002908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6.9935897435897401</v>
      </c>
      <c r="BY106" s="12">
        <f>IF('Données projet'!$A$114&gt;35,BY105+BX106-CG105,IF(A106&lt;'Données projet'!$A$114,$BV$205^A106,IF(A106='Données projet'!$A$114,'Données projet'!$B$114,BY105+BX106-CG105)))</f>
        <v>298.20512820512863</v>
      </c>
      <c r="BZ106" s="13">
        <f>BY106*VLOOKUP('Données projet'!$B$12,Paramètres!$A$1:$I$89,3,0)*VLOOKUP('Données projet'!$B$12,Paramètres!$A$1:$I$89,5,0)</f>
        <v>302.38000000000045</v>
      </c>
      <c r="CA106" s="13">
        <f t="shared" si="93"/>
        <v>71.67517319946117</v>
      </c>
      <c r="CB106" s="20">
        <f t="shared" si="64"/>
        <v>651.47942665572896</v>
      </c>
      <c r="CC106" s="59">
        <f t="shared" si="65"/>
        <v>944.81275998906222</v>
      </c>
      <c r="CD106" s="59">
        <f ca="1">AVERAGE(OFFSET($CC$3,0,0,'Données projet'!$E$12+1,1))-AVERAGE(OFFSET($H$3,0,0,'Données projet'!$E$12+1,1))</f>
        <v>312.29056285877169</v>
      </c>
      <c r="CE106" s="59">
        <f t="shared" si="94"/>
        <v>233.85454224241693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50.881095464486044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50.881095464486044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234.76923076923077</v>
      </c>
      <c r="CR106" s="12">
        <f>VLOOKUP(A106,'Données projet'!$A$139:$I$159,9,0)</f>
        <v>5.2583333333333373</v>
      </c>
      <c r="CS106" s="12">
        <f t="array" ref="CS106">INDEX(CR:CR,MIN(IF(ISNUMBER(CR106:CR302),ROW(CR106:CR302),"")))</f>
        <v>5.2583333333333373</v>
      </c>
      <c r="CT106" s="12">
        <f>IF('Données projet'!$A$140&gt;35,CT105+CS106-DB105,IF(A106&lt;'Données projet'!$A$140,$CQ$205^A106,IF(A106='Données projet'!$A$140,'Données projet'!$B$140,CT105+CS106-DB105)))</f>
        <v>234.76923076923046</v>
      </c>
      <c r="CU106" s="17">
        <f>CT106*VLOOKUP('Données projet'!$B$13,Paramètres!$A$1:$I$89,3,0)*VLOOKUP('Données projet'!$B$13,Paramètres!$A$1:$I$89,5,0)</f>
        <v>267.35519999999968</v>
      </c>
      <c r="CV106" s="13">
        <f t="shared" si="95"/>
        <v>64.287654810959282</v>
      </c>
      <c r="CW106" s="20">
        <f t="shared" si="67"/>
        <v>577.61130546242021</v>
      </c>
      <c r="CX106" s="59">
        <f t="shared" si="68"/>
        <v>870.94463879575346</v>
      </c>
      <c r="CY106" s="59">
        <f ca="1">AVERAGE(OFFSET($CX$3,0,0,'Données projet'!$E$13+1,1))-AVERAGE(OFFSET($H$3,0,0,'Données projet'!$E$13+1,1))</f>
        <v>292.22737648725354</v>
      </c>
      <c r="CZ106" s="59">
        <f t="shared" si="96"/>
        <v>182.84038581199871</v>
      </c>
      <c r="DA106" s="15">
        <f>IF(ISNA(VLOOKUP(A106,'Données projet'!$A$139:$I$159,3,0)),0,VLOOKUP(A106,'Données projet'!$A$139:$I$159,3,0))</f>
        <v>8</v>
      </c>
      <c r="DB106" s="15">
        <f>IF(ISNA(VLOOKUP(A106,'Données projet'!$A$139:$I$159,4,0)),0,VLOOKUP(A106,'Données projet'!$A$139:$I$159,4,0))</f>
        <v>39.512820512820511</v>
      </c>
      <c r="DC106" s="16">
        <f>IF(ISNA(VLOOKUP(A106,'Données projet'!$A$139:$I$159,5,0)),0%,VLOOKUP(A106,'Données projet'!$A$139:$I$159,5,0)*VLOOKUP('Données projet'!$B$13,Paramètres!$A$1:$I$89,7,0))</f>
        <v>0.30099999999999999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40.178049543133341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40.178049543133341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234.76923076923077</v>
      </c>
      <c r="DM106" s="12">
        <f>VLOOKUP(A106,'Données projet'!$A$165:$I$185,9,0)</f>
        <v>5.2583333333333373</v>
      </c>
      <c r="DN106" s="12">
        <f t="array" ref="DN106">INDEX(DM:DM,MIN(IF(ISNUMBER(DM106:DM302),ROW(DM106:DM302),"")))</f>
        <v>5.2583333333333373</v>
      </c>
      <c r="DO106" s="12">
        <f>IF('Données projet'!$A$166&gt;35,DO105+DN106-DW105,IF(A106&lt;'Données projet'!$A$166,$DL$205^A106,IF(A106='Données projet'!$A$166,'Données projet'!$B$166,DO105+DN106-DW105)))</f>
        <v>234.76923076923046</v>
      </c>
      <c r="DP106" s="17">
        <f>DO106*VLOOKUP('Données projet'!$B$14,Paramètres!$A$1:$I$89,3,0)*VLOOKUP('Données projet'!$B$14,Paramètres!$A$1:$I$89,5,0)</f>
        <v>256.36799999999965</v>
      </c>
      <c r="DQ106" s="13">
        <f t="shared" si="97"/>
        <v>61.947549603988314</v>
      </c>
      <c r="DR106" s="20">
        <f t="shared" si="70"/>
        <v>554.39958222694565</v>
      </c>
      <c r="DS106" s="59">
        <f t="shared" si="71"/>
        <v>847.73291556027903</v>
      </c>
      <c r="DT106" s="59">
        <f ca="1">AVERAGE(OFFSET($DS$3,0,0,'Données projet'!$E$14+1,1))-AVERAGE(OFFSET($H$3,0,0,'Données projet'!$E$14+1,1))</f>
        <v>276.52126514622455</v>
      </c>
      <c r="DU106" s="59">
        <f t="shared" si="98"/>
        <v>173.98404849503186</v>
      </c>
      <c r="DV106" s="15">
        <f>IF(ISNA(VLOOKUP(A106,'Données projet'!$A$165:$I$185,3,0)),0,VLOOKUP(A106,'Données projet'!$A$165:$I$185,3,0))</f>
        <v>8</v>
      </c>
      <c r="DW106" s="15">
        <f>IF(ISNA(VLOOKUP(A106,'Données projet'!$A$165:$I$185,4,0)),0,VLOOKUP(A106,'Données projet'!$A$165:$I$185,4,0))</f>
        <v>39.512820512820511</v>
      </c>
      <c r="DX106" s="16">
        <f>IF(ISNA(VLOOKUP(A106,'Données projet'!$A$165:$I$185,5,0)),0%,VLOOKUP(A106,'Données projet'!$A$165:$I$185,5,0)*VLOOKUP('Données projet'!$B$14,Paramètres!$A$1:$I$89,7,0))</f>
        <v>0.30099999999999999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38.52689682218265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38.52689682218265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>
        <f>VLOOKUP(A106,'Données projet'!$A$191:$I$211,2,0)</f>
        <v>234.76923076923077</v>
      </c>
      <c r="EH106" s="12">
        <f>VLOOKUP(A106,'Données projet'!$A$191:$I$211,9,0)</f>
        <v>5.2583333333333373</v>
      </c>
      <c r="EI106" s="12">
        <f t="array" ref="EI106">INDEX(EH:EH,MIN(IF(ISNUMBER(EH106:EH302),ROW(EH106:EH302),"")))</f>
        <v>5.2583333333333373</v>
      </c>
      <c r="EJ106" s="12">
        <f>IF('Données projet'!$A$192&gt;35,EJ105+EI106-ER105,IF(A106&lt;'Données projet'!$A$192,$EG$205^A106,IF(A106='Données projet'!$A$192,'Données projet'!$B$192,EJ105+EI106-ER105)))</f>
        <v>234.76923076923046</v>
      </c>
      <c r="EK106" s="17">
        <f>EJ106*VLOOKUP('Données projet'!$B$15,Paramètres!$A$1:$I$89,3,0)*VLOOKUP('Données projet'!$B$15,Paramètres!$A$1:$I$89,5,0)</f>
        <v>227.0687999999997</v>
      </c>
      <c r="EL106" s="13">
        <f t="shared" si="99"/>
        <v>55.648415216706702</v>
      </c>
      <c r="EM106" s="20">
        <f t="shared" si="73"/>
        <v>492.39914983576364</v>
      </c>
      <c r="EN106" s="59">
        <f t="shared" si="74"/>
        <v>785.73248316909689</v>
      </c>
      <c r="EO106" s="59">
        <f ca="1">AVERAGE(OFFSET($EN$3,0,0,'Données projet'!$E$15+1,1))-AVERAGE(OFFSET($H$3,0,0,'Données projet'!$E$15+1,1))</f>
        <v>234.56750794375012</v>
      </c>
      <c r="EP106" s="59">
        <f t="shared" si="100"/>
        <v>150.32420541314724</v>
      </c>
      <c r="EQ106" s="15">
        <f>IF(ISNA(VLOOKUP(A106,'Données projet'!$A$191:$I$211,3,0)),0,VLOOKUP(A106,'Données projet'!$A$191:$I$211,3,0))</f>
        <v>8</v>
      </c>
      <c r="ER106" s="15">
        <f>IF(ISNA(VLOOKUP(A106,'Données projet'!$A$191:$I$211,4,0)),0,VLOOKUP(A106,'Données projet'!$A$191:$I$211,4,0))</f>
        <v>39.512820512820511</v>
      </c>
      <c r="ES106" s="16">
        <f>IF(ISNA(VLOOKUP(A106,'Données projet'!$A$191:$I$211,5,0)),0%,VLOOKUP(A106,'Données projet'!$A$191:$I$211,5,0)*VLOOKUP('Données projet'!$B$15,Paramètres!$A$1:$I$89,7,0))</f>
        <v>0.30099999999999999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34.123822899647493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34.123822899647493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7.5015384615384617</v>
      </c>
      <c r="N107" s="13">
        <f>IF('Données projet'!$A$36&gt;35,N106+M107-V106,IF(A107&lt;'Données projet'!$A$36,$K$205^A107,IF(A107='Données projet'!$A$36,'Données projet'!$B$36,N106+M107-V106)))</f>
        <v>302.21384615384648</v>
      </c>
      <c r="O107" s="13">
        <f>N107*VLOOKUP('Données projet'!$B$9,Paramètres!$A$1:$I$89,3,0)*VLOOKUP('Données projet'!$B$9,Paramètres!$A$1:$I$89,5,0)</f>
        <v>141.43608000000015</v>
      </c>
      <c r="P107" s="13">
        <f t="shared" si="87"/>
        <v>36.625795598426585</v>
      </c>
      <c r="Q107" s="20">
        <f t="shared" si="107"/>
        <v>310.12443333392656</v>
      </c>
      <c r="R107" s="59">
        <f t="shared" si="55"/>
        <v>603.45776666725988</v>
      </c>
      <c r="S107" s="59">
        <f ca="1">AVERAGE(OFFSET($R$3,0,0,'Données projet'!$E$9+1,1))-AVERAGE(OFFSET($H$3,0,0,'Données projet'!$E$9+1,1))</f>
        <v>198.17898804494365</v>
      </c>
      <c r="T107" s="59">
        <f t="shared" si="88"/>
        <v>186.24772922797723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103.21667913123919</v>
      </c>
      <c r="AA107" s="21">
        <f>EXP(-LN(2)/25)*AA106+(1-EXP(-LN(2)/25))/(LN(2)/25)*Calculateur!V107*Calculateur!X107*VLOOKUP('Données projet'!$B$9,Paramètres!$A$1:$I$89,3,0)*0.475*44/12</f>
        <v>26.96161638827471</v>
      </c>
      <c r="AB107" s="21">
        <f>EXP(-LN(2)/2)*AB106+(1-EXP(-LN(2)/2))/(LN(2)/2)*V107*Y107*VLOOKUP('Données projet'!$B$9,Paramètres!$A$1:$I$89,3,0)*0.475*44/12</f>
        <v>0.74057564078708493</v>
      </c>
      <c r="AC107" s="22">
        <f t="shared" si="57"/>
        <v>130.91887116030099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278.21846622758881</v>
      </c>
      <c r="AO107" s="59">
        <f t="shared" si="90"/>
        <v>245.37578316242906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6.9935897435897401</v>
      </c>
      <c r="BD107" s="12">
        <f>IF('Données projet'!$A$88&gt;35,BD106+BC107-BL106,IF(A107&lt;'Données projet'!$A$88,$BA$205^A107,IF(A107='Données projet'!$A$88,'Données projet'!$B$88,BD106+BC107-BL106)))</f>
        <v>305.19871794871835</v>
      </c>
      <c r="BE107" s="13">
        <f>BD107*VLOOKUP('Données projet'!$B$11,Paramètres!$A$1:$I$89,3,0)*VLOOKUP('Données projet'!$B$11,Paramètres!$A$1:$I$89,5,0)</f>
        <v>276.14380000000034</v>
      </c>
      <c r="BF107" s="13">
        <f t="shared" si="91"/>
        <v>66.151426401533939</v>
      </c>
      <c r="BG107" s="20">
        <f t="shared" si="61"/>
        <v>596.16418598267205</v>
      </c>
      <c r="BH107" s="59">
        <f t="shared" si="62"/>
        <v>889.49751931600531</v>
      </c>
      <c r="BI107" s="59">
        <f ca="1">AVERAGE(OFFSET($BH$3,0,0,'Données projet'!$E$11+1,1))-AVERAGE(OFFSET($H$3,0,0,'Données projet'!$E$11+1,1))</f>
        <v>270.87836509222456</v>
      </c>
      <c r="BJ107" s="59">
        <f t="shared" si="92"/>
        <v>205.24998237949734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44.511295331941767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44.511295331941767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6.9935897435897401</v>
      </c>
      <c r="BY107" s="12">
        <f>IF('Données projet'!$A$114&gt;35,BY106+BX107-CG106,IF(A107&lt;'Données projet'!$A$114,$BV$205^A107,IF(A107='Données projet'!$A$114,'Données projet'!$B$114,BY106+BX107-CG106)))</f>
        <v>305.19871794871835</v>
      </c>
      <c r="BZ107" s="13">
        <f>BY107*VLOOKUP('Données projet'!$B$12,Paramètres!$A$1:$I$89,3,0)*VLOOKUP('Données projet'!$B$12,Paramètres!$A$1:$I$89,5,0)</f>
        <v>309.47150000000045</v>
      </c>
      <c r="CA107" s="13">
        <f t="shared" si="93"/>
        <v>73.15844737867603</v>
      </c>
      <c r="CB107" s="20">
        <f t="shared" si="64"/>
        <v>666.41382501786154</v>
      </c>
      <c r="CC107" s="59">
        <f t="shared" si="65"/>
        <v>959.74715835119491</v>
      </c>
      <c r="CD107" s="59">
        <f ca="1">AVERAGE(OFFSET($CC$3,0,0,'Données projet'!$E$12+1,1))-AVERAGE(OFFSET($H$3,0,0,'Données projet'!$E$12+1,1))</f>
        <v>312.29056285877169</v>
      </c>
      <c r="CE107" s="59">
        <f t="shared" si="94"/>
        <v>233.85454224241693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49.883348216831315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49.883348216831315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5.0961538461538449</v>
      </c>
      <c r="CT107" s="12">
        <f>IF('Données projet'!$A$140&gt;35,CT106+CS107-DB106,IF(A107&lt;'Données projet'!$A$140,$CQ$205^A107,IF(A107='Données projet'!$A$140,'Données projet'!$B$140,CT106+CS107-DB106)))</f>
        <v>200.3525641025638</v>
      </c>
      <c r="CU107" s="17">
        <f>CT107*VLOOKUP('Données projet'!$B$13,Paramètres!$A$1:$I$89,3,0)*VLOOKUP('Données projet'!$B$13,Paramètres!$A$1:$I$89,5,0)</f>
        <v>228.16149999999968</v>
      </c>
      <c r="CV107" s="13">
        <f t="shared" si="95"/>
        <v>55.884969357005943</v>
      </c>
      <c r="CW107" s="20">
        <f t="shared" si="67"/>
        <v>494.71426746345134</v>
      </c>
      <c r="CX107" s="59">
        <f t="shared" si="68"/>
        <v>788.04760079678465</v>
      </c>
      <c r="CY107" s="59">
        <f ca="1">AVERAGE(OFFSET($CX$3,0,0,'Données projet'!$E$13+1,1))-AVERAGE(OFFSET($H$3,0,0,'Données projet'!$E$13+1,1))</f>
        <v>292.22737648725354</v>
      </c>
      <c r="CZ107" s="59">
        <f t="shared" si="96"/>
        <v>182.84038581199871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39.390182497782931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39.390182497782931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5.0961538461538449</v>
      </c>
      <c r="DO107" s="12">
        <f>IF('Données projet'!$A$166&gt;35,DO106+DN107-DW106,IF(A107&lt;'Données projet'!$A$166,$DL$205^A107,IF(A107='Données projet'!$A$166,'Données projet'!$B$166,DO106+DN107-DW106)))</f>
        <v>200.3525641025638</v>
      </c>
      <c r="DP107" s="17">
        <f>DO107*VLOOKUP('Données projet'!$B$14,Paramètres!$A$1:$I$89,3,0)*VLOOKUP('Données projet'!$B$14,Paramètres!$A$1:$I$89,5,0)</f>
        <v>218.78499999999968</v>
      </c>
      <c r="DQ107" s="13">
        <f t="shared" si="97"/>
        <v>53.850726419255338</v>
      </c>
      <c r="DR107" s="20">
        <f t="shared" si="70"/>
        <v>474.84055684686922</v>
      </c>
      <c r="DS107" s="59">
        <f t="shared" si="71"/>
        <v>768.17389018020253</v>
      </c>
      <c r="DT107" s="59">
        <f ca="1">AVERAGE(OFFSET($DS$3,0,0,'Données projet'!$E$14+1,1))-AVERAGE(OFFSET($H$3,0,0,'Données projet'!$E$14+1,1))</f>
        <v>276.52126514622455</v>
      </c>
      <c r="DU107" s="59">
        <f t="shared" si="98"/>
        <v>173.98404849503186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37.771407874586366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37.771407874586366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5.0961538461538449</v>
      </c>
      <c r="EJ107" s="12">
        <f>IF('Données projet'!$A$192&gt;35,EJ106+EI107-ER106,IF(A107&lt;'Données projet'!$A$192,$EG$205^A107,IF(A107='Données projet'!$A$192,'Données projet'!$B$192,EJ106+EI107-ER106)))</f>
        <v>200.3525641025638</v>
      </c>
      <c r="EK107" s="17">
        <f>EJ107*VLOOKUP('Données projet'!$B$15,Paramètres!$A$1:$I$89,3,0)*VLOOKUP('Données projet'!$B$15,Paramètres!$A$1:$I$89,5,0)</f>
        <v>193.78099999999972</v>
      </c>
      <c r="EL107" s="13">
        <f t="shared" si="99"/>
        <v>48.374917210721456</v>
      </c>
      <c r="EM107" s="20">
        <f t="shared" si="73"/>
        <v>421.75488914200605</v>
      </c>
      <c r="EN107" s="59">
        <f t="shared" si="74"/>
        <v>715.08822247533931</v>
      </c>
      <c r="EO107" s="59">
        <f ca="1">AVERAGE(OFFSET($EN$3,0,0,'Données projet'!$E$15+1,1))-AVERAGE(OFFSET($H$3,0,0,'Données projet'!$E$15+1,1))</f>
        <v>234.56750794375012</v>
      </c>
      <c r="EP107" s="59">
        <f t="shared" si="100"/>
        <v>150.32420541314724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33.454675546062212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33.454675546062212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309.71538461538461</v>
      </c>
      <c r="L108" s="12">
        <f>VLOOKUP(A108,'Données projet'!$A$35:$I$55,9,0)</f>
        <v>7.5015384615384617</v>
      </c>
      <c r="M108" s="12">
        <f t="array" ref="M108">INDEX(L:L,MIN(IF(ISNUMBER(L108:L304),ROW(L108:L304),"")))</f>
        <v>7.5015384615384617</v>
      </c>
      <c r="N108" s="13">
        <f>IF('Données projet'!$A$36&gt;35,N107+M108-V107,IF(A108&lt;'Données projet'!$A$36,$K$205^A108,IF(A108='Données projet'!$A$36,'Données projet'!$B$36,N107+M108-V107)))</f>
        <v>309.71538461538495</v>
      </c>
      <c r="O108" s="13">
        <f>N108*VLOOKUP('Données projet'!$B$9,Paramètres!$A$1:$I$89,3,0)*VLOOKUP('Données projet'!$B$9,Paramètres!$A$1:$I$89,5,0)</f>
        <v>144.94680000000017</v>
      </c>
      <c r="P108" s="13">
        <f t="shared" si="87"/>
        <v>37.427947530076956</v>
      </c>
      <c r="Q108" s="20">
        <f t="shared" si="107"/>
        <v>317.63601861488428</v>
      </c>
      <c r="R108" s="59">
        <f t="shared" si="55"/>
        <v>610.96935194821754</v>
      </c>
      <c r="S108" s="59">
        <f ca="1">AVERAGE(OFFSET($R$3,0,0,'Données projet'!$E$9+1,1))-AVERAGE(OFFSET($H$3,0,0,'Données projet'!$E$9+1,1))</f>
        <v>198.17898804494365</v>
      </c>
      <c r="T108" s="59">
        <f t="shared" si="88"/>
        <v>186.24772922797723</v>
      </c>
      <c r="U108" s="15">
        <f>IF(ISNA(VLOOKUP(A108,'Données projet'!$A$35:$I$55,3,0)),0,VLOOKUP(A108,'Données projet'!$A$35:$I$55,3,0))</f>
        <v>9</v>
      </c>
      <c r="V108" s="15">
        <f>IF(ISNA(VLOOKUP(A108,'Données projet'!$A$35:$I$55,4,0)),0,VLOOKUP(A108,'Données projet'!$A$35:$I$55,4,0))</f>
        <v>309.71538461538461</v>
      </c>
      <c r="W108" s="16">
        <f>IF(ISNA(VLOOKUP(A108,'Données projet'!$A$35:$I$55,5,0)),0%,VLOOKUP(A108,'Données projet'!$A$35:$I$55,5,0)*VLOOKUP('Données projet'!$B$9,Paramètres!$A$1:$I$89,7,0))</f>
        <v>0.38500000000000001</v>
      </c>
      <c r="X108" s="16">
        <f>IF(ISNA(VLOOKUP(A108,'Données projet'!$A$35:$I$55,6,0)),0%,VLOOKUP(A108,'Données projet'!$A$35:$I$55,6,0)*VLOOKUP('Données projet'!$B$9,Paramètres!$A$1:$I$89,7,0))</f>
        <v>9.240000000000001E-2</v>
      </c>
      <c r="Y108" s="16">
        <f>IF(ISNA(VLOOKUP(A108,'Données projet'!$A$35:$I$55,7,0)),0%,VLOOKUP(A108,'Données projet'!$A$35:$I$55,7,0))</f>
        <v>0.13200000000000001</v>
      </c>
      <c r="Z108" s="21">
        <f>EXP(-LN(2)/35)*Z107+(1-EXP(-LN(2)/35))/(LN(2)/35)*V108*W108*VLOOKUP('Données projet'!$B$9,Paramètres!$A$1:$I$89,3,0)*0.475*44/12</f>
        <v>175.22095304116948</v>
      </c>
      <c r="AA108" s="21">
        <f>EXP(-LN(2)/25)*AA107+(1-EXP(-LN(2)/25))/(LN(2)/25)*Calculateur!V108*Calculateur!X108*VLOOKUP('Données projet'!$B$9,Paramètres!$A$1:$I$89,3,0)*0.475*44/12</f>
        <v>43.921184557541437</v>
      </c>
      <c r="AB108" s="21">
        <f>EXP(-LN(2)/2)*AB107+(1-EXP(-LN(2)/2))/(LN(2)/2)*V108*Y108*VLOOKUP('Données projet'!$B$9,Paramètres!$A$1:$I$89,3,0)*0.475*44/12</f>
        <v>22.186641244152522</v>
      </c>
      <c r="AC108" s="22">
        <f t="shared" si="57"/>
        <v>241.32877884286344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278.21846622758881</v>
      </c>
      <c r="AO108" s="59">
        <f t="shared" si="90"/>
        <v>245.37578316242906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6.9935897435897401</v>
      </c>
      <c r="BD108" s="12">
        <f>IF('Données projet'!$A$88&gt;35,BD107+BC108-BL107,IF(A108&lt;'Données projet'!$A$88,$BA$205^A108,IF(A108='Données projet'!$A$88,'Données projet'!$B$88,BD107+BC108-BL107)))</f>
        <v>312.19230769230808</v>
      </c>
      <c r="BE108" s="13">
        <f>BD108*VLOOKUP('Données projet'!$B$11,Paramètres!$A$1:$I$89,3,0)*VLOOKUP('Données projet'!$B$11,Paramètres!$A$1:$I$89,5,0)</f>
        <v>282.47160000000031</v>
      </c>
      <c r="BF108" s="13">
        <f t="shared" si="91"/>
        <v>67.489061551962138</v>
      </c>
      <c r="BG108" s="20">
        <f t="shared" si="61"/>
        <v>609.51481886966792</v>
      </c>
      <c r="BH108" s="59">
        <f t="shared" si="62"/>
        <v>902.84815220300129</v>
      </c>
      <c r="BI108" s="59">
        <f ca="1">AVERAGE(OFFSET($BH$3,0,0,'Données projet'!$E$11+1,1))-AVERAGE(OFFSET($H$3,0,0,'Données projet'!$E$11+1,1))</f>
        <v>270.87836509222456</v>
      </c>
      <c r="BJ108" s="59">
        <f t="shared" si="92"/>
        <v>205.24998237949734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43.638455979691777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43.638455979691777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6.9935897435897401</v>
      </c>
      <c r="BY108" s="12">
        <f>IF('Données projet'!$A$114&gt;35,BY107+BX108-CG107,IF(A108&lt;'Données projet'!$A$114,$BV$205^A108,IF(A108='Données projet'!$A$114,'Données projet'!$B$114,BY107+BX108-CG107)))</f>
        <v>312.19230769230808</v>
      </c>
      <c r="BZ108" s="13">
        <f>BY108*VLOOKUP('Données projet'!$B$12,Paramètres!$A$1:$I$89,3,0)*VLOOKUP('Données projet'!$B$12,Paramètres!$A$1:$I$89,5,0)</f>
        <v>316.56300000000044</v>
      </c>
      <c r="CA108" s="13">
        <f t="shared" si="93"/>
        <v>74.637770139918928</v>
      </c>
      <c r="CB108" s="20">
        <f t="shared" si="64"/>
        <v>681.34134132702627</v>
      </c>
      <c r="CC108" s="59">
        <f t="shared" si="65"/>
        <v>974.67467466035964</v>
      </c>
      <c r="CD108" s="59">
        <f ca="1">AVERAGE(OFFSET($CC$3,0,0,'Données projet'!$E$12+1,1))-AVERAGE(OFFSET($H$3,0,0,'Données projet'!$E$12+1,1))</f>
        <v>312.29056285877169</v>
      </c>
      <c r="CE108" s="59">
        <f t="shared" si="94"/>
        <v>233.85454224241693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48.905166184137364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48.905166184137364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5.0961538461538449</v>
      </c>
      <c r="CT108" s="12">
        <f>IF('Données projet'!$A$140&gt;35,CT107+CS108-DB107,IF(A108&lt;'Données projet'!$A$140,$CQ$205^A108,IF(A108='Données projet'!$A$140,'Données projet'!$B$140,CT107+CS108-DB107)))</f>
        <v>205.44871794871764</v>
      </c>
      <c r="CU108" s="17">
        <f>CT108*VLOOKUP('Données projet'!$B$13,Paramètres!$A$1:$I$89,3,0)*VLOOKUP('Données projet'!$B$13,Paramètres!$A$1:$I$89,5,0)</f>
        <v>233.96499999999966</v>
      </c>
      <c r="CV108" s="13">
        <f t="shared" si="95"/>
        <v>57.139152531480441</v>
      </c>
      <c r="CW108" s="20">
        <f t="shared" si="67"/>
        <v>507.00639899232783</v>
      </c>
      <c r="CX108" s="59">
        <f t="shared" si="68"/>
        <v>800.33973232566109</v>
      </c>
      <c r="CY108" s="59">
        <f ca="1">AVERAGE(OFFSET($CX$3,0,0,'Données projet'!$E$13+1,1))-AVERAGE(OFFSET($H$3,0,0,'Données projet'!$E$13+1,1))</f>
        <v>292.22737648725354</v>
      </c>
      <c r="CZ108" s="59">
        <f t="shared" si="96"/>
        <v>182.84038581199871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38.617765044640393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38.617765044640393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5.0961538461538449</v>
      </c>
      <c r="DO108" s="12">
        <f>IF('Données projet'!$A$166&gt;35,DO107+DN108-DW107,IF(A108&lt;'Données projet'!$A$166,$DL$205^A108,IF(A108='Données projet'!$A$166,'Données projet'!$B$166,DO107+DN108-DW107)))</f>
        <v>205.44871794871764</v>
      </c>
      <c r="DP108" s="17">
        <f>DO108*VLOOKUP('Données projet'!$B$14,Paramètres!$A$1:$I$89,3,0)*VLOOKUP('Données projet'!$B$14,Paramètres!$A$1:$I$89,5,0)</f>
        <v>224.34999999999965</v>
      </c>
      <c r="DQ108" s="13">
        <f t="shared" si="97"/>
        <v>55.059256651719274</v>
      </c>
      <c r="DR108" s="20">
        <f t="shared" si="70"/>
        <v>486.63778866841045</v>
      </c>
      <c r="DS108" s="59">
        <f t="shared" si="71"/>
        <v>779.97112200174377</v>
      </c>
      <c r="DT108" s="59">
        <f ca="1">AVERAGE(OFFSET($DS$3,0,0,'Données projet'!$E$14+1,1))-AVERAGE(OFFSET($H$3,0,0,'Données projet'!$E$14+1,1))</f>
        <v>276.52126514622455</v>
      </c>
      <c r="DU108" s="59">
        <f t="shared" si="98"/>
        <v>173.98404849503186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37.030733604449686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37.030733604449686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5.0961538461538449</v>
      </c>
      <c r="EJ108" s="12">
        <f>IF('Données projet'!$A$192&gt;35,EJ107+EI108-ER107,IF(A108&lt;'Données projet'!$A$192,$EG$205^A108,IF(A108='Données projet'!$A$192,'Données projet'!$B$192,EJ107+EI108-ER107)))</f>
        <v>205.44871794871764</v>
      </c>
      <c r="EK108" s="17">
        <f>EJ108*VLOOKUP('Données projet'!$B$15,Paramètres!$A$1:$I$89,3,0)*VLOOKUP('Données projet'!$B$15,Paramètres!$A$1:$I$89,5,0)</f>
        <v>198.70999999999972</v>
      </c>
      <c r="EL108" s="13">
        <f t="shared" si="99"/>
        <v>49.460558089303781</v>
      </c>
      <c r="EM108" s="20">
        <f t="shared" si="73"/>
        <v>432.23038867220362</v>
      </c>
      <c r="EN108" s="59">
        <f t="shared" si="74"/>
        <v>725.56372200553687</v>
      </c>
      <c r="EO108" s="59">
        <f ca="1">AVERAGE(OFFSET($EN$3,0,0,'Données projet'!$E$15+1,1))-AVERAGE(OFFSET($H$3,0,0,'Données projet'!$E$15+1,1))</f>
        <v>234.56750794375012</v>
      </c>
      <c r="EP108" s="59">
        <f t="shared" si="100"/>
        <v>150.32420541314724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32.798649763941157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32.798649763941157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1.5961632016114892E-13</v>
      </c>
      <c r="P109" s="13">
        <f t="shared" si="87"/>
        <v>2.2708641912150958E-12</v>
      </c>
      <c r="Q109" s="20">
        <f t="shared" si="107"/>
        <v>4.2330868906469593E-12</v>
      </c>
      <c r="R109" s="59">
        <f t="shared" si="55"/>
        <v>293.33333333333752</v>
      </c>
      <c r="S109" s="59">
        <f ca="1">AVERAGE(OFFSET($R$3,0,0,'Données projet'!$E$9+1,1))-AVERAGE(OFFSET($H$3,0,0,'Données projet'!$E$9+1,1))</f>
        <v>198.17898804494365</v>
      </c>
      <c r="T109" s="59">
        <f t="shared" si="88"/>
        <v>186.24772922797723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171.78497702626055</v>
      </c>
      <c r="AA109" s="21">
        <f>EXP(-LN(2)/25)*AA108+(1-EXP(-LN(2)/25))/(LN(2)/25)*Calculateur!V109*Calculateur!X109*VLOOKUP('Données projet'!$B$9,Paramètres!$A$1:$I$89,3,0)*0.475*44/12</f>
        <v>42.72015745610075</v>
      </c>
      <c r="AB109" s="21">
        <f>EXP(-LN(2)/2)*AB108+(1-EXP(-LN(2)/2))/(LN(2)/2)*V109*Y109*VLOOKUP('Données projet'!$B$9,Paramètres!$A$1:$I$89,3,0)*0.475*44/12</f>
        <v>15.688324475493388</v>
      </c>
      <c r="AC109" s="22">
        <f t="shared" si="57"/>
        <v>230.19345895785472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278.21846622758881</v>
      </c>
      <c r="AO109" s="59">
        <f t="shared" si="90"/>
        <v>245.37578316242906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6.9935897435897401</v>
      </c>
      <c r="BD109" s="12">
        <f>IF('Données projet'!$A$88&gt;35,BD108+BC109-BL108,IF(A109&lt;'Données projet'!$A$88,$BA$205^A109,IF(A109='Données projet'!$A$88,'Données projet'!$B$88,BD108+BC109-BL108)))</f>
        <v>319.1858974358978</v>
      </c>
      <c r="BE109" s="13">
        <f>BD109*VLOOKUP('Données projet'!$B$11,Paramètres!$A$1:$I$89,3,0)*VLOOKUP('Données projet'!$B$11,Paramètres!$A$1:$I$89,5,0)</f>
        <v>288.79940000000033</v>
      </c>
      <c r="BF109" s="13">
        <f t="shared" si="91"/>
        <v>68.82321300114252</v>
      </c>
      <c r="BG109" s="20">
        <f t="shared" si="61"/>
        <v>622.85938431032366</v>
      </c>
      <c r="BH109" s="59">
        <f t="shared" si="62"/>
        <v>916.19271764365703</v>
      </c>
      <c r="BI109" s="59">
        <f ca="1">AVERAGE(OFFSET($BH$3,0,0,'Données projet'!$E$11+1,1))-AVERAGE(OFFSET($H$3,0,0,'Données projet'!$E$11+1,1))</f>
        <v>270.87836509222456</v>
      </c>
      <c r="BJ109" s="59">
        <f t="shared" si="92"/>
        <v>205.24998237949734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42.782732474759975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42.782732474759975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6.9935897435897401</v>
      </c>
      <c r="BY109" s="12">
        <f>IF('Données projet'!$A$114&gt;35,BY108+BX109-CG108,IF(A109&lt;'Données projet'!$A$114,$BV$205^A109,IF(A109='Données projet'!$A$114,'Données projet'!$B$114,BY108+BX109-CG108)))</f>
        <v>319.1858974358978</v>
      </c>
      <c r="BZ109" s="13">
        <f>BY109*VLOOKUP('Données projet'!$B$12,Paramètres!$A$1:$I$89,3,0)*VLOOKUP('Données projet'!$B$12,Paramètres!$A$1:$I$89,5,0)</f>
        <v>323.65450000000038</v>
      </c>
      <c r="CA109" s="13">
        <f t="shared" si="93"/>
        <v>76.113240192485776</v>
      </c>
      <c r="CB109" s="20">
        <f t="shared" si="64"/>
        <v>696.26214750191332</v>
      </c>
      <c r="CC109" s="59">
        <f t="shared" si="65"/>
        <v>989.59548083524669</v>
      </c>
      <c r="CD109" s="59">
        <f ca="1">AVERAGE(OFFSET($CC$3,0,0,'Données projet'!$E$12+1,1))-AVERAGE(OFFSET($H$3,0,0,'Données projet'!$E$12+1,1))</f>
        <v>312.29056285877169</v>
      </c>
      <c r="CE109" s="59">
        <f t="shared" si="94"/>
        <v>233.85454224241693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47.946165704472413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47.946165704472413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5.0961538461538449</v>
      </c>
      <c r="CT109" s="12">
        <f>IF('Données projet'!$A$140&gt;35,CT108+CS109-DB108,IF(A109&lt;'Données projet'!$A$140,$CQ$205^A109,IF(A109='Données projet'!$A$140,'Données projet'!$B$140,CT108+CS109-DB108)))</f>
        <v>210.54487179487148</v>
      </c>
      <c r="CU109" s="17">
        <f>CT109*VLOOKUP('Données projet'!$B$13,Paramètres!$A$1:$I$89,3,0)*VLOOKUP('Données projet'!$B$13,Paramètres!$A$1:$I$89,5,0)</f>
        <v>239.76849999999965</v>
      </c>
      <c r="CV109" s="13">
        <f t="shared" si="95"/>
        <v>58.389719332304317</v>
      </c>
      <c r="CW109" s="20">
        <f t="shared" si="67"/>
        <v>519.29223200376282</v>
      </c>
      <c r="CX109" s="59">
        <f t="shared" si="68"/>
        <v>812.62556533709608</v>
      </c>
      <c r="CY109" s="59">
        <f ca="1">AVERAGE(OFFSET($CX$3,0,0,'Données projet'!$E$13+1,1))-AVERAGE(OFFSET($H$3,0,0,'Données projet'!$E$13+1,1))</f>
        <v>292.22737648725354</v>
      </c>
      <c r="CZ109" s="59">
        <f t="shared" si="96"/>
        <v>182.84038581199871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37.86049422662586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37.86049422662586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5.0961538461538449</v>
      </c>
      <c r="DO109" s="12">
        <f>IF('Données projet'!$A$166&gt;35,DO108+DN109-DW108,IF(A109&lt;'Données projet'!$A$166,$DL$205^A109,IF(A109='Données projet'!$A$166,'Données projet'!$B$166,DO108+DN109-DW108)))</f>
        <v>210.54487179487148</v>
      </c>
      <c r="DP109" s="17">
        <f>DO109*VLOOKUP('Données projet'!$B$14,Paramètres!$A$1:$I$89,3,0)*VLOOKUP('Données projet'!$B$14,Paramètres!$A$1:$I$89,5,0)</f>
        <v>229.91499999999965</v>
      </c>
      <c r="DQ109" s="13">
        <f t="shared" si="97"/>
        <v>56.264302148478187</v>
      </c>
      <c r="DR109" s="20">
        <f t="shared" si="70"/>
        <v>498.42895124193228</v>
      </c>
      <c r="DS109" s="59">
        <f t="shared" si="71"/>
        <v>791.76228457526554</v>
      </c>
      <c r="DT109" s="59">
        <f ca="1">AVERAGE(OFFSET($DS$3,0,0,'Données projet'!$E$14+1,1))-AVERAGE(OFFSET($H$3,0,0,'Données projet'!$E$14+1,1))</f>
        <v>276.52126514622455</v>
      </c>
      <c r="DU109" s="59">
        <f t="shared" si="98"/>
        <v>173.98404849503186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36.304583504983697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36.304583504983697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5.0961538461538449</v>
      </c>
      <c r="EJ109" s="12">
        <f>IF('Données projet'!$A$192&gt;35,EJ108+EI109-ER108,IF(A109&lt;'Données projet'!$A$192,$EG$205^A109,IF(A109='Données projet'!$A$192,'Données projet'!$B$192,EJ108+EI109-ER108)))</f>
        <v>210.54487179487148</v>
      </c>
      <c r="EK109" s="17">
        <f>EJ109*VLOOKUP('Données projet'!$B$15,Paramètres!$A$1:$I$89,3,0)*VLOOKUP('Données projet'!$B$15,Paramètres!$A$1:$I$89,5,0)</f>
        <v>203.63899999999973</v>
      </c>
      <c r="EL109" s="13">
        <f t="shared" si="99"/>
        <v>50.543068577407823</v>
      </c>
      <c r="EM109" s="20">
        <f t="shared" si="73"/>
        <v>442.70043610565153</v>
      </c>
      <c r="EN109" s="59">
        <f t="shared" si="74"/>
        <v>736.03376943898479</v>
      </c>
      <c r="EO109" s="59">
        <f ca="1">AVERAGE(OFFSET($EN$3,0,0,'Données projet'!$E$15+1,1))-AVERAGE(OFFSET($H$3,0,0,'Données projet'!$E$15+1,1))</f>
        <v>234.56750794375012</v>
      </c>
      <c r="EP109" s="59">
        <f t="shared" si="100"/>
        <v>150.32420541314724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32.155488247271279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32.155488247271279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1.5961632016114892E-13</v>
      </c>
      <c r="P110" s="13">
        <f t="shared" si="87"/>
        <v>2.2708641912150958E-12</v>
      </c>
      <c r="Q110" s="20">
        <f t="shared" si="107"/>
        <v>4.2330868906469593E-12</v>
      </c>
      <c r="R110" s="59">
        <f t="shared" si="55"/>
        <v>293.33333333333752</v>
      </c>
      <c r="S110" s="59">
        <f ca="1">AVERAGE(OFFSET($R$3,0,0,'Données projet'!$E$9+1,1))-AVERAGE(OFFSET($H$3,0,0,'Données projet'!$E$9+1,1))</f>
        <v>198.17898804494365</v>
      </c>
      <c r="T110" s="59">
        <f t="shared" si="88"/>
        <v>186.24772922797723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168.41637840526556</v>
      </c>
      <c r="AA110" s="21">
        <f>EXP(-LN(2)/25)*AA109+(1-EXP(-LN(2)/25))/(LN(2)/25)*Calculateur!V110*Calculateur!X110*VLOOKUP('Données projet'!$B$9,Paramètres!$A$1:$I$89,3,0)*0.475*44/12</f>
        <v>41.551972503908232</v>
      </c>
      <c r="AB110" s="21">
        <f>EXP(-LN(2)/2)*AB109+(1-EXP(-LN(2)/2))/(LN(2)/2)*V110*Y110*VLOOKUP('Données projet'!$B$9,Paramètres!$A$1:$I$89,3,0)*0.475*44/12</f>
        <v>11.093320622076263</v>
      </c>
      <c r="AC110" s="22">
        <f t="shared" si="57"/>
        <v>221.06167153125006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278.21846622758881</v>
      </c>
      <c r="AO110" s="59">
        <f t="shared" si="90"/>
        <v>245.37578316242906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6.9935897435897401</v>
      </c>
      <c r="BD110" s="12">
        <f>IF('Données projet'!$A$88&gt;35,BD109+BC110-BL109,IF(A110&lt;'Données projet'!$A$88,$BA$205^A110,IF(A110='Données projet'!$A$88,'Données projet'!$B$88,BD109+BC110-BL109)))</f>
        <v>326.17948717948752</v>
      </c>
      <c r="BE110" s="13">
        <f>BD110*VLOOKUP('Données projet'!$B$11,Paramètres!$A$1:$I$89,3,0)*VLOOKUP('Données projet'!$B$11,Paramètres!$A$1:$I$89,5,0)</f>
        <v>295.1272000000003</v>
      </c>
      <c r="BF110" s="13">
        <f t="shared" si="91"/>
        <v>70.153965869482519</v>
      </c>
      <c r="BG110" s="20">
        <f t="shared" si="61"/>
        <v>636.19803055601596</v>
      </c>
      <c r="BH110" s="59">
        <f t="shared" si="62"/>
        <v>929.53136388934922</v>
      </c>
      <c r="BI110" s="59">
        <f ca="1">AVERAGE(OFFSET($BH$3,0,0,'Données projet'!$E$11+1,1))-AVERAGE(OFFSET($H$3,0,0,'Données projet'!$E$11+1,1))</f>
        <v>270.87836509222456</v>
      </c>
      <c r="BJ110" s="59">
        <f t="shared" si="92"/>
        <v>205.24998237949734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41.943789185820087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41.943789185820087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6.9935897435897401</v>
      </c>
      <c r="BY110" s="12">
        <f>IF('Données projet'!$A$114&gt;35,BY109+BX110-CG109,IF(A110&lt;'Données projet'!$A$114,$BV$205^A110,IF(A110='Données projet'!$A$114,'Données projet'!$B$114,BY109+BX110-CG109)))</f>
        <v>326.17948717948752</v>
      </c>
      <c r="BZ110" s="13">
        <f>BY110*VLOOKUP('Données projet'!$B$12,Paramètres!$A$1:$I$89,3,0)*VLOOKUP('Données projet'!$B$12,Paramètres!$A$1:$I$89,5,0)</f>
        <v>330.74600000000038</v>
      </c>
      <c r="CA110" s="13">
        <f t="shared" si="93"/>
        <v>77.584951673074755</v>
      </c>
      <c r="CB110" s="20">
        <f t="shared" si="64"/>
        <v>711.17640749727252</v>
      </c>
      <c r="CC110" s="59">
        <f t="shared" si="65"/>
        <v>1004.5097408306058</v>
      </c>
      <c r="CD110" s="59">
        <f ca="1">AVERAGE(OFFSET($CC$3,0,0,'Données projet'!$E$12+1,1))-AVERAGE(OFFSET($H$3,0,0,'Données projet'!$E$12+1,1))</f>
        <v>312.29056285877169</v>
      </c>
      <c r="CE110" s="59">
        <f t="shared" si="94"/>
        <v>233.85454224241693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47.005970639281159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47.005970639281159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5.0961538461538449</v>
      </c>
      <c r="CT110" s="12">
        <f>IF('Données projet'!$A$140&gt;35,CT109+CS110-DB109,IF(A110&lt;'Données projet'!$A$140,$CQ$205^A110,IF(A110='Données projet'!$A$140,'Données projet'!$B$140,CT109+CS110-DB109)))</f>
        <v>215.64102564102532</v>
      </c>
      <c r="CU110" s="17">
        <f>CT110*VLOOKUP('Données projet'!$B$13,Paramètres!$A$1:$I$89,3,0)*VLOOKUP('Données projet'!$B$13,Paramètres!$A$1:$I$89,5,0)</f>
        <v>245.57199999999966</v>
      </c>
      <c r="CV110" s="13">
        <f t="shared" si="95"/>
        <v>59.63676736291216</v>
      </c>
      <c r="CW110" s="20">
        <f t="shared" si="67"/>
        <v>531.57193649040471</v>
      </c>
      <c r="CX110" s="59">
        <f t="shared" si="68"/>
        <v>824.90526982373808</v>
      </c>
      <c r="CY110" s="59">
        <f ca="1">AVERAGE(OFFSET($CX$3,0,0,'Données projet'!$E$13+1,1))-AVERAGE(OFFSET($H$3,0,0,'Données projet'!$E$13+1,1))</f>
        <v>292.22737648725354</v>
      </c>
      <c r="CZ110" s="59">
        <f t="shared" si="96"/>
        <v>182.84038581199871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37.118073027462998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37.118073027462998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5.0961538461538449</v>
      </c>
      <c r="DO110" s="12">
        <f>IF('Données projet'!$A$166&gt;35,DO109+DN110-DW109,IF(A110&lt;'Données projet'!$A$166,$DL$205^A110,IF(A110='Données projet'!$A$166,'Données projet'!$B$166,DO109+DN110-DW109)))</f>
        <v>215.64102564102532</v>
      </c>
      <c r="DP110" s="17">
        <f>DO110*VLOOKUP('Données projet'!$B$14,Paramètres!$A$1:$I$89,3,0)*VLOOKUP('Données projet'!$B$14,Paramètres!$A$1:$I$89,5,0)</f>
        <v>235.47999999999968</v>
      </c>
      <c r="DQ110" s="13">
        <f t="shared" si="97"/>
        <v>57.465956960149214</v>
      </c>
      <c r="DR110" s="20">
        <f t="shared" si="70"/>
        <v>510.21420837225941</v>
      </c>
      <c r="DS110" s="59">
        <f t="shared" si="71"/>
        <v>803.54754170559272</v>
      </c>
      <c r="DT110" s="59">
        <f ca="1">AVERAGE(OFFSET($DS$3,0,0,'Données projet'!$E$14+1,1))-AVERAGE(OFFSET($H$3,0,0,'Données projet'!$E$14+1,1))</f>
        <v>276.52126514622455</v>
      </c>
      <c r="DU110" s="59">
        <f t="shared" si="98"/>
        <v>173.98404849503186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35.592672766060403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35.592672766060403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5.0961538461538449</v>
      </c>
      <c r="EJ110" s="12">
        <f>IF('Données projet'!$A$192&gt;35,EJ109+EI110-ER109,IF(A110&lt;'Données projet'!$A$192,$EG$205^A110,IF(A110='Données projet'!$A$192,'Données projet'!$B$192,EJ109+EI110-ER109)))</f>
        <v>215.64102564102532</v>
      </c>
      <c r="EK110" s="17">
        <f>EJ110*VLOOKUP('Données projet'!$B$15,Paramètres!$A$1:$I$89,3,0)*VLOOKUP('Données projet'!$B$15,Paramètres!$A$1:$I$89,5,0)</f>
        <v>208.5679999999997</v>
      </c>
      <c r="EL110" s="13">
        <f t="shared" si="99"/>
        <v>51.622533162117087</v>
      </c>
      <c r="EM110" s="20">
        <f t="shared" si="73"/>
        <v>453.16517859068671</v>
      </c>
      <c r="EN110" s="59">
        <f t="shared" si="74"/>
        <v>746.49851192402002</v>
      </c>
      <c r="EO110" s="59">
        <f ca="1">AVERAGE(OFFSET($EN$3,0,0,'Données projet'!$E$15+1,1))-AVERAGE(OFFSET($H$3,0,0,'Données projet'!$E$15+1,1))</f>
        <v>234.56750794375012</v>
      </c>
      <c r="EP110" s="59">
        <f t="shared" si="100"/>
        <v>150.32420541314724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31.524938735653507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31.524938735653507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1.5961632016114892E-13</v>
      </c>
      <c r="P111" s="13">
        <f t="shared" si="87"/>
        <v>2.2708641912150958E-12</v>
      </c>
      <c r="Q111" s="20">
        <f t="shared" si="107"/>
        <v>4.2330868906469593E-12</v>
      </c>
      <c r="R111" s="59">
        <f t="shared" si="55"/>
        <v>293.33333333333752</v>
      </c>
      <c r="S111" s="59">
        <f ca="1">AVERAGE(OFFSET($R$3,0,0,'Données projet'!$E$9+1,1))-AVERAGE(OFFSET($H$3,0,0,'Données projet'!$E$9+1,1))</f>
        <v>198.17898804494365</v>
      </c>
      <c r="T111" s="59">
        <f t="shared" si="88"/>
        <v>186.24772922797723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165.113835948586</v>
      </c>
      <c r="AA111" s="21">
        <f>EXP(-LN(2)/25)*AA110+(1-EXP(-LN(2)/25))/(LN(2)/25)*Calculateur!V111*Calculateur!X111*VLOOKUP('Données projet'!$B$9,Paramètres!$A$1:$I$89,3,0)*0.475*44/12</f>
        <v>40.415731630665597</v>
      </c>
      <c r="AB111" s="21">
        <f>EXP(-LN(2)/2)*AB110+(1-EXP(-LN(2)/2))/(LN(2)/2)*V111*Y111*VLOOKUP('Données projet'!$B$9,Paramètres!$A$1:$I$89,3,0)*0.475*44/12</f>
        <v>7.844162237746696</v>
      </c>
      <c r="AC111" s="22">
        <f t="shared" si="57"/>
        <v>213.37372981699829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278.21846622758881</v>
      </c>
      <c r="AO111" s="59">
        <f t="shared" si="90"/>
        <v>245.37578316242906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6.9935897435897401</v>
      </c>
      <c r="BD111" s="12">
        <f>IF('Données projet'!$A$88&gt;35,BD110+BC111-BL110,IF(A111&lt;'Données projet'!$A$88,$BA$205^A111,IF(A111='Données projet'!$A$88,'Données projet'!$B$88,BD110+BC111-BL110)))</f>
        <v>333.17307692307725</v>
      </c>
      <c r="BE111" s="13">
        <f>BD111*VLOOKUP('Données projet'!$B$11,Paramètres!$A$1:$I$89,3,0)*VLOOKUP('Données projet'!$B$11,Paramètres!$A$1:$I$89,5,0)</f>
        <v>301.45500000000027</v>
      </c>
      <c r="BF111" s="13">
        <f t="shared" si="91"/>
        <v>71.481401418760342</v>
      </c>
      <c r="BG111" s="20">
        <f t="shared" si="61"/>
        <v>649.53089913767474</v>
      </c>
      <c r="BH111" s="59">
        <f t="shared" si="62"/>
        <v>942.86423247100811</v>
      </c>
      <c r="BI111" s="59">
        <f ca="1">AVERAGE(OFFSET($BH$3,0,0,'Données projet'!$E$11+1,1))-AVERAGE(OFFSET($H$3,0,0,'Données projet'!$E$11+1,1))</f>
        <v>270.87836509222456</v>
      </c>
      <c r="BJ111" s="59">
        <f t="shared" si="92"/>
        <v>205.24998237949734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41.121297063071431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41.121297063071431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6.9935897435897401</v>
      </c>
      <c r="BY111" s="12">
        <f>IF('Données projet'!$A$114&gt;35,BY110+BX111-CG110,IF(A111&lt;'Données projet'!$A$114,$BV$205^A111,IF(A111='Données projet'!$A$114,'Données projet'!$B$114,BY110+BX111-CG110)))</f>
        <v>333.17307692307725</v>
      </c>
      <c r="BZ111" s="13">
        <f>BY111*VLOOKUP('Données projet'!$B$12,Paramètres!$A$1:$I$89,3,0)*VLOOKUP('Données projet'!$B$12,Paramètres!$A$1:$I$89,5,0)</f>
        <v>337.83750000000038</v>
      </c>
      <c r="CA111" s="13">
        <f t="shared" si="93"/>
        <v>79.052994451033314</v>
      </c>
      <c r="CB111" s="20">
        <f t="shared" si="64"/>
        <v>726.08427783555044</v>
      </c>
      <c r="CC111" s="59">
        <f t="shared" si="65"/>
        <v>1019.4176111688837</v>
      </c>
      <c r="CD111" s="59">
        <f ca="1">AVERAGE(OFFSET($CC$3,0,0,'Données projet'!$E$12+1,1))-AVERAGE(OFFSET($H$3,0,0,'Données projet'!$E$12+1,1))</f>
        <v>312.29056285877169</v>
      </c>
      <c r="CE111" s="59">
        <f t="shared" si="94"/>
        <v>233.85454224241693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46.084212225855936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46.084212225855936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5.0961538461538449</v>
      </c>
      <c r="CT111" s="12">
        <f>IF('Données projet'!$A$140&gt;35,CT110+CS111-DB110,IF(A111&lt;'Données projet'!$A$140,$CQ$205^A111,IF(A111='Données projet'!$A$140,'Données projet'!$B$140,CT110+CS111-DB110)))</f>
        <v>220.73717948717916</v>
      </c>
      <c r="CU111" s="17">
        <f>CT111*VLOOKUP('Données projet'!$B$13,Paramètres!$A$1:$I$89,3,0)*VLOOKUP('Données projet'!$B$13,Paramètres!$A$1:$I$89,5,0)</f>
        <v>251.37549999999962</v>
      </c>
      <c r="CV111" s="13">
        <f t="shared" si="95"/>
        <v>60.88038935034772</v>
      </c>
      <c r="CW111" s="20">
        <f t="shared" si="67"/>
        <v>543.84567395185479</v>
      </c>
      <c r="CX111" s="59">
        <f t="shared" si="68"/>
        <v>837.17900728518816</v>
      </c>
      <c r="CY111" s="59">
        <f ca="1">AVERAGE(OFFSET($CX$3,0,0,'Données projet'!$E$13+1,1))-AVERAGE(OFFSET($H$3,0,0,'Données projet'!$E$13+1,1))</f>
        <v>292.22737648725354</v>
      </c>
      <c r="CZ111" s="59">
        <f t="shared" si="96"/>
        <v>182.84038581199871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36.390210255183504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36.390210255183504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5.0961538461538449</v>
      </c>
      <c r="DO111" s="12">
        <f>IF('Données projet'!$A$166&gt;35,DO110+DN111-DW110,IF(A111&lt;'Données projet'!$A$166,$DL$205^A111,IF(A111='Données projet'!$A$166,'Données projet'!$B$166,DO110+DN111-DW110)))</f>
        <v>220.73717948717916</v>
      </c>
      <c r="DP111" s="17">
        <f>DO111*VLOOKUP('Données projet'!$B$14,Paramètres!$A$1:$I$89,3,0)*VLOOKUP('Données projet'!$B$14,Paramètres!$A$1:$I$89,5,0)</f>
        <v>241.04499999999965</v>
      </c>
      <c r="DQ111" s="13">
        <f t="shared" si="97"/>
        <v>58.664310438461847</v>
      </c>
      <c r="DR111" s="20">
        <f t="shared" si="70"/>
        <v>521.99371568032041</v>
      </c>
      <c r="DS111" s="59">
        <f t="shared" si="71"/>
        <v>815.32704901365378</v>
      </c>
      <c r="DT111" s="59">
        <f ca="1">AVERAGE(OFFSET($DS$3,0,0,'Données projet'!$E$14+1,1))-AVERAGE(OFFSET($H$3,0,0,'Données projet'!$E$14+1,1))</f>
        <v>276.52126514622455</v>
      </c>
      <c r="DU111" s="59">
        <f t="shared" si="98"/>
        <v>173.98404849503186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34.894722162504721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34.894722162504721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5.0961538461538449</v>
      </c>
      <c r="EJ111" s="12">
        <f>IF('Données projet'!$A$192&gt;35,EJ110+EI111-ER110,IF(A111&lt;'Données projet'!$A$192,$EG$205^A111,IF(A111='Données projet'!$A$192,'Données projet'!$B$192,EJ110+EI111-ER110)))</f>
        <v>220.73717948717916</v>
      </c>
      <c r="EK111" s="17">
        <f>EJ111*VLOOKUP('Données projet'!$B$15,Paramètres!$A$1:$I$89,3,0)*VLOOKUP('Données projet'!$B$15,Paramètres!$A$1:$I$89,5,0)</f>
        <v>213.4969999999997</v>
      </c>
      <c r="EL111" s="13">
        <f t="shared" si="99"/>
        <v>52.699032109433475</v>
      </c>
      <c r="EM111" s="20">
        <f t="shared" si="73"/>
        <v>463.6247559239294</v>
      </c>
      <c r="EN111" s="59">
        <f t="shared" si="74"/>
        <v>756.95808925726271</v>
      </c>
      <c r="EO111" s="59">
        <f ca="1">AVERAGE(OFFSET($EN$3,0,0,'Données projet'!$E$15+1,1))-AVERAGE(OFFSET($H$3,0,0,'Données projet'!$E$15+1,1))</f>
        <v>234.56750794375012</v>
      </c>
      <c r="EP111" s="59">
        <f t="shared" si="100"/>
        <v>150.32420541314724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30.906753915361332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30.906753915361332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1.5961632016114892E-13</v>
      </c>
      <c r="P112" s="13">
        <f t="shared" si="87"/>
        <v>2.2708641912150958E-12</v>
      </c>
      <c r="Q112" s="20">
        <f t="shared" si="107"/>
        <v>4.2330868906469593E-12</v>
      </c>
      <c r="R112" s="59">
        <f t="shared" si="55"/>
        <v>293.33333333333752</v>
      </c>
      <c r="S112" s="59">
        <f ca="1">AVERAGE(OFFSET($R$3,0,0,'Données projet'!$E$9+1,1))-AVERAGE(OFFSET($H$3,0,0,'Données projet'!$E$9+1,1))</f>
        <v>198.17898804494365</v>
      </c>
      <c r="T112" s="59">
        <f t="shared" si="88"/>
        <v>186.24772922797723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161.87605433512991</v>
      </c>
      <c r="AA112" s="21">
        <f>EXP(-LN(2)/25)*AA111+(1-EXP(-LN(2)/25))/(LN(2)/25)*Calculateur!V112*Calculateur!X112*VLOOKUP('Données projet'!$B$9,Paramètres!$A$1:$I$89,3,0)*0.475*44/12</f>
        <v>39.310561323854088</v>
      </c>
      <c r="AB112" s="21">
        <f>EXP(-LN(2)/2)*AB111+(1-EXP(-LN(2)/2))/(LN(2)/2)*V112*Y112*VLOOKUP('Données projet'!$B$9,Paramètres!$A$1:$I$89,3,0)*0.475*44/12</f>
        <v>5.5466603110381323</v>
      </c>
      <c r="AC112" s="22">
        <f t="shared" si="57"/>
        <v>206.73327597002213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278.21846622758881</v>
      </c>
      <c r="AO112" s="59">
        <f t="shared" si="90"/>
        <v>245.37578316242906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340.16666666666663</v>
      </c>
      <c r="BB112" s="12">
        <f>VLOOKUP(A112,'Données projet'!$A$87:$I$107,9,0)</f>
        <v>6.9935897435897401</v>
      </c>
      <c r="BC112" s="12">
        <f t="array" ref="BC112">INDEX(BB:BB,MIN(IF(ISNUMBER(BB112:BB308),ROW(BB112:BB308),"")))</f>
        <v>6.9935897435897401</v>
      </c>
      <c r="BD112" s="12">
        <f>IF('Données projet'!$A$88&gt;35,BD111+BC112-BL111,IF(A112&lt;'Données projet'!$A$88,$BA$205^A112,IF(A112='Données projet'!$A$88,'Données projet'!$B$88,BD111+BC112-BL111)))</f>
        <v>340.16666666666697</v>
      </c>
      <c r="BE112" s="13">
        <f>BD112*VLOOKUP('Données projet'!$B$11,Paramètres!$A$1:$I$89,3,0)*VLOOKUP('Données projet'!$B$11,Paramètres!$A$1:$I$89,5,0)</f>
        <v>307.78280000000024</v>
      </c>
      <c r="BF112" s="13">
        <f t="shared" si="91"/>
        <v>72.805597304306232</v>
      </c>
      <c r="BG112" s="20">
        <f t="shared" si="61"/>
        <v>662.85812530500039</v>
      </c>
      <c r="BH112" s="59">
        <f t="shared" si="62"/>
        <v>956.19145863833364</v>
      </c>
      <c r="BI112" s="59">
        <f ca="1">AVERAGE(OFFSET($BH$3,0,0,'Données projet'!$E$11+1,1))-AVERAGE(OFFSET($H$3,0,0,'Données projet'!$E$11+1,1))</f>
        <v>270.87836509222456</v>
      </c>
      <c r="BJ112" s="59">
        <f t="shared" si="92"/>
        <v>205.24998237949734</v>
      </c>
      <c r="BK112" s="15">
        <f>IF(ISNA(VLOOKUP(A112,'Données projet'!$A$87:$I$107,3,0)),0,VLOOKUP(A112,'Données projet'!$A$87:$I$107,3,0))</f>
        <v>10</v>
      </c>
      <c r="BL112" s="15">
        <f>IF(ISNA(VLOOKUP(A112,'Données projet'!$A$87:$I$107,4,0)),0,VLOOKUP(A112,'Données projet'!$A$87:$I$107,4,0))</f>
        <v>51.28846153846154</v>
      </c>
      <c r="BM112" s="16">
        <f>IF(ISNA(VLOOKUP(A112,'Données projet'!$A$87:$I$107,5,0)),0%,VLOOKUP(A112,'Données projet'!$A$87:$I$107,5,0)*VLOOKUP('Données projet'!$B$11,Paramètres!$A$1:$I$89,7,0))</f>
        <v>0.38700000000000001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60.168125359190398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60.168125359190398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340.16666666666663</v>
      </c>
      <c r="BW112" s="12">
        <f>VLOOKUP(A112,'Données projet'!$A$113:$I$133,9,0)</f>
        <v>6.9935897435897401</v>
      </c>
      <c r="BX112" s="12">
        <f t="array" ref="BX112">INDEX(BW:BW,MIN(IF(ISNUMBER(BW112:BW308),ROW(BW112:BW308),"")))</f>
        <v>6.9935897435897401</v>
      </c>
      <c r="BY112" s="12">
        <f>IF('Données projet'!$A$114&gt;35,BY111+BX112-CG111,IF(A112&lt;'Données projet'!$A$114,$BV$205^A112,IF(A112='Données projet'!$A$114,'Données projet'!$B$114,BY111+BX112-CG111)))</f>
        <v>340.16666666666697</v>
      </c>
      <c r="BZ112" s="13">
        <f>BY112*VLOOKUP('Données projet'!$B$12,Paramètres!$A$1:$I$89,3,0)*VLOOKUP('Données projet'!$B$12,Paramètres!$A$1:$I$89,5,0)</f>
        <v>344.92900000000037</v>
      </c>
      <c r="CA112" s="13">
        <f t="shared" si="93"/>
        <v>80.51745440725162</v>
      </c>
      <c r="CB112" s="20">
        <f t="shared" si="64"/>
        <v>740.98590809263044</v>
      </c>
      <c r="CC112" s="59">
        <f t="shared" si="65"/>
        <v>1034.3192414259638</v>
      </c>
      <c r="CD112" s="59">
        <f ca="1">AVERAGE(OFFSET($CC$3,0,0,'Données projet'!$E$12+1,1))-AVERAGE(OFFSET($H$3,0,0,'Données projet'!$E$12+1,1))</f>
        <v>312.29056285877169</v>
      </c>
      <c r="CE112" s="59">
        <f t="shared" si="94"/>
        <v>233.85454224241693</v>
      </c>
      <c r="CF112" s="15">
        <f>IF(ISNA(VLOOKUP(A112,'Données projet'!$A$113:$I$133,3,0)),0,VLOOKUP(A112,'Données projet'!$A$113:$I$133,3,0))</f>
        <v>10</v>
      </c>
      <c r="CG112" s="15">
        <f>IF(ISNA(VLOOKUP(A112,'Données projet'!$A$113:$I$133,4,0)),0,VLOOKUP(A112,'Données projet'!$A$113:$I$133,4,0))</f>
        <v>51.28846153846154</v>
      </c>
      <c r="CH112" s="16">
        <f>IF(ISNA(VLOOKUP(A112,'Données projet'!$A$113:$I$133,5,0)),0%,VLOOKUP(A112,'Données projet'!$A$113:$I$133,5,0)*VLOOKUP('Données projet'!$B$12,Paramètres!$A$1:$I$89,7,0))</f>
        <v>0.38700000000000001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67.429795661161677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67.429795661161677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5.0961538461538449</v>
      </c>
      <c r="CT112" s="12">
        <f>IF('Données projet'!$A$140&gt;35,CT111+CS112-DB111,IF(A112&lt;'Données projet'!$A$140,$CQ$205^A112,IF(A112='Données projet'!$A$140,'Données projet'!$B$140,CT111+CS112-DB111)))</f>
        <v>225.833333333333</v>
      </c>
      <c r="CU112" s="17">
        <f>CT112*VLOOKUP('Données projet'!$B$13,Paramètres!$A$1:$I$89,3,0)*VLOOKUP('Données projet'!$B$13,Paramètres!$A$1:$I$89,5,0)</f>
        <v>257.17899999999963</v>
      </c>
      <c r="CV112" s="13">
        <f t="shared" si="95"/>
        <v>62.120673495765772</v>
      </c>
      <c r="CW112" s="20">
        <f t="shared" si="67"/>
        <v>556.1135980051248</v>
      </c>
      <c r="CX112" s="59">
        <f t="shared" si="68"/>
        <v>849.44693133845817</v>
      </c>
      <c r="CY112" s="59">
        <f ca="1">AVERAGE(OFFSET($CX$3,0,0,'Données projet'!$E$13+1,1))-AVERAGE(OFFSET($H$3,0,0,'Données projet'!$E$13+1,1))</f>
        <v>292.22737648725354</v>
      </c>
      <c r="CZ112" s="59">
        <f t="shared" si="96"/>
        <v>182.84038581199871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35.676620427915957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35.676620427915957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5.0961538461538449</v>
      </c>
      <c r="DO112" s="12">
        <f>IF('Données projet'!$A$166&gt;35,DO111+DN112-DW111,IF(A112&lt;'Données projet'!$A$166,$DL$205^A112,IF(A112='Données projet'!$A$166,'Données projet'!$B$166,DO111+DN112-DW111)))</f>
        <v>225.833333333333</v>
      </c>
      <c r="DP112" s="17">
        <f>DO112*VLOOKUP('Données projet'!$B$14,Paramètres!$A$1:$I$89,3,0)*VLOOKUP('Données projet'!$B$14,Paramètres!$A$1:$I$89,5,0)</f>
        <v>246.60999999999962</v>
      </c>
      <c r="DQ112" s="13">
        <f t="shared" si="97"/>
        <v>59.8594475740014</v>
      </c>
      <c r="DR112" s="20">
        <f t="shared" si="70"/>
        <v>533.76762119138516</v>
      </c>
      <c r="DS112" s="59">
        <f t="shared" si="71"/>
        <v>827.10095452471842</v>
      </c>
      <c r="DT112" s="59">
        <f ca="1">AVERAGE(OFFSET($DS$3,0,0,'Données projet'!$E$14+1,1))-AVERAGE(OFFSET($H$3,0,0,'Données projet'!$E$14+1,1))</f>
        <v>276.52126514622455</v>
      </c>
      <c r="DU112" s="59">
        <f t="shared" si="98"/>
        <v>173.98404849503186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34.21045794457693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34.21045794457693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5.0961538461538449</v>
      </c>
      <c r="EJ112" s="12">
        <f>IF('Données projet'!$A$192&gt;35,EJ111+EI112-ER111,IF(A112&lt;'Données projet'!$A$192,$EG$205^A112,IF(A112='Données projet'!$A$192,'Données projet'!$B$192,EJ111+EI112-ER111)))</f>
        <v>225.833333333333</v>
      </c>
      <c r="EK112" s="17">
        <f>EJ112*VLOOKUP('Données projet'!$B$15,Paramètres!$A$1:$I$89,3,0)*VLOOKUP('Données projet'!$B$15,Paramètres!$A$1:$I$89,5,0)</f>
        <v>218.42599999999968</v>
      </c>
      <c r="EL112" s="13">
        <f t="shared" si="99"/>
        <v>53.772641767677783</v>
      </c>
      <c r="EM112" s="20">
        <f t="shared" si="73"/>
        <v>474.07930107870487</v>
      </c>
      <c r="EN112" s="59">
        <f t="shared" si="74"/>
        <v>767.41263441203819</v>
      </c>
      <c r="EO112" s="59">
        <f ca="1">AVERAGE(OFFSET($EN$3,0,0,'Données projet'!$E$15+1,1))-AVERAGE(OFFSET($H$3,0,0,'Données projet'!$E$15+1,1))</f>
        <v>234.56750794375012</v>
      </c>
      <c r="EP112" s="59">
        <f t="shared" si="100"/>
        <v>150.32420541314724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30.300691322339578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30.300691322339578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1.5961632016114892E-13</v>
      </c>
      <c r="P113" s="13">
        <f t="shared" si="87"/>
        <v>2.2708641912150958E-12</v>
      </c>
      <c r="Q113" s="20">
        <f t="shared" si="107"/>
        <v>4.2330868906469593E-12</v>
      </c>
      <c r="R113" s="59">
        <f t="shared" si="55"/>
        <v>293.33333333333752</v>
      </c>
      <c r="S113" s="59">
        <f ca="1">AVERAGE(OFFSET($R$3,0,0,'Données projet'!$E$9+1,1))-AVERAGE(OFFSET($H$3,0,0,'Données projet'!$E$9+1,1))</f>
        <v>198.17898804494365</v>
      </c>
      <c r="T113" s="59">
        <f t="shared" si="88"/>
        <v>186.24772922797723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158.70176364426192</v>
      </c>
      <c r="AA113" s="21">
        <f>EXP(-LN(2)/25)*AA112+(1-EXP(-LN(2)/25))/(LN(2)/25)*Calculateur!V113*Calculateur!X113*VLOOKUP('Données projet'!$B$9,Paramètres!$A$1:$I$89,3,0)*0.475*44/12</f>
        <v>38.235611957200724</v>
      </c>
      <c r="AB113" s="21">
        <f>EXP(-LN(2)/2)*AB112+(1-EXP(-LN(2)/2))/(LN(2)/2)*V113*Y113*VLOOKUP('Données projet'!$B$9,Paramètres!$A$1:$I$89,3,0)*0.475*44/12</f>
        <v>3.9220811188733484</v>
      </c>
      <c r="AC113" s="22">
        <f t="shared" si="57"/>
        <v>200.85945672033597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278.21846622758881</v>
      </c>
      <c r="AO113" s="59">
        <f t="shared" si="90"/>
        <v>245.37578316242906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6.8461538461538511</v>
      </c>
      <c r="BD113" s="12">
        <f>IF('Données projet'!$A$88&gt;35,BD112+BC113-BL112,IF(A113&lt;'Données projet'!$A$88,$BA$205^A113,IF(A113='Données projet'!$A$88,'Données projet'!$B$88,BD112+BC113-BL112)))</f>
        <v>295.72435897435929</v>
      </c>
      <c r="BE113" s="13">
        <f>BD113*VLOOKUP('Données projet'!$B$11,Paramètres!$A$1:$I$89,3,0)*VLOOKUP('Données projet'!$B$11,Paramètres!$A$1:$I$89,5,0)</f>
        <v>267.57140000000027</v>
      </c>
      <c r="BF113" s="13">
        <f t="shared" si="91"/>
        <v>64.333588350286504</v>
      </c>
      <c r="BG113" s="20">
        <f t="shared" si="61"/>
        <v>578.06785471008277</v>
      </c>
      <c r="BH113" s="59">
        <f t="shared" si="62"/>
        <v>871.40118804341614</v>
      </c>
      <c r="BI113" s="59">
        <f ca="1">AVERAGE(OFFSET($BH$3,0,0,'Données projet'!$E$11+1,1))-AVERAGE(OFFSET($H$3,0,0,'Données projet'!$E$11+1,1))</f>
        <v>270.87836509222456</v>
      </c>
      <c r="BJ113" s="59">
        <f t="shared" si="92"/>
        <v>205.24998237949734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58.988265119829428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58.988265119829428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6.8461538461538511</v>
      </c>
      <c r="BY113" s="12">
        <f>IF('Données projet'!$A$114&gt;35,BY112+BX113-CG112,IF(A113&lt;'Données projet'!$A$114,$BV$205^A113,IF(A113='Données projet'!$A$114,'Données projet'!$B$114,BY112+BX113-CG112)))</f>
        <v>295.72435897435929</v>
      </c>
      <c r="BZ113" s="13">
        <f>BY113*VLOOKUP('Données projet'!$B$12,Paramètres!$A$1:$I$89,3,0)*VLOOKUP('Données projet'!$B$12,Paramètres!$A$1:$I$89,5,0)</f>
        <v>299.86450000000036</v>
      </c>
      <c r="CA113" s="13">
        <f t="shared" si="93"/>
        <v>71.148056724241755</v>
      </c>
      <c r="CB113" s="20">
        <f t="shared" si="64"/>
        <v>646.18020296138832</v>
      </c>
      <c r="CC113" s="59">
        <f t="shared" si="65"/>
        <v>939.51353629472169</v>
      </c>
      <c r="CD113" s="59">
        <f ca="1">AVERAGE(OFFSET($CC$3,0,0,'Données projet'!$E$12+1,1))-AVERAGE(OFFSET($H$3,0,0,'Données projet'!$E$12+1,1))</f>
        <v>312.29056285877169</v>
      </c>
      <c r="CE113" s="59">
        <f t="shared" si="94"/>
        <v>233.85454224241693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66.10753849636059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66.10753849636059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5.0961538461538449</v>
      </c>
      <c r="CT113" s="12">
        <f>IF('Données projet'!$A$140&gt;35,CT112+CS113-DB112,IF(A113&lt;'Données projet'!$A$140,$CQ$205^A113,IF(A113='Données projet'!$A$140,'Données projet'!$B$140,CT112+CS113-DB112)))</f>
        <v>230.92948717948684</v>
      </c>
      <c r="CU113" s="17">
        <f>CT113*VLOOKUP('Données projet'!$B$13,Paramètres!$A$1:$I$89,3,0)*VLOOKUP('Données projet'!$B$13,Paramètres!$A$1:$I$89,5,0)</f>
        <v>262.98249999999962</v>
      </c>
      <c r="CV113" s="13">
        <f t="shared" si="95"/>
        <v>63.357703792404607</v>
      </c>
      <c r="CW113" s="20">
        <f t="shared" si="67"/>
        <v>568.37585493843733</v>
      </c>
      <c r="CX113" s="59">
        <f t="shared" si="68"/>
        <v>861.7091882717707</v>
      </c>
      <c r="CY113" s="59">
        <f ca="1">AVERAGE(OFFSET($CX$3,0,0,'Données projet'!$E$13+1,1))-AVERAGE(OFFSET($H$3,0,0,'Données projet'!$E$13+1,1))</f>
        <v>292.22737648725354</v>
      </c>
      <c r="CZ113" s="59">
        <f t="shared" si="96"/>
        <v>182.84038581199871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34.977023661914309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34.977023661914309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5.0961538461538449</v>
      </c>
      <c r="DO113" s="12">
        <f>IF('Données projet'!$A$166&gt;35,DO112+DN113-DW112,IF(A113&lt;'Données projet'!$A$166,$DL$205^A113,IF(A113='Données projet'!$A$166,'Données projet'!$B$166,DO112+DN113-DW112)))</f>
        <v>230.92948717948684</v>
      </c>
      <c r="DP113" s="17">
        <f>DO113*VLOOKUP('Données projet'!$B$14,Paramètres!$A$1:$I$89,3,0)*VLOOKUP('Données projet'!$B$14,Paramètres!$A$1:$I$89,5,0)</f>
        <v>252.17499999999961</v>
      </c>
      <c r="DQ113" s="13">
        <f t="shared" si="97"/>
        <v>61.051449302607054</v>
      </c>
      <c r="DR113" s="20">
        <f t="shared" si="70"/>
        <v>545.5360658687066</v>
      </c>
      <c r="DS113" s="59">
        <f t="shared" si="71"/>
        <v>838.86939920203986</v>
      </c>
      <c r="DT113" s="59">
        <f ca="1">AVERAGE(OFFSET($DS$3,0,0,'Données projet'!$E$14+1,1))-AVERAGE(OFFSET($H$3,0,0,'Données projet'!$E$14+1,1))</f>
        <v>276.52126514622455</v>
      </c>
      <c r="DU113" s="59">
        <f t="shared" si="98"/>
        <v>173.98404849503186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33.539611730602743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33.539611730602743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5.0961538461538449</v>
      </c>
      <c r="EJ113" s="12">
        <f>IF('Données projet'!$A$192&gt;35,EJ112+EI113-ER112,IF(A113&lt;'Données projet'!$A$192,$EG$205^A113,IF(A113='Données projet'!$A$192,'Données projet'!$B$192,EJ112+EI113-ER112)))</f>
        <v>230.92948717948684</v>
      </c>
      <c r="EK113" s="17">
        <f>EJ113*VLOOKUP('Données projet'!$B$15,Paramètres!$A$1:$I$89,3,0)*VLOOKUP('Données projet'!$B$15,Paramètres!$A$1:$I$89,5,0)</f>
        <v>223.35499999999968</v>
      </c>
      <c r="EL113" s="13">
        <f t="shared" si="99"/>
        <v>54.84343484273122</v>
      </c>
      <c r="EM113" s="20">
        <f t="shared" si="73"/>
        <v>484.52894068442293</v>
      </c>
      <c r="EN113" s="59">
        <f t="shared" si="74"/>
        <v>777.86227401775625</v>
      </c>
      <c r="EO113" s="59">
        <f ca="1">AVERAGE(OFFSET($EN$3,0,0,'Données projet'!$E$15+1,1))-AVERAGE(OFFSET($H$3,0,0,'Données projet'!$E$15+1,1))</f>
        <v>234.56750794375012</v>
      </c>
      <c r="EP113" s="59">
        <f t="shared" si="100"/>
        <v>150.32420541314724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29.706513247105299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29.706513247105299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1.5961632016114892E-13</v>
      </c>
      <c r="P114" s="13">
        <f t="shared" si="87"/>
        <v>2.2708641912150958E-12</v>
      </c>
      <c r="Q114" s="20">
        <f t="shared" si="107"/>
        <v>4.2330868906469593E-12</v>
      </c>
      <c r="R114" s="59">
        <f t="shared" si="55"/>
        <v>293.33333333333752</v>
      </c>
      <c r="S114" s="59">
        <f ca="1">AVERAGE(OFFSET($R$3,0,0,'Données projet'!$E$9+1,1))-AVERAGE(OFFSET($H$3,0,0,'Données projet'!$E$9+1,1))</f>
        <v>198.17898804494365</v>
      </c>
      <c r="T114" s="59">
        <f t="shared" si="88"/>
        <v>186.24772922797723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155.5897188577157</v>
      </c>
      <c r="AA114" s="21">
        <f>EXP(-LN(2)/25)*AA113+(1-EXP(-LN(2)/25))/(LN(2)/25)*Calculateur!V114*Calculateur!X114*VLOOKUP('Données projet'!$B$9,Paramètres!$A$1:$I$89,3,0)*0.475*44/12</f>
        <v>37.19005713750763</v>
      </c>
      <c r="AB114" s="21">
        <f>EXP(-LN(2)/2)*AB113+(1-EXP(-LN(2)/2))/(LN(2)/2)*V114*Y114*VLOOKUP('Données projet'!$B$9,Paramètres!$A$1:$I$89,3,0)*0.475*44/12</f>
        <v>2.7733301555190666</v>
      </c>
      <c r="AC114" s="22">
        <f t="shared" si="57"/>
        <v>195.55310615074239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278.21846622758881</v>
      </c>
      <c r="AO114" s="59">
        <f t="shared" si="90"/>
        <v>245.37578316242906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6.8461538461538511</v>
      </c>
      <c r="BD114" s="12">
        <f>IF('Données projet'!$A$88&gt;35,BD113+BC114-BL113,IF(A114&lt;'Données projet'!$A$88,$BA$205^A114,IF(A114='Données projet'!$A$88,'Données projet'!$B$88,BD113+BC114-BL113)))</f>
        <v>302.57051282051316</v>
      </c>
      <c r="BE114" s="13">
        <f>BD114*VLOOKUP('Données projet'!$B$11,Paramètres!$A$1:$I$89,3,0)*VLOOKUP('Données projet'!$B$11,Paramètres!$A$1:$I$89,5,0)</f>
        <v>273.7658000000003</v>
      </c>
      <c r="BF114" s="13">
        <f t="shared" si="91"/>
        <v>65.647821692657914</v>
      </c>
      <c r="BG114" s="20">
        <f t="shared" si="61"/>
        <v>591.14539111471311</v>
      </c>
      <c r="BH114" s="59">
        <f t="shared" si="62"/>
        <v>884.47872444804648</v>
      </c>
      <c r="BI114" s="59">
        <f ca="1">AVERAGE(OFFSET($BH$3,0,0,'Données projet'!$E$11+1,1))-AVERAGE(OFFSET($H$3,0,0,'Données projet'!$E$11+1,1))</f>
        <v>270.87836509222456</v>
      </c>
      <c r="BJ114" s="59">
        <f t="shared" si="92"/>
        <v>205.24998237949734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57.831541220118638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57.831541220118638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6.8461538461538511</v>
      </c>
      <c r="BY114" s="12">
        <f>IF('Données projet'!$A$114&gt;35,BY113+BX114-CG113,IF(A114&lt;'Données projet'!$A$114,$BV$205^A114,IF(A114='Données projet'!$A$114,'Données projet'!$B$114,BY113+BX114-CG113)))</f>
        <v>302.57051282051316</v>
      </c>
      <c r="BZ114" s="13">
        <f>BY114*VLOOKUP('Données projet'!$B$12,Paramètres!$A$1:$I$89,3,0)*VLOOKUP('Données projet'!$B$12,Paramètres!$A$1:$I$89,5,0)</f>
        <v>306.80650000000037</v>
      </c>
      <c r="CA114" s="13">
        <f t="shared" si="93"/>
        <v>72.601498865270955</v>
      </c>
      <c r="CB114" s="20">
        <f t="shared" si="64"/>
        <v>660.80226469034744</v>
      </c>
      <c r="CC114" s="59">
        <f t="shared" si="65"/>
        <v>954.13559802368081</v>
      </c>
      <c r="CD114" s="59">
        <f ca="1">AVERAGE(OFFSET($CC$3,0,0,'Données projet'!$E$12+1,1))-AVERAGE(OFFSET($H$3,0,0,'Données projet'!$E$12+1,1))</f>
        <v>312.29056285877169</v>
      </c>
      <c r="CE114" s="59">
        <f t="shared" si="94"/>
        <v>233.85454224241693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64.811209988064007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64.811209988064007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5.0961538461538449</v>
      </c>
      <c r="CT114" s="12">
        <f>IF('Données projet'!$A$140&gt;35,CT113+CS114-DB113,IF(A114&lt;'Données projet'!$A$140,$CQ$205^A114,IF(A114='Données projet'!$A$140,'Données projet'!$B$140,CT113+CS114-DB113)))</f>
        <v>236.02564102564068</v>
      </c>
      <c r="CU114" s="17">
        <f>CT114*VLOOKUP('Données projet'!$B$13,Paramètres!$A$1:$I$89,3,0)*VLOOKUP('Données projet'!$B$13,Paramètres!$A$1:$I$89,5,0)</f>
        <v>268.7859999999996</v>
      </c>
      <c r="CV114" s="13">
        <f t="shared" si="95"/>
        <v>64.591560314698725</v>
      </c>
      <c r="CW114" s="20">
        <f t="shared" si="67"/>
        <v>580.63258421476621</v>
      </c>
      <c r="CX114" s="59">
        <f t="shared" si="68"/>
        <v>873.96591754809947</v>
      </c>
      <c r="CY114" s="59">
        <f ca="1">AVERAGE(OFFSET($CX$3,0,0,'Données projet'!$E$13+1,1))-AVERAGE(OFFSET($H$3,0,0,'Données projet'!$E$13+1,1))</f>
        <v>292.22737648725354</v>
      </c>
      <c r="CZ114" s="59">
        <f t="shared" si="96"/>
        <v>182.84038581199871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34.291145561782059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34.291145561782059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5.0961538461538449</v>
      </c>
      <c r="DO114" s="12">
        <f>IF('Données projet'!$A$166&gt;35,DO113+DN114-DW113,IF(A114&lt;'Données projet'!$A$166,$DL$205^A114,IF(A114='Données projet'!$A$166,'Données projet'!$B$166,DO113+DN114-DW113)))</f>
        <v>236.02564102564068</v>
      </c>
      <c r="DP114" s="17">
        <f>DO114*VLOOKUP('Données projet'!$B$14,Paramètres!$A$1:$I$89,3,0)*VLOOKUP('Données projet'!$B$14,Paramètres!$A$1:$I$89,5,0)</f>
        <v>257.73999999999961</v>
      </c>
      <c r="DQ114" s="13">
        <f t="shared" si="97"/>
        <v>62.240392783960949</v>
      </c>
      <c r="DR114" s="20">
        <f t="shared" si="70"/>
        <v>557.2991840987313</v>
      </c>
      <c r="DS114" s="59">
        <f t="shared" si="71"/>
        <v>850.63251743206456</v>
      </c>
      <c r="DT114" s="59">
        <f ca="1">AVERAGE(OFFSET($DS$3,0,0,'Données projet'!$E$14+1,1))-AVERAGE(OFFSET($H$3,0,0,'Données projet'!$E$14+1,1))</f>
        <v>276.52126514622455</v>
      </c>
      <c r="DU114" s="59">
        <f t="shared" si="98"/>
        <v>173.98404849503186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32.881920401708804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32.881920401708804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5.0961538461538449</v>
      </c>
      <c r="EJ114" s="12">
        <f>IF('Données projet'!$A$192&gt;35,EJ113+EI114-ER113,IF(A114&lt;'Données projet'!$A$192,$EG$205^A114,IF(A114='Données projet'!$A$192,'Données projet'!$B$192,EJ113+EI114-ER113)))</f>
        <v>236.02564102564068</v>
      </c>
      <c r="EK114" s="17">
        <f>EJ114*VLOOKUP('Données projet'!$B$15,Paramètres!$A$1:$I$89,3,0)*VLOOKUP('Données projet'!$B$15,Paramètres!$A$1:$I$89,5,0)</f>
        <v>228.28399999999965</v>
      </c>
      <c r="EL114" s="13">
        <f t="shared" si="99"/>
        <v>55.911480648296354</v>
      </c>
      <c r="EM114" s="20">
        <f t="shared" si="73"/>
        <v>494.97379546244878</v>
      </c>
      <c r="EN114" s="59">
        <f t="shared" si="74"/>
        <v>788.30712879578209</v>
      </c>
      <c r="EO114" s="59">
        <f ca="1">AVERAGE(OFFSET($EN$3,0,0,'Données projet'!$E$15+1,1))-AVERAGE(OFFSET($H$3,0,0,'Données projet'!$E$15+1,1))</f>
        <v>234.56750794375012</v>
      </c>
      <c r="EP114" s="59">
        <f t="shared" si="100"/>
        <v>150.32420541314724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29.123986641513525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29.123986641513525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1.5961632016114892E-13</v>
      </c>
      <c r="P115" s="13">
        <f t="shared" si="87"/>
        <v>2.2708641912150958E-12</v>
      </c>
      <c r="Q115" s="20">
        <f t="shared" si="107"/>
        <v>4.2330868906469593E-12</v>
      </c>
      <c r="R115" s="59">
        <f t="shared" si="55"/>
        <v>293.33333333333752</v>
      </c>
      <c r="S115" s="59">
        <f ca="1">AVERAGE(OFFSET($R$3,0,0,'Données projet'!$E$9+1,1))-AVERAGE(OFFSET($H$3,0,0,'Données projet'!$E$9+1,1))</f>
        <v>198.17898804494365</v>
      </c>
      <c r="T115" s="59">
        <f t="shared" si="88"/>
        <v>186.24772922797723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152.53869937127376</v>
      </c>
      <c r="AA115" s="21">
        <f>EXP(-LN(2)/25)*AA114+(1-EXP(-LN(2)/25))/(LN(2)/25)*Calculateur!V115*Calculateur!X115*VLOOKUP('Données projet'!$B$9,Paramètres!$A$1:$I$89,3,0)*0.475*44/12</f>
        <v>36.173093069342379</v>
      </c>
      <c r="AB115" s="21">
        <f>EXP(-LN(2)/2)*AB114+(1-EXP(-LN(2)/2))/(LN(2)/2)*V115*Y115*VLOOKUP('Données projet'!$B$9,Paramètres!$A$1:$I$89,3,0)*0.475*44/12</f>
        <v>1.9610405594366747</v>
      </c>
      <c r="AC115" s="22">
        <f t="shared" si="57"/>
        <v>190.6728330000528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278.21846622758881</v>
      </c>
      <c r="AO115" s="59">
        <f t="shared" si="90"/>
        <v>245.37578316242906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6.8461538461538511</v>
      </c>
      <c r="BD115" s="12">
        <f>IF('Données projet'!$A$88&gt;35,BD114+BC115-BL114,IF(A115&lt;'Données projet'!$A$88,$BA$205^A115,IF(A115='Données projet'!$A$88,'Données projet'!$B$88,BD114+BC115-BL114)))</f>
        <v>309.41666666666703</v>
      </c>
      <c r="BE115" s="13">
        <f>BD115*VLOOKUP('Données projet'!$B$11,Paramètres!$A$1:$I$89,3,0)*VLOOKUP('Données projet'!$B$11,Paramètres!$A$1:$I$89,5,0)</f>
        <v>279.96020000000033</v>
      </c>
      <c r="BF115" s="13">
        <f t="shared" si="91"/>
        <v>66.958597927408931</v>
      </c>
      <c r="BG115" s="20">
        <f t="shared" si="61"/>
        <v>604.2169063902378</v>
      </c>
      <c r="BH115" s="59">
        <f t="shared" si="62"/>
        <v>897.55023972357117</v>
      </c>
      <c r="BI115" s="59">
        <f ca="1">AVERAGE(OFFSET($BH$3,0,0,'Données projet'!$E$11+1,1))-AVERAGE(OFFSET($H$3,0,0,'Données projet'!$E$11+1,1))</f>
        <v>270.87836509222456</v>
      </c>
      <c r="BJ115" s="59">
        <f t="shared" si="92"/>
        <v>205.24998237949734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56.697499970549259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56.697499970549259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6.8461538461538511</v>
      </c>
      <c r="BY115" s="12">
        <f>IF('Données projet'!$A$114&gt;35,BY114+BX115-CG114,IF(A115&lt;'Données projet'!$A$114,$BV$205^A115,IF(A115='Données projet'!$A$114,'Données projet'!$B$114,BY114+BX115-CG114)))</f>
        <v>309.41666666666703</v>
      </c>
      <c r="BZ115" s="13">
        <f>BY115*VLOOKUP('Données projet'!$B$12,Paramètres!$A$1:$I$89,3,0)*VLOOKUP('Données projet'!$B$12,Paramètres!$A$1:$I$89,5,0)</f>
        <v>313.74850000000038</v>
      </c>
      <c r="CA115" s="13">
        <f t="shared" si="93"/>
        <v>74.051117708153953</v>
      </c>
      <c r="CB115" s="20">
        <f t="shared" si="64"/>
        <v>675.41766750836871</v>
      </c>
      <c r="CC115" s="59">
        <f t="shared" si="65"/>
        <v>968.75100084170208</v>
      </c>
      <c r="CD115" s="59">
        <f ca="1">AVERAGE(OFFSET($CC$3,0,0,'Données projet'!$E$12+1,1))-AVERAGE(OFFSET($H$3,0,0,'Données projet'!$E$12+1,1))</f>
        <v>312.29056285877169</v>
      </c>
      <c r="CE115" s="59">
        <f t="shared" si="94"/>
        <v>233.85454224241693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63.540301691132811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63.540301691132811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5.0961538461538449</v>
      </c>
      <c r="CT115" s="12">
        <f>IF('Données projet'!$A$140&gt;35,CT114+CS115-DB114,IF(A115&lt;'Données projet'!$A$140,$CQ$205^A115,IF(A115='Données projet'!$A$140,'Données projet'!$B$140,CT114+CS115-DB114)))</f>
        <v>241.12179487179452</v>
      </c>
      <c r="CU115" s="17">
        <f>CT115*VLOOKUP('Données projet'!$B$13,Paramètres!$A$1:$I$89,3,0)*VLOOKUP('Données projet'!$B$13,Paramètres!$A$1:$I$89,5,0)</f>
        <v>274.58949999999965</v>
      </c>
      <c r="CV115" s="13">
        <f t="shared" si="95"/>
        <v>65.822319481717798</v>
      </c>
      <c r="CW115" s="20">
        <f t="shared" si="67"/>
        <v>592.88391893065784</v>
      </c>
      <c r="CX115" s="59">
        <f t="shared" si="68"/>
        <v>886.21725226399121</v>
      </c>
      <c r="CY115" s="59">
        <f ca="1">AVERAGE(OFFSET($CX$3,0,0,'Données projet'!$E$13+1,1))-AVERAGE(OFFSET($H$3,0,0,'Données projet'!$E$13+1,1))</f>
        <v>292.22737648725354</v>
      </c>
      <c r="CZ115" s="59">
        <f t="shared" si="96"/>
        <v>182.84038581199871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33.618717112849069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33.618717112849069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5.0961538461538449</v>
      </c>
      <c r="DO115" s="12">
        <f>IF('Données projet'!$A$166&gt;35,DO114+DN115-DW114,IF(A115&lt;'Données projet'!$A$166,$DL$205^A115,IF(A115='Données projet'!$A$166,'Données projet'!$B$166,DO114+DN115-DW114)))</f>
        <v>241.12179487179452</v>
      </c>
      <c r="DP115" s="17">
        <f>DO115*VLOOKUP('Données projet'!$B$14,Paramètres!$A$1:$I$89,3,0)*VLOOKUP('Données projet'!$B$14,Paramètres!$A$1:$I$89,5,0)</f>
        <v>263.30499999999961</v>
      </c>
      <c r="DQ115" s="13">
        <f t="shared" si="97"/>
        <v>63.426351655437578</v>
      </c>
      <c r="DR115" s="20">
        <f t="shared" si="70"/>
        <v>569.05710413321981</v>
      </c>
      <c r="DS115" s="59">
        <f t="shared" si="71"/>
        <v>862.39043746655307</v>
      </c>
      <c r="DT115" s="59">
        <f ca="1">AVERAGE(OFFSET($DS$3,0,0,'Données projet'!$E$14+1,1))-AVERAGE(OFFSET($H$3,0,0,'Données projet'!$E$14+1,1))</f>
        <v>276.52126514622455</v>
      </c>
      <c r="DU115" s="59">
        <f t="shared" si="98"/>
        <v>173.98404849503186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32.237125998622375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32.237125998622375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5.0961538461538449</v>
      </c>
      <c r="EJ115" s="12">
        <f>IF('Données projet'!$A$192&gt;35,EJ114+EI115-ER114,IF(A115&lt;'Données projet'!$A$192,$EG$205^A115,IF(A115='Données projet'!$A$192,'Données projet'!$B$192,EJ114+EI115-ER114)))</f>
        <v>241.12179487179452</v>
      </c>
      <c r="EK115" s="17">
        <f>EJ115*VLOOKUP('Données projet'!$B$15,Paramètres!$A$1:$I$89,3,0)*VLOOKUP('Données projet'!$B$15,Paramètres!$A$1:$I$89,5,0)</f>
        <v>233.21299999999965</v>
      </c>
      <c r="EL115" s="13">
        <f t="shared" si="99"/>
        <v>56.976845333933838</v>
      </c>
      <c r="EM115" s="20">
        <f t="shared" si="73"/>
        <v>505.41398062326749</v>
      </c>
      <c r="EN115" s="59">
        <f t="shared" si="74"/>
        <v>798.74731395660081</v>
      </c>
      <c r="EO115" s="59">
        <f ca="1">AVERAGE(OFFSET($EN$3,0,0,'Données projet'!$E$15+1,1))-AVERAGE(OFFSET($H$3,0,0,'Données projet'!$E$15+1,1))</f>
        <v>234.56750794375012</v>
      </c>
      <c r="EP115" s="59">
        <f t="shared" si="100"/>
        <v>150.32420541314724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28.55288302735126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28.55288302735126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1.5961632016114892E-13</v>
      </c>
      <c r="P116" s="13">
        <f t="shared" si="87"/>
        <v>2.2708641912150958E-12</v>
      </c>
      <c r="Q116" s="20">
        <f t="shared" si="107"/>
        <v>4.2330868906469593E-12</v>
      </c>
      <c r="R116" s="59">
        <f t="shared" si="55"/>
        <v>293.33333333333752</v>
      </c>
      <c r="S116" s="59">
        <f ca="1">AVERAGE(OFFSET($R$3,0,0,'Données projet'!$E$9+1,1))-AVERAGE(OFFSET($H$3,0,0,'Données projet'!$E$9+1,1))</f>
        <v>198.17898804494365</v>
      </c>
      <c r="T116" s="59">
        <f t="shared" si="88"/>
        <v>186.24772922797723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149.54750851602282</v>
      </c>
      <c r="AA116" s="21">
        <f>EXP(-LN(2)/25)*AA115+(1-EXP(-LN(2)/25))/(LN(2)/25)*Calculateur!V116*Calculateur!X116*VLOOKUP('Données projet'!$B$9,Paramètres!$A$1:$I$89,3,0)*0.475*44/12</f>
        <v>35.183937937100922</v>
      </c>
      <c r="AB116" s="21">
        <f>EXP(-LN(2)/2)*AB115+(1-EXP(-LN(2)/2))/(LN(2)/2)*V116*Y116*VLOOKUP('Données projet'!$B$9,Paramètres!$A$1:$I$89,3,0)*0.475*44/12</f>
        <v>1.3866650777595335</v>
      </c>
      <c r="AC116" s="22">
        <f t="shared" si="57"/>
        <v>186.11811153088328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278.21846622758881</v>
      </c>
      <c r="AO116" s="59">
        <f t="shared" si="90"/>
        <v>245.37578316242906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6.8461538461538511</v>
      </c>
      <c r="BD116" s="12">
        <f>IF('Données projet'!$A$88&gt;35,BD115+BC116-BL115,IF(A116&lt;'Données projet'!$A$88,$BA$205^A116,IF(A116='Données projet'!$A$88,'Données projet'!$B$88,BD115+BC116-BL115)))</f>
        <v>316.26282051282089</v>
      </c>
      <c r="BE116" s="13">
        <f>BD116*VLOOKUP('Données projet'!$B$11,Paramètres!$A$1:$I$89,3,0)*VLOOKUP('Données projet'!$B$11,Paramètres!$A$1:$I$89,5,0)</f>
        <v>286.15460000000036</v>
      </c>
      <c r="BF116" s="13">
        <f t="shared" si="91"/>
        <v>68.266002354364261</v>
      </c>
      <c r="BG116" s="20">
        <f t="shared" si="61"/>
        <v>617.28254910051839</v>
      </c>
      <c r="BH116" s="59">
        <f t="shared" si="62"/>
        <v>910.61588243385177</v>
      </c>
      <c r="BI116" s="59">
        <f ca="1">AVERAGE(OFFSET($BH$3,0,0,'Données projet'!$E$11+1,1))-AVERAGE(OFFSET($H$3,0,0,'Données projet'!$E$11+1,1))</f>
        <v>270.87836509222456</v>
      </c>
      <c r="BJ116" s="59">
        <f t="shared" si="92"/>
        <v>205.24998237949734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55.585696578187076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55.585696578187076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6.8461538461538511</v>
      </c>
      <c r="BY116" s="12">
        <f>IF('Données projet'!$A$114&gt;35,BY115+BX116-CG115,IF(A116&lt;'Données projet'!$A$114,$BV$205^A116,IF(A116='Données projet'!$A$114,'Données projet'!$B$114,BY115+BX116-CG115)))</f>
        <v>316.26282051282089</v>
      </c>
      <c r="BZ116" s="13">
        <f>BY116*VLOOKUP('Données projet'!$B$12,Paramètres!$A$1:$I$89,3,0)*VLOOKUP('Données projet'!$B$12,Paramètres!$A$1:$I$89,5,0)</f>
        <v>320.69050000000038</v>
      </c>
      <c r="CA116" s="13">
        <f t="shared" si="93"/>
        <v>75.497007588010661</v>
      </c>
      <c r="CB116" s="20">
        <f t="shared" si="64"/>
        <v>690.02657571578584</v>
      </c>
      <c r="CC116" s="59">
        <f t="shared" si="65"/>
        <v>983.3599090491191</v>
      </c>
      <c r="CD116" s="59">
        <f ca="1">AVERAGE(OFFSET($CC$3,0,0,'Données projet'!$E$12+1,1))-AVERAGE(OFFSET($H$3,0,0,'Données projet'!$E$12+1,1))</f>
        <v>312.29056285877169</v>
      </c>
      <c r="CE116" s="59">
        <f t="shared" si="94"/>
        <v>233.85454224241693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62.294315130726915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62.294315130726915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246.21794871794873</v>
      </c>
      <c r="CR116" s="12">
        <f>VLOOKUP(A116,'Données projet'!$A$139:$I$159,9,0)</f>
        <v>5.0961538461538449</v>
      </c>
      <c r="CS116" s="12">
        <f t="array" ref="CS116">INDEX(CR:CR,MIN(IF(ISNUMBER(CR116:CR312),ROW(CR116:CR312),"")))</f>
        <v>5.0961538461538449</v>
      </c>
      <c r="CT116" s="12">
        <f>IF('Données projet'!$A$140&gt;35,CT115+CS116-DB115,IF(A116&lt;'Données projet'!$A$140,$CQ$205^A116,IF(A116='Données projet'!$A$140,'Données projet'!$B$140,CT115+CS116-DB115)))</f>
        <v>246.21794871794836</v>
      </c>
      <c r="CU116" s="17">
        <f>CT116*VLOOKUP('Données projet'!$B$13,Paramètres!$A$1:$I$89,3,0)*VLOOKUP('Données projet'!$B$13,Paramètres!$A$1:$I$89,5,0)</f>
        <v>280.39299999999957</v>
      </c>
      <c r="CV116" s="13">
        <f t="shared" si="95"/>
        <v>67.050054297705714</v>
      </c>
      <c r="CW116" s="20">
        <f t="shared" si="67"/>
        <v>605.12998623517012</v>
      </c>
      <c r="CX116" s="59">
        <f t="shared" si="68"/>
        <v>898.46331956850349</v>
      </c>
      <c r="CY116" s="59">
        <f ca="1">AVERAGE(OFFSET($CX$3,0,0,'Données projet'!$E$13+1,1))-AVERAGE(OFFSET($H$3,0,0,'Données projet'!$E$13+1,1))</f>
        <v>292.22737648725354</v>
      </c>
      <c r="CZ116" s="59">
        <f t="shared" si="96"/>
        <v>182.84038581199871</v>
      </c>
      <c r="DA116" s="15">
        <f>IF(ISNA(VLOOKUP(A116,'Données projet'!$A$139:$I$159,3,0)),0,VLOOKUP(A116,'Données projet'!$A$139:$I$159,3,0))</f>
        <v>9</v>
      </c>
      <c r="DB116" s="15">
        <f>IF(ISNA(VLOOKUP(A116,'Données projet'!$A$139:$I$159,4,0)),0,VLOOKUP(A116,'Données projet'!$A$139:$I$159,4,0))</f>
        <v>31.602564102564099</v>
      </c>
      <c r="DC116" s="16">
        <f>IF(ISNA(VLOOKUP(A116,'Données projet'!$A$139:$I$159,5,0)),0%,VLOOKUP(A116,'Données projet'!$A$139:$I$159,5,0)*VLOOKUP('Données projet'!$B$13,Paramètres!$A$1:$I$89,7,0))</f>
        <v>0.30099999999999999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44.934691395851203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44.934691395851203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246.21794871794873</v>
      </c>
      <c r="DM116" s="12">
        <f>VLOOKUP(A116,'Données projet'!$A$165:$I$185,9,0)</f>
        <v>5.0961538461538449</v>
      </c>
      <c r="DN116" s="12">
        <f t="array" ref="DN116">INDEX(DM:DM,MIN(IF(ISNUMBER(DM116:DM312),ROW(DM116:DM312),"")))</f>
        <v>5.0961538461538449</v>
      </c>
      <c r="DO116" s="12">
        <f>IF('Données projet'!$A$166&gt;35,DO115+DN116-DW115,IF(A116&lt;'Données projet'!$A$166,$DL$205^A116,IF(A116='Données projet'!$A$166,'Données projet'!$B$166,DO115+DN116-DW115)))</f>
        <v>246.21794871794836</v>
      </c>
      <c r="DP116" s="17">
        <f>DO116*VLOOKUP('Données projet'!$B$14,Paramètres!$A$1:$I$89,3,0)*VLOOKUP('Données projet'!$B$14,Paramètres!$A$1:$I$89,5,0)</f>
        <v>268.86999999999961</v>
      </c>
      <c r="DQ116" s="13">
        <f t="shared" si="97"/>
        <v>64.609396263886765</v>
      </c>
      <c r="DR116" s="20">
        <f t="shared" si="70"/>
        <v>580.8099484929354</v>
      </c>
      <c r="DS116" s="59">
        <f t="shared" si="71"/>
        <v>874.14328182626878</v>
      </c>
      <c r="DT116" s="59">
        <f ca="1">AVERAGE(OFFSET($DS$3,0,0,'Données projet'!$E$14+1,1))-AVERAGE(OFFSET($H$3,0,0,'Données projet'!$E$14+1,1))</f>
        <v>276.52126514622455</v>
      </c>
      <c r="DU116" s="59">
        <f t="shared" si="98"/>
        <v>173.98404849503186</v>
      </c>
      <c r="DV116" s="15">
        <f>IF(ISNA(VLOOKUP(A116,'Données projet'!$A$165:$I$185,3,0)),0,VLOOKUP(A116,'Données projet'!$A$165:$I$185,3,0))</f>
        <v>9</v>
      </c>
      <c r="DW116" s="15">
        <f>IF(ISNA(VLOOKUP(A116,'Données projet'!$A$165:$I$185,4,0)),0,VLOOKUP(A116,'Données projet'!$A$165:$I$185,4,0))</f>
        <v>31.602564102564099</v>
      </c>
      <c r="DX116" s="16">
        <f>IF(ISNA(VLOOKUP(A116,'Données projet'!$A$165:$I$185,5,0)),0%,VLOOKUP(A116,'Données projet'!$A$165:$I$185,5,0)*VLOOKUP('Données projet'!$B$14,Paramètres!$A$1:$I$89,7,0))</f>
        <v>0.30099999999999999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43.088060242597031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43.088060242597031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projet'!$A$191:$I$211,2,0)</f>
        <v>246.21794871794873</v>
      </c>
      <c r="EH116" s="12">
        <f>VLOOKUP(A116,'Données projet'!$A$191:$I$211,9,0)</f>
        <v>5.0961538461538449</v>
      </c>
      <c r="EI116" s="12">
        <f t="array" ref="EI116">INDEX(EH:EH,MIN(IF(ISNUMBER(EH116:EH312),ROW(EH116:EH312),"")))</f>
        <v>5.0961538461538449</v>
      </c>
      <c r="EJ116" s="12">
        <f>IF('Données projet'!$A$192&gt;35,EJ115+EI116-ER115,IF(A116&lt;'Données projet'!$A$192,$EG$205^A116,IF(A116='Données projet'!$A$192,'Données projet'!$B$192,EJ115+EI116-ER115)))</f>
        <v>246.21794871794836</v>
      </c>
      <c r="EK116" s="17">
        <f>EJ116*VLOOKUP('Données projet'!$B$15,Paramètres!$A$1:$I$89,3,0)*VLOOKUP('Données projet'!$B$15,Paramètres!$A$1:$I$89,5,0)</f>
        <v>238.14199999999968</v>
      </c>
      <c r="EL116" s="13">
        <f t="shared" si="99"/>
        <v>58.039592093276745</v>
      </c>
      <c r="EM116" s="20">
        <f t="shared" si="73"/>
        <v>515.84960622912308</v>
      </c>
      <c r="EN116" s="59">
        <f t="shared" si="74"/>
        <v>809.18293956245634</v>
      </c>
      <c r="EO116" s="59">
        <f ca="1">AVERAGE(OFFSET($EN$3,0,0,'Données projet'!$E$15+1,1))-AVERAGE(OFFSET($H$3,0,0,'Données projet'!$E$15+1,1))</f>
        <v>234.56750794375012</v>
      </c>
      <c r="EP116" s="59">
        <f t="shared" si="100"/>
        <v>150.32420541314724</v>
      </c>
      <c r="EQ116" s="15">
        <f>IF(ISNA(VLOOKUP(A116,'Données projet'!$A$191:$I$211,3,0)),0,VLOOKUP(A116,'Données projet'!$A$191:$I$211,3,0))</f>
        <v>9</v>
      </c>
      <c r="ER116" s="15">
        <f>IF(ISNA(VLOOKUP(A116,'Données projet'!$A$191:$I$211,4,0)),0,VLOOKUP(A116,'Données projet'!$A$191:$I$211,4,0))</f>
        <v>31.602564102564099</v>
      </c>
      <c r="ES116" s="16">
        <f>IF(ISNA(VLOOKUP(A116,'Données projet'!$A$191:$I$211,5,0)),0%,VLOOKUP(A116,'Données projet'!$A$191:$I$211,5,0)*VLOOKUP('Données projet'!$B$15,Paramètres!$A$1:$I$89,7,0))</f>
        <v>0.30099999999999999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38.163710500585957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38.163710500585957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1.5961632016114892E-13</v>
      </c>
      <c r="P117" s="13">
        <f t="shared" si="87"/>
        <v>2.2708641912150958E-12</v>
      </c>
      <c r="Q117" s="20">
        <f t="shared" si="107"/>
        <v>4.2330868906469593E-12</v>
      </c>
      <c r="R117" s="59">
        <f t="shared" si="55"/>
        <v>293.33333333333752</v>
      </c>
      <c r="S117" s="59">
        <f ca="1">AVERAGE(OFFSET($R$3,0,0,'Données projet'!$E$9+1,1))-AVERAGE(OFFSET($H$3,0,0,'Données projet'!$E$9+1,1))</f>
        <v>198.17898804494365</v>
      </c>
      <c r="T117" s="59">
        <f t="shared" si="88"/>
        <v>186.24772922797723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146.61497308899706</v>
      </c>
      <c r="AA117" s="21">
        <f>EXP(-LN(2)/25)*AA116+(1-EXP(-LN(2)/25))/(LN(2)/25)*Calculateur!V117*Calculateur!X117*VLOOKUP('Données projet'!$B$9,Paramètres!$A$1:$I$89,3,0)*0.475*44/12</f>
        <v>34.221831303968017</v>
      </c>
      <c r="AB117" s="21">
        <f>EXP(-LN(2)/2)*AB116+(1-EXP(-LN(2)/2))/(LN(2)/2)*V117*Y117*VLOOKUP('Données projet'!$B$9,Paramètres!$A$1:$I$89,3,0)*0.475*44/12</f>
        <v>0.98052027971833744</v>
      </c>
      <c r="AC117" s="22">
        <f t="shared" si="57"/>
        <v>181.81732467268341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278.21846622758881</v>
      </c>
      <c r="AO117" s="59">
        <f t="shared" si="90"/>
        <v>245.37578316242906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6.8461538461538511</v>
      </c>
      <c r="BD117" s="12">
        <f>IF('Données projet'!$A$88&gt;35,BD116+BC117-BL116,IF(A117&lt;'Données projet'!$A$88,$BA$205^A117,IF(A117='Données projet'!$A$88,'Données projet'!$B$88,BD116+BC117-BL116)))</f>
        <v>323.10897435897476</v>
      </c>
      <c r="BE117" s="13">
        <f>BD117*VLOOKUP('Données projet'!$B$11,Paramètres!$A$1:$I$89,3,0)*VLOOKUP('Données projet'!$B$11,Paramètres!$A$1:$I$89,5,0)</f>
        <v>292.34900000000033</v>
      </c>
      <c r="BF117" s="13">
        <f t="shared" si="91"/>
        <v>69.570116369442999</v>
      </c>
      <c r="BG117" s="20">
        <f t="shared" si="61"/>
        <v>630.34246101011377</v>
      </c>
      <c r="BH117" s="59">
        <f t="shared" si="62"/>
        <v>923.67579434344702</v>
      </c>
      <c r="BI117" s="59">
        <f ca="1">AVERAGE(OFFSET($BH$3,0,0,'Données projet'!$E$11+1,1))-AVERAGE(OFFSET($H$3,0,0,'Données projet'!$E$11+1,1))</f>
        <v>270.87836509222456</v>
      </c>
      <c r="BJ117" s="59">
        <f t="shared" si="92"/>
        <v>205.24998237949734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54.495694972216008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54.495694972216008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6.8461538461538511</v>
      </c>
      <c r="BY117" s="12">
        <f>IF('Données projet'!$A$114&gt;35,BY116+BX117-CG116,IF(A117&lt;'Données projet'!$A$114,$BV$205^A117,IF(A117='Données projet'!$A$114,'Données projet'!$B$114,BY116+BX117-CG116)))</f>
        <v>323.10897435897476</v>
      </c>
      <c r="BZ117" s="13">
        <f>BY117*VLOOKUP('Données projet'!$B$12,Paramètres!$A$1:$I$89,3,0)*VLOOKUP('Données projet'!$B$12,Paramètres!$A$1:$I$89,5,0)</f>
        <v>327.63250000000045</v>
      </c>
      <c r="CA117" s="13">
        <f t="shared" si="93"/>
        <v>76.939258522537983</v>
      </c>
      <c r="CB117" s="20">
        <f t="shared" si="64"/>
        <v>704.62914609342113</v>
      </c>
      <c r="CC117" s="59">
        <f t="shared" si="65"/>
        <v>997.9624794267545</v>
      </c>
      <c r="CD117" s="59">
        <f ca="1">AVERAGE(OFFSET($CC$3,0,0,'Données projet'!$E$12+1,1))-AVERAGE(OFFSET($H$3,0,0,'Données projet'!$E$12+1,1))</f>
        <v>312.29056285877169</v>
      </c>
      <c r="CE117" s="59">
        <f t="shared" si="94"/>
        <v>233.85454224241693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61.072761606793819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61.072761606793819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5.3066239316239274</v>
      </c>
      <c r="CT117" s="12">
        <f>IF('Données projet'!$A$140&gt;35,CT116+CS117-DB116,IF(A117&lt;'Données projet'!$A$140,$CQ$205^A117,IF(A117='Données projet'!$A$140,'Données projet'!$B$140,CT116+CS117-DB116)))</f>
        <v>219.9220085470082</v>
      </c>
      <c r="CU117" s="17">
        <f>CT117*VLOOKUP('Données projet'!$B$13,Paramètres!$A$1:$I$89,3,0)*VLOOKUP('Données projet'!$B$13,Paramètres!$A$1:$I$89,5,0)</f>
        <v>250.44718333333293</v>
      </c>
      <c r="CV117" s="13">
        <f t="shared" si="95"/>
        <v>60.681688470632949</v>
      </c>
      <c r="CW117" s="20">
        <f t="shared" si="67"/>
        <v>541.88278505857386</v>
      </c>
      <c r="CX117" s="59">
        <f t="shared" si="68"/>
        <v>835.21611839190723</v>
      </c>
      <c r="CY117" s="59">
        <f ca="1">AVERAGE(OFFSET($CX$3,0,0,'Données projet'!$E$13+1,1))-AVERAGE(OFFSET($H$3,0,0,'Données projet'!$E$13+1,1))</f>
        <v>292.22737648725354</v>
      </c>
      <c r="CZ117" s="59">
        <f t="shared" si="96"/>
        <v>182.84038581199871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44.053549505034049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44.053549505034049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5.3066239316239274</v>
      </c>
      <c r="DO117" s="12">
        <f>IF('Données projet'!$A$166&gt;35,DO116+DN117-DW116,IF(A117&lt;'Données projet'!$A$166,$DL$205^A117,IF(A117='Données projet'!$A$166,'Données projet'!$B$166,DO116+DN117-DW116)))</f>
        <v>219.9220085470082</v>
      </c>
      <c r="DP117" s="17">
        <f>DO117*VLOOKUP('Données projet'!$B$14,Paramètres!$A$1:$I$89,3,0)*VLOOKUP('Données projet'!$B$14,Paramètres!$A$1:$I$89,5,0)</f>
        <v>240.15483333333293</v>
      </c>
      <c r="DQ117" s="13">
        <f t="shared" si="97"/>
        <v>58.472842377623692</v>
      </c>
      <c r="DR117" s="20">
        <f t="shared" si="70"/>
        <v>520.10986852991607</v>
      </c>
      <c r="DS117" s="59">
        <f t="shared" si="71"/>
        <v>813.44320186324944</v>
      </c>
      <c r="DT117" s="59">
        <f ca="1">AVERAGE(OFFSET($DS$3,0,0,'Données projet'!$E$14+1,1))-AVERAGE(OFFSET($H$3,0,0,'Données projet'!$E$14+1,1))</f>
        <v>276.52126514622455</v>
      </c>
      <c r="DU117" s="59">
        <f t="shared" si="98"/>
        <v>173.98404849503186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42.243129662361405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42.243129662361405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5.3066239316239274</v>
      </c>
      <c r="EJ117" s="12">
        <f>IF('Données projet'!$A$192&gt;35,EJ116+EI117-ER116,IF(A117&lt;'Données projet'!$A$192,$EG$205^A117,IF(A117='Données projet'!$A$192,'Données projet'!$B$192,EJ116+EI117-ER116)))</f>
        <v>219.9220085470082</v>
      </c>
      <c r="EK117" s="17">
        <f>EJ117*VLOOKUP('Données projet'!$B$15,Paramètres!$A$1:$I$89,3,0)*VLOOKUP('Données projet'!$B$15,Paramètres!$A$1:$I$89,5,0)</f>
        <v>212.70856666666631</v>
      </c>
      <c r="EL117" s="13">
        <f t="shared" si="99"/>
        <v>52.527033471579792</v>
      </c>
      <c r="EM117" s="20">
        <f t="shared" si="73"/>
        <v>461.95200357411198</v>
      </c>
      <c r="EN117" s="59">
        <f t="shared" si="74"/>
        <v>755.2853369074453</v>
      </c>
      <c r="EO117" s="59">
        <f ca="1">AVERAGE(OFFSET($EN$3,0,0,'Données projet'!$E$15+1,1))-AVERAGE(OFFSET($H$3,0,0,'Données projet'!$E$15+1,1))</f>
        <v>234.56750794375012</v>
      </c>
      <c r="EP117" s="59">
        <f t="shared" si="100"/>
        <v>150.32420541314724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37.415343415234403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37.415343415234403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1.5961632016114892E-13</v>
      </c>
      <c r="P118" s="13">
        <f t="shared" si="87"/>
        <v>2.2708641912150958E-12</v>
      </c>
      <c r="Q118" s="20">
        <f t="shared" si="107"/>
        <v>4.2330868906469593E-12</v>
      </c>
      <c r="R118" s="59">
        <f t="shared" si="55"/>
        <v>293.33333333333752</v>
      </c>
      <c r="S118" s="59">
        <f ca="1">AVERAGE(OFFSET($R$3,0,0,'Données projet'!$E$9+1,1))-AVERAGE(OFFSET($H$3,0,0,'Données projet'!$E$9+1,1))</f>
        <v>198.17898804494365</v>
      </c>
      <c r="T118" s="59">
        <f t="shared" si="88"/>
        <v>186.24772922797723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143.7399428930253</v>
      </c>
      <c r="AA118" s="21">
        <f>EXP(-LN(2)/25)*AA117+(1-EXP(-LN(2)/25))/(LN(2)/25)*Calculateur!V118*Calculateur!X118*VLOOKUP('Données projet'!$B$9,Paramètres!$A$1:$I$89,3,0)*0.475*44/12</f>
        <v>33.286033527313116</v>
      </c>
      <c r="AB118" s="21">
        <f>EXP(-LN(2)/2)*AB117+(1-EXP(-LN(2)/2))/(LN(2)/2)*V118*Y118*VLOOKUP('Données projet'!$B$9,Paramètres!$A$1:$I$89,3,0)*0.475*44/12</f>
        <v>0.69333253887976687</v>
      </c>
      <c r="AC118" s="22">
        <f t="shared" si="57"/>
        <v>177.71930895921818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278.21846622758881</v>
      </c>
      <c r="AO118" s="59">
        <f t="shared" si="90"/>
        <v>245.37578316242906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6.8461538461538511</v>
      </c>
      <c r="BD118" s="12">
        <f>IF('Données projet'!$A$88&gt;35,BD117+BC118-BL117,IF(A118&lt;'Données projet'!$A$88,$BA$205^A118,IF(A118='Données projet'!$A$88,'Données projet'!$B$88,BD117+BC118-BL117)))</f>
        <v>329.95512820512863</v>
      </c>
      <c r="BE118" s="13">
        <f>BD118*VLOOKUP('Données projet'!$B$11,Paramètres!$A$1:$I$89,3,0)*VLOOKUP('Données projet'!$B$11,Paramètres!$A$1:$I$89,5,0)</f>
        <v>298.54340000000036</v>
      </c>
      <c r="BF118" s="13">
        <f t="shared" si="91"/>
        <v>70.871017722198957</v>
      </c>
      <c r="BG118" s="20">
        <f t="shared" si="61"/>
        <v>643.39677753283047</v>
      </c>
      <c r="BH118" s="59">
        <f t="shared" si="62"/>
        <v>936.73011086616384</v>
      </c>
      <c r="BI118" s="59">
        <f ca="1">AVERAGE(OFFSET($BH$3,0,0,'Données projet'!$E$11+1,1))-AVERAGE(OFFSET($H$3,0,0,'Données projet'!$E$11+1,1))</f>
        <v>270.87836509222456</v>
      </c>
      <c r="BJ118" s="59">
        <f t="shared" si="92"/>
        <v>205.24998237949734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53.427067632902698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53.427067632902698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6.8461538461538511</v>
      </c>
      <c r="BY118" s="12">
        <f>IF('Données projet'!$A$114&gt;35,BY117+BX118-CG117,IF(A118&lt;'Données projet'!$A$114,$BV$205^A118,IF(A118='Données projet'!$A$114,'Données projet'!$B$114,BY117+BX118-CG117)))</f>
        <v>329.95512820512863</v>
      </c>
      <c r="BZ118" s="13">
        <f>BY118*VLOOKUP('Données projet'!$B$12,Paramètres!$A$1:$I$89,3,0)*VLOOKUP('Données projet'!$B$12,Paramètres!$A$1:$I$89,5,0)</f>
        <v>334.57450000000046</v>
      </c>
      <c r="CA118" s="13">
        <f t="shared" si="93"/>
        <v>78.377956496830535</v>
      </c>
      <c r="CB118" s="20">
        <f t="shared" si="64"/>
        <v>719.22552839864738</v>
      </c>
      <c r="CC118" s="59">
        <f t="shared" si="65"/>
        <v>1012.5588617319806</v>
      </c>
      <c r="CD118" s="59">
        <f ca="1">AVERAGE(OFFSET($CC$3,0,0,'Données projet'!$E$12+1,1))-AVERAGE(OFFSET($H$3,0,0,'Données projet'!$E$12+1,1))</f>
        <v>312.29056285877169</v>
      </c>
      <c r="CE118" s="59">
        <f t="shared" si="94"/>
        <v>233.85454224241693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59.875162002390972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59.875162002390972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5.3066239316239274</v>
      </c>
      <c r="CT118" s="12">
        <f>IF('Données projet'!$A$140&gt;35,CT117+CS118-DB117,IF(A118&lt;'Données projet'!$A$140,$CQ$205^A118,IF(A118='Données projet'!$A$140,'Données projet'!$B$140,CT117+CS118-DB117)))</f>
        <v>225.22863247863214</v>
      </c>
      <c r="CU118" s="17">
        <f>CT118*VLOOKUP('Données projet'!$B$13,Paramètres!$A$1:$I$89,3,0)*VLOOKUP('Données projet'!$B$13,Paramètres!$A$1:$I$89,5,0)</f>
        <v>256.49036666666626</v>
      </c>
      <c r="CV118" s="13">
        <f t="shared" si="95"/>
        <v>61.97367525320027</v>
      </c>
      <c r="CW118" s="20">
        <f t="shared" si="67"/>
        <v>554.65820634376746</v>
      </c>
      <c r="CX118" s="59">
        <f t="shared" si="68"/>
        <v>847.99153967710072</v>
      </c>
      <c r="CY118" s="59">
        <f ca="1">AVERAGE(OFFSET($CX$3,0,0,'Données projet'!$E$13+1,1))-AVERAGE(OFFSET($H$3,0,0,'Données projet'!$E$13+1,1))</f>
        <v>292.22737648725354</v>
      </c>
      <c r="CZ118" s="59">
        <f t="shared" si="96"/>
        <v>182.84038581199871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43.189686269252334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43.189686269252334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5.3066239316239274</v>
      </c>
      <c r="DO118" s="12">
        <f>IF('Données projet'!$A$166&gt;35,DO117+DN118-DW117,IF(A118&lt;'Données projet'!$A$166,$DL$205^A118,IF(A118='Données projet'!$A$166,'Données projet'!$B$166,DO117+DN118-DW117)))</f>
        <v>225.22863247863214</v>
      </c>
      <c r="DP118" s="17">
        <f>DO118*VLOOKUP('Données projet'!$B$14,Paramètres!$A$1:$I$89,3,0)*VLOOKUP('Données projet'!$B$14,Paramètres!$A$1:$I$89,5,0)</f>
        <v>245.94966666666627</v>
      </c>
      <c r="DQ118" s="13">
        <f t="shared" si="97"/>
        <v>59.717800146516254</v>
      </c>
      <c r="DR118" s="20">
        <f t="shared" si="70"/>
        <v>532.37083803295957</v>
      </c>
      <c r="DS118" s="59">
        <f t="shared" si="71"/>
        <v>825.70417136629294</v>
      </c>
      <c r="DT118" s="59">
        <f ca="1">AVERAGE(OFFSET($DS$3,0,0,'Données projet'!$E$14+1,1))-AVERAGE(OFFSET($H$3,0,0,'Données projet'!$E$14+1,1))</f>
        <v>276.52126514622455</v>
      </c>
      <c r="DU118" s="59">
        <f t="shared" si="98"/>
        <v>173.98404849503186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41.414767655447434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41.414767655447434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5.3066239316239274</v>
      </c>
      <c r="EJ118" s="12">
        <f>IF('Données projet'!$A$192&gt;35,EJ117+EI118-ER117,IF(A118&lt;'Données projet'!$A$192,$EG$205^A118,IF(A118='Données projet'!$A$192,'Données projet'!$B$192,EJ117+EI118-ER117)))</f>
        <v>225.22863247863214</v>
      </c>
      <c r="EK118" s="17">
        <f>EJ118*VLOOKUP('Données projet'!$B$15,Paramètres!$A$1:$I$89,3,0)*VLOOKUP('Données projet'!$B$15,Paramètres!$A$1:$I$89,5,0)</f>
        <v>217.84113333333303</v>
      </c>
      <c r="EL118" s="13">
        <f t="shared" si="99"/>
        <v>53.645397753839269</v>
      </c>
      <c r="EM118" s="20">
        <f t="shared" si="73"/>
        <v>472.83904164349178</v>
      </c>
      <c r="EN118" s="59">
        <f t="shared" si="74"/>
        <v>766.17237497682504</v>
      </c>
      <c r="EO118" s="59">
        <f ca="1">AVERAGE(OFFSET($EN$3,0,0,'Données projet'!$E$15+1,1))-AVERAGE(OFFSET($H$3,0,0,'Données projet'!$E$15+1,1))</f>
        <v>234.56750794375012</v>
      </c>
      <c r="EP118" s="59">
        <f t="shared" si="100"/>
        <v>150.32420541314724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36.681651351967744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36.681651351967744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1.5961632016114892E-13</v>
      </c>
      <c r="P119" s="13">
        <f t="shared" si="87"/>
        <v>2.2708641912150958E-12</v>
      </c>
      <c r="Q119" s="20">
        <f t="shared" si="107"/>
        <v>4.2330868906469593E-12</v>
      </c>
      <c r="R119" s="59">
        <f t="shared" si="55"/>
        <v>293.33333333333752</v>
      </c>
      <c r="S119" s="59">
        <f ca="1">AVERAGE(OFFSET($R$3,0,0,'Données projet'!$E$9+1,1))-AVERAGE(OFFSET($H$3,0,0,'Données projet'!$E$9+1,1))</f>
        <v>198.17898804494365</v>
      </c>
      <c r="T119" s="59">
        <f t="shared" si="88"/>
        <v>186.24772922797723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140.92129028560129</v>
      </c>
      <c r="AA119" s="21">
        <f>EXP(-LN(2)/25)*AA118+(1-EXP(-LN(2)/25))/(LN(2)/25)*Calculateur!V119*Calculateur!X119*VLOOKUP('Données projet'!$B$9,Paramètres!$A$1:$I$89,3,0)*0.475*44/12</f>
        <v>32.375825190072312</v>
      </c>
      <c r="AB119" s="21">
        <f>EXP(-LN(2)/2)*AB118+(1-EXP(-LN(2)/2))/(LN(2)/2)*V119*Y119*VLOOKUP('Données projet'!$B$9,Paramètres!$A$1:$I$89,3,0)*0.475*44/12</f>
        <v>0.49026013985916878</v>
      </c>
      <c r="AC119" s="22">
        <f t="shared" si="57"/>
        <v>173.78737561553277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278.21846622758881</v>
      </c>
      <c r="AO119" s="59">
        <f t="shared" si="90"/>
        <v>245.37578316242906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6.8461538461538511</v>
      </c>
      <c r="BD119" s="12">
        <f>IF('Données projet'!$A$88&gt;35,BD118+BC119-BL118,IF(A119&lt;'Données projet'!$A$88,$BA$205^A119,IF(A119='Données projet'!$A$88,'Données projet'!$B$88,BD118+BC119-BL118)))</f>
        <v>336.8012820512825</v>
      </c>
      <c r="BE119" s="13">
        <f>BD119*VLOOKUP('Données projet'!$B$11,Paramètres!$A$1:$I$89,3,0)*VLOOKUP('Données projet'!$B$11,Paramètres!$A$1:$I$89,5,0)</f>
        <v>304.73780000000039</v>
      </c>
      <c r="BF119" s="13">
        <f t="shared" si="91"/>
        <v>72.168780751383139</v>
      </c>
      <c r="BG119" s="20">
        <f t="shared" si="61"/>
        <v>656.4456281419931</v>
      </c>
      <c r="BH119" s="59">
        <f t="shared" si="62"/>
        <v>949.77896147532647</v>
      </c>
      <c r="BI119" s="59">
        <f ca="1">AVERAGE(OFFSET($BH$3,0,0,'Données projet'!$E$11+1,1))-AVERAGE(OFFSET($H$3,0,0,'Données projet'!$E$11+1,1))</f>
        <v>270.87836509222456</v>
      </c>
      <c r="BJ119" s="59">
        <f t="shared" si="92"/>
        <v>205.24998237949734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52.379395423915007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52.379395423915007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6.8461538461538511</v>
      </c>
      <c r="BY119" s="12">
        <f>IF('Données projet'!$A$114&gt;35,BY118+BX119-CG118,IF(A119&lt;'Données projet'!$A$114,$BV$205^A119,IF(A119='Données projet'!$A$114,'Données projet'!$B$114,BY118+BX119-CG118)))</f>
        <v>336.8012820512825</v>
      </c>
      <c r="BZ119" s="13">
        <f>BY119*VLOOKUP('Données projet'!$B$12,Paramètres!$A$1:$I$89,3,0)*VLOOKUP('Données projet'!$B$12,Paramètres!$A$1:$I$89,5,0)</f>
        <v>341.51650000000046</v>
      </c>
      <c r="CA119" s="13">
        <f t="shared" si="93"/>
        <v>79.813183723893872</v>
      </c>
      <c r="CB119" s="20">
        <f t="shared" si="64"/>
        <v>733.81586581911597</v>
      </c>
      <c r="CC119" s="59">
        <f t="shared" si="65"/>
        <v>1027.1491991524492</v>
      </c>
      <c r="CD119" s="59">
        <f ca="1">AVERAGE(OFFSET($CC$3,0,0,'Données projet'!$E$12+1,1))-AVERAGE(OFFSET($H$3,0,0,'Données projet'!$E$12+1,1))</f>
        <v>312.29056285877169</v>
      </c>
      <c r="CE119" s="59">
        <f t="shared" si="94"/>
        <v>233.85454224241693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58.701046595766833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58.701046595766833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5.3066239316239274</v>
      </c>
      <c r="CT119" s="12">
        <f>IF('Données projet'!$A$140&gt;35,CT118+CS119-DB118,IF(A119&lt;'Données projet'!$A$140,$CQ$205^A119,IF(A119='Données projet'!$A$140,'Données projet'!$B$140,CT118+CS119-DB118)))</f>
        <v>230.53525641025607</v>
      </c>
      <c r="CU119" s="17">
        <f>CT119*VLOOKUP('Données projet'!$B$13,Paramètres!$A$1:$I$89,3,0)*VLOOKUP('Données projet'!$B$13,Paramètres!$A$1:$I$89,5,0)</f>
        <v>262.53354999999965</v>
      </c>
      <c r="CV119" s="13">
        <f t="shared" si="95"/>
        <v>63.262123261668613</v>
      </c>
      <c r="CW119" s="20">
        <f t="shared" si="67"/>
        <v>567.42746426407223</v>
      </c>
      <c r="CX119" s="59">
        <f t="shared" si="68"/>
        <v>860.7607975974056</v>
      </c>
      <c r="CY119" s="59">
        <f ca="1">AVERAGE(OFFSET($CX$3,0,0,'Données projet'!$E$13+1,1))-AVERAGE(OFFSET($H$3,0,0,'Données projet'!$E$13+1,1))</f>
        <v>292.22737648725354</v>
      </c>
      <c r="CZ119" s="59">
        <f t="shared" si="96"/>
        <v>182.84038581199871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42.342762864619758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42.342762864619758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5.3066239316239274</v>
      </c>
      <c r="DO119" s="12">
        <f>IF('Données projet'!$A$166&gt;35,DO118+DN119-DW118,IF(A119&lt;'Données projet'!$A$166,$DL$205^A119,IF(A119='Données projet'!$A$166,'Données projet'!$B$166,DO118+DN119-DW118)))</f>
        <v>230.53525641025607</v>
      </c>
      <c r="DP119" s="17">
        <f>DO119*VLOOKUP('Données projet'!$B$14,Paramètres!$A$1:$I$89,3,0)*VLOOKUP('Données projet'!$B$14,Paramètres!$A$1:$I$89,5,0)</f>
        <v>251.74449999999962</v>
      </c>
      <c r="DQ119" s="13">
        <f t="shared" si="97"/>
        <v>60.959347954590065</v>
      </c>
      <c r="DR119" s="20">
        <f t="shared" si="70"/>
        <v>544.62586852091033</v>
      </c>
      <c r="DS119" s="59">
        <f t="shared" si="71"/>
        <v>837.9592018542437</v>
      </c>
      <c r="DT119" s="59">
        <f ca="1">AVERAGE(OFFSET($DS$3,0,0,'Données projet'!$E$14+1,1))-AVERAGE(OFFSET($H$3,0,0,'Données projet'!$E$14+1,1))</f>
        <v>276.52126514622455</v>
      </c>
      <c r="DU119" s="59">
        <f t="shared" si="98"/>
        <v>173.98404849503186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40.602649322238115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40.602649322238115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5.3066239316239274</v>
      </c>
      <c r="EJ119" s="12">
        <f>IF('Données projet'!$A$192&gt;35,EJ118+EI119-ER118,IF(A119&lt;'Données projet'!$A$192,$EG$205^A119,IF(A119='Données projet'!$A$192,'Données projet'!$B$192,EJ118+EI119-ER118)))</f>
        <v>230.53525641025607</v>
      </c>
      <c r="EK119" s="17">
        <f>EJ119*VLOOKUP('Données projet'!$B$15,Paramètres!$A$1:$I$89,3,0)*VLOOKUP('Données projet'!$B$15,Paramètres!$A$1:$I$89,5,0)</f>
        <v>222.97369999999967</v>
      </c>
      <c r="EL119" s="13">
        <f t="shared" si="99"/>
        <v>54.76069881702513</v>
      </c>
      <c r="EM119" s="20">
        <f t="shared" si="73"/>
        <v>483.72074460631808</v>
      </c>
      <c r="EN119" s="59">
        <f t="shared" si="74"/>
        <v>777.05407793965139</v>
      </c>
      <c r="EO119" s="59">
        <f ca="1">AVERAGE(OFFSET($EN$3,0,0,'Données projet'!$E$15+1,1))-AVERAGE(OFFSET($H$3,0,0,'Données projet'!$E$15+1,1))</f>
        <v>234.56750794375012</v>
      </c>
      <c r="EP119" s="59">
        <f t="shared" si="100"/>
        <v>150.32420541314724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35.962346542553774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35.962346542553774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1.5961632016114892E-13</v>
      </c>
      <c r="P120" s="13">
        <f t="shared" si="87"/>
        <v>2.2708641912150958E-12</v>
      </c>
      <c r="Q120" s="20">
        <f t="shared" si="107"/>
        <v>4.2330868906469593E-12</v>
      </c>
      <c r="R120" s="59">
        <f t="shared" si="55"/>
        <v>293.33333333333752</v>
      </c>
      <c r="S120" s="59">
        <f ca="1">AVERAGE(OFFSET($R$3,0,0,'Données projet'!$E$9+1,1))-AVERAGE(OFFSET($H$3,0,0,'Données projet'!$E$9+1,1))</f>
        <v>198.17898804494365</v>
      </c>
      <c r="T120" s="59">
        <f t="shared" si="88"/>
        <v>186.24772922797723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138.15790973660052</v>
      </c>
      <c r="AA120" s="21">
        <f>EXP(-LN(2)/25)*AA119+(1-EXP(-LN(2)/25))/(LN(2)/25)*Calculateur!V120*Calculateur!X120*VLOOKUP('Données projet'!$B$9,Paramètres!$A$1:$I$89,3,0)*0.475*44/12</f>
        <v>31.490506547679136</v>
      </c>
      <c r="AB120" s="21">
        <f>EXP(-LN(2)/2)*AB119+(1-EXP(-LN(2)/2))/(LN(2)/2)*V120*Y120*VLOOKUP('Données projet'!$B$9,Paramètres!$A$1:$I$89,3,0)*0.475*44/12</f>
        <v>0.34666626943988349</v>
      </c>
      <c r="AC120" s="22">
        <f t="shared" si="57"/>
        <v>169.99508255371953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278.21846622758881</v>
      </c>
      <c r="AO120" s="59">
        <f t="shared" si="90"/>
        <v>245.37578316242906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6.8461538461538511</v>
      </c>
      <c r="BD120" s="12">
        <f>IF('Données projet'!$A$88&gt;35,BD119+BC120-BL119,IF(A120&lt;'Données projet'!$A$88,$BA$205^A120,IF(A120='Données projet'!$A$88,'Données projet'!$B$88,BD119+BC120-BL119)))</f>
        <v>343.64743589743637</v>
      </c>
      <c r="BE120" s="13">
        <f>BD120*VLOOKUP('Données projet'!$B$11,Paramètres!$A$1:$I$89,3,0)*VLOOKUP('Données projet'!$B$11,Paramètres!$A$1:$I$89,5,0)</f>
        <v>310.93220000000042</v>
      </c>
      <c r="BF120" s="13">
        <f t="shared" si="91"/>
        <v>73.463476600811546</v>
      </c>
      <c r="BG120" s="20">
        <f t="shared" si="61"/>
        <v>669.48913674641415</v>
      </c>
      <c r="BH120" s="59">
        <f t="shared" si="62"/>
        <v>962.82247007974752</v>
      </c>
      <c r="BI120" s="59">
        <f ca="1">AVERAGE(OFFSET($BH$3,0,0,'Données projet'!$E$11+1,1))-AVERAGE(OFFSET($H$3,0,0,'Données projet'!$E$11+1,1))</f>
        <v>270.87836509222456</v>
      </c>
      <c r="BJ120" s="59">
        <f t="shared" si="92"/>
        <v>205.24998237949734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51.352267427928609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51.352267427928609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6.8461538461538511</v>
      </c>
      <c r="BY120" s="12">
        <f>IF('Données projet'!$A$114&gt;35,BY119+BX120-CG119,IF(A120&lt;'Données projet'!$A$114,$BV$205^A120,IF(A120='Données projet'!$A$114,'Données projet'!$B$114,BY119+BX120-CG119)))</f>
        <v>343.64743589743637</v>
      </c>
      <c r="BZ120" s="13">
        <f>BY120*VLOOKUP('Données projet'!$B$12,Paramètres!$A$1:$I$89,3,0)*VLOOKUP('Données projet'!$B$12,Paramètres!$A$1:$I$89,5,0)</f>
        <v>348.45850000000053</v>
      </c>
      <c r="CA120" s="13">
        <f t="shared" si="93"/>
        <v>81.245018883378833</v>
      </c>
      <c r="CB120" s="20">
        <f t="shared" si="64"/>
        <v>748.40029538855242</v>
      </c>
      <c r="CC120" s="59">
        <f t="shared" si="65"/>
        <v>1041.7336287218857</v>
      </c>
      <c r="CD120" s="59">
        <f ca="1">AVERAGE(OFFSET($CC$3,0,0,'Données projet'!$E$12+1,1))-AVERAGE(OFFSET($H$3,0,0,'Données projet'!$E$12+1,1))</f>
        <v>312.29056285877169</v>
      </c>
      <c r="CE120" s="59">
        <f t="shared" si="94"/>
        <v>233.85454224241693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57.549954876126904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57.549954876126904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5.3066239316239274</v>
      </c>
      <c r="CT120" s="12">
        <f>IF('Données projet'!$A$140&gt;35,CT119+CS120-DB119,IF(A120&lt;'Données projet'!$A$140,$CQ$205^A120,IF(A120='Données projet'!$A$140,'Données projet'!$B$140,CT119+CS120-DB119)))</f>
        <v>235.84188034188</v>
      </c>
      <c r="CU120" s="17">
        <f>CT120*VLOOKUP('Données projet'!$B$13,Paramètres!$A$1:$I$89,3,0)*VLOOKUP('Données projet'!$B$13,Paramètres!$A$1:$I$89,5,0)</f>
        <v>268.57673333333292</v>
      </c>
      <c r="CV120" s="13">
        <f t="shared" si="95"/>
        <v>64.547123330251253</v>
      </c>
      <c r="CW120" s="20">
        <f t="shared" si="67"/>
        <v>580.1907170224091</v>
      </c>
      <c r="CX120" s="59">
        <f t="shared" si="68"/>
        <v>873.52405035574247</v>
      </c>
      <c r="CY120" s="59">
        <f ca="1">AVERAGE(OFFSET($CX$3,0,0,'Données projet'!$E$13+1,1))-AVERAGE(OFFSET($H$3,0,0,'Données projet'!$E$13+1,1))</f>
        <v>292.22737648725354</v>
      </c>
      <c r="CZ120" s="59">
        <f t="shared" si="96"/>
        <v>182.84038581199871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41.51244711137975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41.51244711137975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5.3066239316239274</v>
      </c>
      <c r="DO120" s="12">
        <f>IF('Données projet'!$A$166&gt;35,DO119+DN120-DW119,IF(A120&lt;'Données projet'!$A$166,$DL$205^A120,IF(A120='Données projet'!$A$166,'Données projet'!$B$166,DO119+DN120-DW119)))</f>
        <v>235.84188034188</v>
      </c>
      <c r="DP120" s="17">
        <f>DO120*VLOOKUP('Données projet'!$B$14,Paramètres!$A$1:$I$89,3,0)*VLOOKUP('Données projet'!$B$14,Paramètres!$A$1:$I$89,5,0)</f>
        <v>257.53933333333293</v>
      </c>
      <c r="DQ120" s="13">
        <f t="shared" si="97"/>
        <v>62.197573329644214</v>
      </c>
      <c r="DR120" s="20">
        <f t="shared" si="70"/>
        <v>556.8751124380185</v>
      </c>
      <c r="DS120" s="59">
        <f t="shared" si="71"/>
        <v>850.20844577135176</v>
      </c>
      <c r="DT120" s="59">
        <f ca="1">AVERAGE(OFFSET($DS$3,0,0,'Données projet'!$E$14+1,1))-AVERAGE(OFFSET($H$3,0,0,'Données projet'!$E$14+1,1))</f>
        <v>276.52126514622455</v>
      </c>
      <c r="DU120" s="59">
        <f t="shared" si="98"/>
        <v>173.98404849503186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39.806456134199756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39.806456134199756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5.3066239316239274</v>
      </c>
      <c r="EJ120" s="12">
        <f>IF('Données projet'!$A$192&gt;35,EJ119+EI120-ER119,IF(A120&lt;'Données projet'!$A$192,$EG$205^A120,IF(A120='Données projet'!$A$192,'Données projet'!$B$192,EJ119+EI120-ER119)))</f>
        <v>235.84188034188</v>
      </c>
      <c r="EK120" s="17">
        <f>EJ120*VLOOKUP('Données projet'!$B$15,Paramètres!$A$1:$I$89,3,0)*VLOOKUP('Données projet'!$B$15,Paramètres!$A$1:$I$89,5,0)</f>
        <v>228.10626666666633</v>
      </c>
      <c r="EL120" s="13">
        <f t="shared" si="99"/>
        <v>55.873015288675091</v>
      </c>
      <c r="EM120" s="20">
        <f t="shared" si="73"/>
        <v>494.59724940555299</v>
      </c>
      <c r="EN120" s="59">
        <f t="shared" si="74"/>
        <v>787.9305827388863</v>
      </c>
      <c r="EO120" s="59">
        <f ca="1">AVERAGE(OFFSET($EN$3,0,0,'Données projet'!$E$15+1,1))-AVERAGE(OFFSET($H$3,0,0,'Données projet'!$E$15+1,1))</f>
        <v>234.56750794375012</v>
      </c>
      <c r="EP120" s="59">
        <f t="shared" si="100"/>
        <v>150.32420541314724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35.257146861719797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35.257146861719797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1.5961632016114892E-13</v>
      </c>
      <c r="P121" s="13">
        <f t="shared" si="87"/>
        <v>2.2708641912150958E-12</v>
      </c>
      <c r="Q121" s="20">
        <f t="shared" si="107"/>
        <v>4.2330868906469593E-12</v>
      </c>
      <c r="R121" s="59">
        <f t="shared" si="55"/>
        <v>293.33333333333752</v>
      </c>
      <c r="S121" s="59">
        <f ca="1">AVERAGE(OFFSET($R$3,0,0,'Données projet'!$E$9+1,1))-AVERAGE(OFFSET($H$3,0,0,'Données projet'!$E$9+1,1))</f>
        <v>198.17898804494365</v>
      </c>
      <c r="T121" s="59">
        <f t="shared" si="88"/>
        <v>186.24772922797723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135.44871739466996</v>
      </c>
      <c r="AA121" s="21">
        <f>EXP(-LN(2)/25)*AA120+(1-EXP(-LN(2)/25))/(LN(2)/25)*Calculateur!V121*Calculateur!X121*VLOOKUP('Données projet'!$B$9,Paramètres!$A$1:$I$89,3,0)*0.475*44/12</f>
        <v>30.629396990119083</v>
      </c>
      <c r="AB121" s="21">
        <f>EXP(-LN(2)/2)*AB120+(1-EXP(-LN(2)/2))/(LN(2)/2)*V121*Y121*VLOOKUP('Données projet'!$B$9,Paramètres!$A$1:$I$89,3,0)*0.475*44/12</f>
        <v>0.24513006992958444</v>
      </c>
      <c r="AC121" s="22">
        <f t="shared" si="57"/>
        <v>166.32324445471863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278.21846622758881</v>
      </c>
      <c r="AO121" s="59">
        <f t="shared" si="90"/>
        <v>245.37578316242906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6.8461538461538511</v>
      </c>
      <c r="BD121" s="12">
        <f>IF('Données projet'!$A$88&gt;35,BD120+BC121-BL120,IF(A121&lt;'Données projet'!$A$88,$BA$205^A121,IF(A121='Données projet'!$A$88,'Données projet'!$B$88,BD120+BC121-BL120)))</f>
        <v>350.49358974359023</v>
      </c>
      <c r="BE121" s="13">
        <f>BD121*VLOOKUP('Données projet'!$B$11,Paramètres!$A$1:$I$89,3,0)*VLOOKUP('Données projet'!$B$11,Paramètres!$A$1:$I$89,5,0)</f>
        <v>317.12660000000039</v>
      </c>
      <c r="BF121" s="13">
        <f t="shared" si="91"/>
        <v>74.755173417545677</v>
      </c>
      <c r="BG121" s="20">
        <f t="shared" si="61"/>
        <v>682.52742203555931</v>
      </c>
      <c r="BH121" s="59">
        <f t="shared" si="62"/>
        <v>975.86075536889257</v>
      </c>
      <c r="BI121" s="59">
        <f ca="1">AVERAGE(OFFSET($BH$3,0,0,'Données projet'!$E$11+1,1))-AVERAGE(OFFSET($H$3,0,0,'Données projet'!$E$11+1,1))</f>
        <v>270.87836509222456</v>
      </c>
      <c r="BJ121" s="59">
        <f t="shared" si="92"/>
        <v>205.24998237949734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50.345280785457291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50.345280785457291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6.8461538461538511</v>
      </c>
      <c r="BY121" s="12">
        <f>IF('Données projet'!$A$114&gt;35,BY120+BX121-CG120,IF(A121&lt;'Données projet'!$A$114,$BV$205^A121,IF(A121='Données projet'!$A$114,'Données projet'!$B$114,BY120+BX121-CG120)))</f>
        <v>350.49358974359023</v>
      </c>
      <c r="BZ121" s="13">
        <f>BY121*VLOOKUP('Données projet'!$B$12,Paramètres!$A$1:$I$89,3,0)*VLOOKUP('Données projet'!$B$12,Paramètres!$A$1:$I$89,5,0)</f>
        <v>355.40050000000053</v>
      </c>
      <c r="CA121" s="13">
        <f t="shared" si="93"/>
        <v>82.673537340753484</v>
      </c>
      <c r="CB121" s="20">
        <f t="shared" si="64"/>
        <v>762.97894836847979</v>
      </c>
      <c r="CC121" s="59">
        <f t="shared" si="65"/>
        <v>1056.3122817018132</v>
      </c>
      <c r="CD121" s="59">
        <f ca="1">AVERAGE(OFFSET($CC$3,0,0,'Données projet'!$E$12+1,1))-AVERAGE(OFFSET($H$3,0,0,'Données projet'!$E$12+1,1))</f>
        <v>312.29056285877169</v>
      </c>
      <c r="CE121" s="59">
        <f t="shared" si="94"/>
        <v>233.85454224241693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56.421435363012492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56.421435363012492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5.3066239316239274</v>
      </c>
      <c r="CT121" s="12">
        <f>IF('Données projet'!$A$140&gt;35,CT120+CS121-DB120,IF(A121&lt;'Données projet'!$A$140,$CQ$205^A121,IF(A121='Données projet'!$A$140,'Données projet'!$B$140,CT120+CS121-DB120)))</f>
        <v>241.14850427350393</v>
      </c>
      <c r="CU121" s="17">
        <f>CT121*VLOOKUP('Données projet'!$B$13,Paramètres!$A$1:$I$89,3,0)*VLOOKUP('Données projet'!$B$13,Paramètres!$A$1:$I$89,5,0)</f>
        <v>274.61991666666631</v>
      </c>
      <c r="CV121" s="13">
        <f t="shared" si="95"/>
        <v>65.828761972142118</v>
      </c>
      <c r="CW121" s="20">
        <f t="shared" si="67"/>
        <v>592.94811529592459</v>
      </c>
      <c r="CX121" s="59">
        <f t="shared" si="68"/>
        <v>886.28144862925797</v>
      </c>
      <c r="CY121" s="59">
        <f ca="1">AVERAGE(OFFSET($CX$3,0,0,'Données projet'!$E$13+1,1))-AVERAGE(OFFSET($H$3,0,0,'Données projet'!$E$13+1,1))</f>
        <v>292.22737648725354</v>
      </c>
      <c r="CZ121" s="59">
        <f t="shared" si="96"/>
        <v>182.84038581199871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40.698413343618178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40.698413343618178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5.3066239316239274</v>
      </c>
      <c r="DO121" s="12">
        <f>IF('Données projet'!$A$166&gt;35,DO120+DN121-DW120,IF(A121&lt;'Données projet'!$A$166,$DL$205^A121,IF(A121='Données projet'!$A$166,'Données projet'!$B$166,DO120+DN121-DW120)))</f>
        <v>241.14850427350393</v>
      </c>
      <c r="DP121" s="17">
        <f>DO121*VLOOKUP('Données projet'!$B$14,Paramètres!$A$1:$I$89,3,0)*VLOOKUP('Données projet'!$B$14,Paramètres!$A$1:$I$89,5,0)</f>
        <v>263.33416666666631</v>
      </c>
      <c r="DQ121" s="13">
        <f t="shared" si="97"/>
        <v>63.432559635745825</v>
      </c>
      <c r="DR121" s="20">
        <f t="shared" si="70"/>
        <v>569.11871497670109</v>
      </c>
      <c r="DS121" s="59">
        <f t="shared" si="71"/>
        <v>862.45204831003434</v>
      </c>
      <c r="DT121" s="59">
        <f ca="1">AVERAGE(OFFSET($DS$3,0,0,'Données projet'!$E$14+1,1))-AVERAGE(OFFSET($H$3,0,0,'Données projet'!$E$14+1,1))</f>
        <v>276.52126514622455</v>
      </c>
      <c r="DU121" s="59">
        <f t="shared" si="98"/>
        <v>173.98404849503186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39.025875808948932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39.025875808948932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5.3066239316239274</v>
      </c>
      <c r="EJ121" s="12">
        <f>IF('Données projet'!$A$192&gt;35,EJ120+EI121-ER120,IF(A121&lt;'Données projet'!$A$192,$EG$205^A121,IF(A121='Données projet'!$A$192,'Données projet'!$B$192,EJ120+EI121-ER120)))</f>
        <v>241.14850427350393</v>
      </c>
      <c r="EK121" s="17">
        <f>EJ121*VLOOKUP('Données projet'!$B$15,Paramètres!$A$1:$I$89,3,0)*VLOOKUP('Données projet'!$B$15,Paramètres!$A$1:$I$89,5,0)</f>
        <v>233.23883333333302</v>
      </c>
      <c r="EL121" s="13">
        <f t="shared" si="99"/>
        <v>56.982422055984379</v>
      </c>
      <c r="EM121" s="20">
        <f t="shared" si="73"/>
        <v>505.4686864697278</v>
      </c>
      <c r="EN121" s="59">
        <f t="shared" si="74"/>
        <v>798.80201980306106</v>
      </c>
      <c r="EO121" s="59">
        <f ca="1">AVERAGE(OFFSET($EN$3,0,0,'Données projet'!$E$15+1,1))-AVERAGE(OFFSET($H$3,0,0,'Données projet'!$E$15+1,1))</f>
        <v>234.56750794375012</v>
      </c>
      <c r="EP121" s="59">
        <f t="shared" si="100"/>
        <v>150.32420541314724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34.56577571649764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34.56577571649764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1.5961632016114892E-13</v>
      </c>
      <c r="P122" s="13">
        <f t="shared" si="87"/>
        <v>2.2708641912150958E-12</v>
      </c>
      <c r="Q122" s="20">
        <f t="shared" si="107"/>
        <v>4.2330868906469593E-12</v>
      </c>
      <c r="R122" s="59">
        <f t="shared" si="55"/>
        <v>293.33333333333752</v>
      </c>
      <c r="S122" s="59">
        <f ca="1">AVERAGE(OFFSET($R$3,0,0,'Données projet'!$E$9+1,1))-AVERAGE(OFFSET($H$3,0,0,'Données projet'!$E$9+1,1))</f>
        <v>198.17898804494365</v>
      </c>
      <c r="T122" s="59">
        <f t="shared" si="88"/>
        <v>186.24772922797723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132.79265066212048</v>
      </c>
      <c r="AA122" s="21">
        <f>EXP(-LN(2)/25)*AA121+(1-EXP(-LN(2)/25))/(LN(2)/25)*Calculateur!V122*Calculateur!X122*VLOOKUP('Données projet'!$B$9,Paramètres!$A$1:$I$89,3,0)*0.475*44/12</f>
        <v>29.791834518694294</v>
      </c>
      <c r="AB122" s="21">
        <f>EXP(-LN(2)/2)*AB121+(1-EXP(-LN(2)/2))/(LN(2)/2)*V122*Y122*VLOOKUP('Données projet'!$B$9,Paramètres!$A$1:$I$89,3,0)*0.475*44/12</f>
        <v>0.17333313471994177</v>
      </c>
      <c r="AC122" s="22">
        <f t="shared" si="57"/>
        <v>162.75781831553471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278.21846622758881</v>
      </c>
      <c r="AO122" s="59">
        <f t="shared" si="90"/>
        <v>245.37578316242906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>
        <f>VLOOKUP(A122,'Données projet'!$A$87:$I$107,2,0)</f>
        <v>357.33974358974359</v>
      </c>
      <c r="BB122" s="12">
        <f>VLOOKUP(A122,'Données projet'!$A$87:$I$107,9,0)</f>
        <v>6.8461538461538511</v>
      </c>
      <c r="BC122" s="12">
        <f t="array" ref="BC122">INDEX(BB:BB,MIN(IF(ISNUMBER(BB122:BB318),ROW(BB122:BB318),"")))</f>
        <v>6.8461538461538511</v>
      </c>
      <c r="BD122" s="12">
        <f>IF('Données projet'!$A$88&gt;35,BD121+BC122-BL121,IF(A122&lt;'Données projet'!$A$88,$BA$205^A122,IF(A122='Données projet'!$A$88,'Données projet'!$B$88,BD121+BC122-BL121)))</f>
        <v>357.3397435897441</v>
      </c>
      <c r="BE122" s="13">
        <f>BD122*VLOOKUP('Données projet'!$B$11,Paramètres!$A$1:$I$89,3,0)*VLOOKUP('Données projet'!$B$11,Paramètres!$A$1:$I$89,5,0)</f>
        <v>323.32100000000048</v>
      </c>
      <c r="BF122" s="13">
        <f t="shared" si="91"/>
        <v>76.043936534151186</v>
      </c>
      <c r="BG122" s="20">
        <f t="shared" si="61"/>
        <v>695.56059779698069</v>
      </c>
      <c r="BH122" s="59">
        <f t="shared" si="62"/>
        <v>988.89393113031406</v>
      </c>
      <c r="BI122" s="59">
        <f ca="1">AVERAGE(OFFSET($BH$3,0,0,'Données projet'!$E$11+1,1))-AVERAGE(OFFSET($H$3,0,0,'Données projet'!$E$11+1,1))</f>
        <v>270.87836509222456</v>
      </c>
      <c r="BJ122" s="59">
        <f t="shared" si="92"/>
        <v>205.24998237949734</v>
      </c>
      <c r="BK122" s="15">
        <f>IF(ISNA(VLOOKUP(A122,'Données projet'!$A$87:$I$107,3,0)),0,VLOOKUP(A122,'Données projet'!$A$87:$I$107,3,0))</f>
        <v>11</v>
      </c>
      <c r="BL122" s="15">
        <f>IF(ISNA(VLOOKUP(A122,'Données projet'!$A$87:$I$107,4,0)),0,VLOOKUP(A122,'Données projet'!$A$87:$I$107,4,0))</f>
        <v>150.02564102564102</v>
      </c>
      <c r="BM122" s="16">
        <f>IF(ISNA(VLOOKUP(A122,'Données projet'!$A$87:$I$107,5,0)),0%,VLOOKUP(A122,'Données projet'!$A$87:$I$107,5,0)*VLOOKUP('Données projet'!$B$11,Paramètres!$A$1:$I$89,7,0))</f>
        <v>0.38700000000000001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107.43129413735127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107.43129413735127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>
        <f>VLOOKUP(A122,'Données projet'!$A$113:$I$133,2,0)</f>
        <v>357.33974358974359</v>
      </c>
      <c r="BW122" s="12">
        <f>VLOOKUP(A122,'Données projet'!$A$113:$I$133,9,0)</f>
        <v>6.8461538461538511</v>
      </c>
      <c r="BX122" s="12">
        <f t="array" ref="BX122">INDEX(BW:BW,MIN(IF(ISNUMBER(BW122:BW318),ROW(BW122:BW318),"")))</f>
        <v>6.8461538461538511</v>
      </c>
      <c r="BY122" s="12">
        <f>IF('Données projet'!$A$114&gt;35,BY121+BX122-CG121,IF(A122&lt;'Données projet'!$A$114,$BV$205^A122,IF(A122='Données projet'!$A$114,'Données projet'!$B$114,BY121+BX122-CG121)))</f>
        <v>357.3397435897441</v>
      </c>
      <c r="BZ122" s="13">
        <f>BY122*VLOOKUP('Données projet'!$B$12,Paramètres!$A$1:$I$89,3,0)*VLOOKUP('Données projet'!$B$12,Paramètres!$A$1:$I$89,5,0)</f>
        <v>362.34250000000054</v>
      </c>
      <c r="CA122" s="13">
        <f t="shared" si="93"/>
        <v>84.098811348867258</v>
      </c>
      <c r="CB122" s="20">
        <f t="shared" si="64"/>
        <v>777.55195059927792</v>
      </c>
      <c r="CC122" s="59">
        <f t="shared" si="65"/>
        <v>1070.8852839326112</v>
      </c>
      <c r="CD122" s="59">
        <f ca="1">AVERAGE(OFFSET($CC$3,0,0,'Données projet'!$E$12+1,1))-AVERAGE(OFFSET($H$3,0,0,'Données projet'!$E$12+1,1))</f>
        <v>312.29056285877169</v>
      </c>
      <c r="CE122" s="59">
        <f t="shared" si="94"/>
        <v>233.85454224241693</v>
      </c>
      <c r="CF122" s="15">
        <f>IF(ISNA(VLOOKUP(A122,'Données projet'!$A$113:$I$133,3,0)),0,VLOOKUP(A122,'Données projet'!$A$113:$I$133,3,0))</f>
        <v>11</v>
      </c>
      <c r="CG122" s="15">
        <f>IF(ISNA(VLOOKUP(A122,'Données projet'!$A$113:$I$133,4,0)),0,VLOOKUP(A122,'Données projet'!$A$113:$I$133,4,0))</f>
        <v>150.02564102564102</v>
      </c>
      <c r="CH122" s="16">
        <f>IF(ISNA(VLOOKUP(A122,'Données projet'!$A$113:$I$133,5,0)),0%,VLOOKUP(A122,'Données projet'!$A$113:$I$133,5,0)*VLOOKUP('Données projet'!$B$12,Paramètres!$A$1:$I$89,7,0))</f>
        <v>0.38700000000000001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120.39713998151436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120.39713998151436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5.3066239316239274</v>
      </c>
      <c r="CT122" s="12">
        <f>IF('Données projet'!$A$140&gt;35,CT121+CS122-DB121,IF(A122&lt;'Données projet'!$A$140,$CQ$205^A122,IF(A122='Données projet'!$A$140,'Données projet'!$B$140,CT121+CS122-DB121)))</f>
        <v>246.45512820512786</v>
      </c>
      <c r="CU122" s="17">
        <f>CT122*VLOOKUP('Données projet'!$B$13,Paramètres!$A$1:$I$89,3,0)*VLOOKUP('Données projet'!$B$13,Paramètres!$A$1:$I$89,5,0)</f>
        <v>280.66309999999959</v>
      </c>
      <c r="CV122" s="13">
        <f t="shared" si="95"/>
        <v>67.107121675560919</v>
      </c>
      <c r="CW122" s="20">
        <f t="shared" si="67"/>
        <v>605.69980275160117</v>
      </c>
      <c r="CX122" s="59">
        <f t="shared" si="68"/>
        <v>899.03313608493454</v>
      </c>
      <c r="CY122" s="59">
        <f ca="1">AVERAGE(OFFSET($CX$3,0,0,'Données projet'!$E$13+1,1))-AVERAGE(OFFSET($H$3,0,0,'Données projet'!$E$13+1,1))</f>
        <v>292.22737648725354</v>
      </c>
      <c r="CZ122" s="59">
        <f t="shared" si="96"/>
        <v>182.84038581199871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39.90034228153084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39.90034228153084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5.3066239316239274</v>
      </c>
      <c r="DO122" s="12">
        <f>IF('Données projet'!$A$166&gt;35,DO121+DN122-DW121,IF(A122&lt;'Données projet'!$A$166,$DL$205^A122,IF(A122='Données projet'!$A$166,'Données projet'!$B$166,DO121+DN122-DW121)))</f>
        <v>246.45512820512786</v>
      </c>
      <c r="DP122" s="17">
        <f>DO122*VLOOKUP('Données projet'!$B$14,Paramètres!$A$1:$I$89,3,0)*VLOOKUP('Données projet'!$B$14,Paramètres!$A$1:$I$89,5,0)</f>
        <v>269.12899999999962</v>
      </c>
      <c r="DQ122" s="13">
        <f t="shared" si="97"/>
        <v>64.664386358499087</v>
      </c>
      <c r="DR122" s="20">
        <f t="shared" si="70"/>
        <v>581.35681457438523</v>
      </c>
      <c r="DS122" s="59">
        <f t="shared" si="71"/>
        <v>874.69014790771848</v>
      </c>
      <c r="DT122" s="59">
        <f ca="1">AVERAGE(OFFSET($DS$3,0,0,'Données projet'!$E$14+1,1))-AVERAGE(OFFSET($H$3,0,0,'Données projet'!$E$14+1,1))</f>
        <v>276.52126514622455</v>
      </c>
      <c r="DU122" s="59">
        <f t="shared" si="98"/>
        <v>173.98404849503186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38.260602187769294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38.260602187769294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5.3066239316239274</v>
      </c>
      <c r="EJ122" s="12">
        <f>IF('Données projet'!$A$192&gt;35,EJ121+EI122-ER121,IF(A122&lt;'Données projet'!$A$192,$EG$205^A122,IF(A122='Données projet'!$A$192,'Données projet'!$B$192,EJ121+EI122-ER121)))</f>
        <v>246.45512820512786</v>
      </c>
      <c r="EK122" s="17">
        <f>EJ122*VLOOKUP('Données projet'!$B$15,Paramètres!$A$1:$I$89,3,0)*VLOOKUP('Données projet'!$B$15,Paramètres!$A$1:$I$89,5,0)</f>
        <v>238.37139999999968</v>
      </c>
      <c r="EL122" s="13">
        <f t="shared" si="99"/>
        <v>58.088990522066126</v>
      </c>
      <c r="EM122" s="20">
        <f t="shared" si="73"/>
        <v>516.33518015926472</v>
      </c>
      <c r="EN122" s="59">
        <f t="shared" si="74"/>
        <v>809.66851349259809</v>
      </c>
      <c r="EO122" s="59">
        <f ca="1">AVERAGE(OFFSET($EN$3,0,0,'Données projet'!$E$15+1,1))-AVERAGE(OFFSET($H$3,0,0,'Données projet'!$E$15+1,1))</f>
        <v>234.56750794375012</v>
      </c>
      <c r="EP122" s="59">
        <f t="shared" si="100"/>
        <v>150.32420541314724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33.887961937738531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33.887961937738531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1.5961632016114892E-13</v>
      </c>
      <c r="P123" s="13">
        <f t="shared" si="87"/>
        <v>2.2708641912150958E-12</v>
      </c>
      <c r="Q123" s="20">
        <f t="shared" si="107"/>
        <v>4.2330868906469593E-12</v>
      </c>
      <c r="R123" s="59">
        <f t="shared" si="55"/>
        <v>293.33333333333752</v>
      </c>
      <c r="S123" s="59">
        <f ca="1">AVERAGE(OFFSET($R$3,0,0,'Données projet'!$E$9+1,1))-AVERAGE(OFFSET($H$3,0,0,'Données projet'!$E$9+1,1))</f>
        <v>198.17898804494365</v>
      </c>
      <c r="T123" s="59">
        <f t="shared" si="88"/>
        <v>186.24772922797723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130.18866777815555</v>
      </c>
      <c r="AA123" s="21">
        <f>EXP(-LN(2)/25)*AA122+(1-EXP(-LN(2)/25))/(LN(2)/25)*Calculateur!V123*Calculateur!X123*VLOOKUP('Données projet'!$B$9,Paramètres!$A$1:$I$89,3,0)*0.475*44/12</f>
        <v>28.977175237096112</v>
      </c>
      <c r="AB123" s="21">
        <f>EXP(-LN(2)/2)*AB122+(1-EXP(-LN(2)/2))/(LN(2)/2)*V123*Y123*VLOOKUP('Données projet'!$B$9,Paramètres!$A$1:$I$89,3,0)*0.475*44/12</f>
        <v>0.12256503496479224</v>
      </c>
      <c r="AC123" s="22">
        <f t="shared" si="57"/>
        <v>159.28840805021645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278.21846622758881</v>
      </c>
      <c r="AO123" s="59">
        <f t="shared" si="90"/>
        <v>245.37578316242906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3.8301282051282044</v>
      </c>
      <c r="BD123" s="12">
        <f>IF('Données projet'!$A$88&gt;35,BD122+BC123-BL122,IF(A123&lt;'Données projet'!$A$88,$BA$205^A123,IF(A123='Données projet'!$A$88,'Données projet'!$B$88,BD122+BC123-BL122)))</f>
        <v>211.14423076923126</v>
      </c>
      <c r="BE123" s="13">
        <f>BD123*VLOOKUP('Données projet'!$B$11,Paramètres!$A$1:$I$89,3,0)*VLOOKUP('Données projet'!$B$11,Paramètres!$A$1:$I$89,5,0)</f>
        <v>191.04330000000041</v>
      </c>
      <c r="BF123" s="13">
        <f t="shared" si="91"/>
        <v>47.770538104647592</v>
      </c>
      <c r="BG123" s="20">
        <f t="shared" si="61"/>
        <v>415.93410136559527</v>
      </c>
      <c r="BH123" s="59">
        <f t="shared" si="62"/>
        <v>709.26743469892858</v>
      </c>
      <c r="BI123" s="59">
        <f ca="1">AVERAGE(OFFSET($BH$3,0,0,'Données projet'!$E$11+1,1))-AVERAGE(OFFSET($H$3,0,0,'Données projet'!$E$11+1,1))</f>
        <v>270.87836509222456</v>
      </c>
      <c r="BJ123" s="59">
        <f t="shared" si="92"/>
        <v>205.24998237949734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105.32463198593702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105.32463198593702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3.8301282051282044</v>
      </c>
      <c r="BY123" s="12">
        <f>IF('Données projet'!$A$114&gt;35,BY122+BX123-CG122,IF(A123&lt;'Données projet'!$A$114,$BV$205^A123,IF(A123='Données projet'!$A$114,'Données projet'!$B$114,BY122+BX123-CG122)))</f>
        <v>211.14423076923126</v>
      </c>
      <c r="BZ123" s="13">
        <f>BY123*VLOOKUP('Données projet'!$B$12,Paramètres!$A$1:$I$89,3,0)*VLOOKUP('Données projet'!$B$12,Paramètres!$A$1:$I$89,5,0)</f>
        <v>214.1002500000005</v>
      </c>
      <c r="CA123" s="13">
        <f t="shared" si="93"/>
        <v>52.83058262367053</v>
      </c>
      <c r="CB123" s="20">
        <f t="shared" si="64"/>
        <v>464.90453348622708</v>
      </c>
      <c r="CC123" s="59">
        <f t="shared" si="65"/>
        <v>758.2378668195604</v>
      </c>
      <c r="CD123" s="59">
        <f ca="1">AVERAGE(OFFSET($CC$3,0,0,'Données projet'!$E$12+1,1))-AVERAGE(OFFSET($H$3,0,0,'Données projet'!$E$12+1,1))</f>
        <v>312.29056285877169</v>
      </c>
      <c r="CE123" s="59">
        <f t="shared" si="94"/>
        <v>233.85454224241693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118.03622550148114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118.03622550148114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5.3066239316239274</v>
      </c>
      <c r="CT123" s="12">
        <f>IF('Données projet'!$A$140&gt;35,CT122+CS123-DB122,IF(A123&lt;'Données projet'!$A$140,$CQ$205^A123,IF(A123='Données projet'!$A$140,'Données projet'!$B$140,CT122+CS123-DB122)))</f>
        <v>251.7617521367518</v>
      </c>
      <c r="CU123" s="17">
        <f>CT123*VLOOKUP('Données projet'!$B$13,Paramètres!$A$1:$I$89,3,0)*VLOOKUP('Données projet'!$B$13,Paramètres!$A$1:$I$89,5,0)</f>
        <v>286.70628333333298</v>
      </c>
      <c r="CV123" s="13">
        <f t="shared" si="95"/>
        <v>68.382281173581404</v>
      </c>
      <c r="CW123" s="20">
        <f t="shared" si="67"/>
        <v>618.44591651620919</v>
      </c>
      <c r="CX123" s="59">
        <f t="shared" si="68"/>
        <v>911.77924984954257</v>
      </c>
      <c r="CY123" s="59">
        <f ca="1">AVERAGE(OFFSET($CX$3,0,0,'Données projet'!$E$13+1,1))-AVERAGE(OFFSET($H$3,0,0,'Données projet'!$E$13+1,1))</f>
        <v>292.22737648725354</v>
      </c>
      <c r="CZ123" s="59">
        <f t="shared" si="96"/>
        <v>182.84038581199871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39.117920906195749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39.117920906195749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5.3066239316239274</v>
      </c>
      <c r="DO123" s="12">
        <f>IF('Données projet'!$A$166&gt;35,DO122+DN123-DW122,IF(A123&lt;'Données projet'!$A$166,$DL$205^A123,IF(A123='Données projet'!$A$166,'Données projet'!$B$166,DO122+DN123-DW122)))</f>
        <v>251.7617521367518</v>
      </c>
      <c r="DP123" s="17">
        <f>DO123*VLOOKUP('Données projet'!$B$14,Paramètres!$A$1:$I$89,3,0)*VLOOKUP('Données projet'!$B$14,Paramètres!$A$1:$I$89,5,0)</f>
        <v>274.92383333333299</v>
      </c>
      <c r="DQ123" s="13">
        <f t="shared" si="97"/>
        <v>65.893129365051479</v>
      </c>
      <c r="DR123" s="20">
        <f t="shared" si="70"/>
        <v>593.58954336635293</v>
      </c>
      <c r="DS123" s="59">
        <f t="shared" si="71"/>
        <v>886.92287669968619</v>
      </c>
      <c r="DT123" s="59">
        <f ca="1">AVERAGE(OFFSET($DS$3,0,0,'Données projet'!$E$14+1,1))-AVERAGE(OFFSET($H$3,0,0,'Données projet'!$E$14+1,1))</f>
        <v>276.52126514622455</v>
      </c>
      <c r="DU123" s="59">
        <f t="shared" si="98"/>
        <v>173.98404849503186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37.510335115530168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37.510335115530168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5.3066239316239274</v>
      </c>
      <c r="EJ123" s="12">
        <f>IF('Données projet'!$A$192&gt;35,EJ122+EI123-ER122,IF(A123&lt;'Données projet'!$A$192,$EG$205^A123,IF(A123='Données projet'!$A$192,'Données projet'!$B$192,EJ122+EI123-ER122)))</f>
        <v>251.7617521367518</v>
      </c>
      <c r="EK123" s="17">
        <f>EJ123*VLOOKUP('Données projet'!$B$15,Paramètres!$A$1:$I$89,3,0)*VLOOKUP('Données projet'!$B$15,Paramètres!$A$1:$I$89,5,0)</f>
        <v>243.50396666666632</v>
      </c>
      <c r="EL123" s="13">
        <f t="shared" si="99"/>
        <v>59.192788839519665</v>
      </c>
      <c r="EM123" s="20">
        <f t="shared" si="73"/>
        <v>527.19684917327379</v>
      </c>
      <c r="EN123" s="59">
        <f t="shared" si="74"/>
        <v>820.53018250660716</v>
      </c>
      <c r="EO123" s="59">
        <f ca="1">AVERAGE(OFFSET($EN$3,0,0,'Données projet'!$E$15+1,1))-AVERAGE(OFFSET($H$3,0,0,'Données projet'!$E$15+1,1))</f>
        <v>234.56750794375012</v>
      </c>
      <c r="EP123" s="59">
        <f t="shared" si="100"/>
        <v>150.32420541314724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33.223439673755308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33.223439673755308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1.5961632016114892E-13</v>
      </c>
      <c r="P124" s="13">
        <f t="shared" si="87"/>
        <v>2.2708641912150958E-12</v>
      </c>
      <c r="Q124" s="20">
        <f t="shared" si="107"/>
        <v>4.2330868906469593E-12</v>
      </c>
      <c r="R124" s="59">
        <f t="shared" si="55"/>
        <v>293.33333333333752</v>
      </c>
      <c r="S124" s="59">
        <f ca="1">AVERAGE(OFFSET($R$3,0,0,'Données projet'!$E$9+1,1))-AVERAGE(OFFSET($H$3,0,0,'Données projet'!$E$9+1,1))</f>
        <v>198.17898804494365</v>
      </c>
      <c r="T124" s="59">
        <f t="shared" si="88"/>
        <v>186.24772922797723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127.63574741027244</v>
      </c>
      <c r="AA124" s="21">
        <f>EXP(-LN(2)/25)*AA123+(1-EXP(-LN(2)/25))/(LN(2)/25)*Calculateur!V124*Calculateur!X124*VLOOKUP('Données projet'!$B$9,Paramètres!$A$1:$I$89,3,0)*0.475*44/12</f>
        <v>28.184792856394303</v>
      </c>
      <c r="AB124" s="21">
        <f>EXP(-LN(2)/2)*AB123+(1-EXP(-LN(2)/2))/(LN(2)/2)*V124*Y124*VLOOKUP('Données projet'!$B$9,Paramètres!$A$1:$I$89,3,0)*0.475*44/12</f>
        <v>8.66665673599709E-2</v>
      </c>
      <c r="AC124" s="22">
        <f t="shared" si="57"/>
        <v>155.90720683402671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278.21846622758881</v>
      </c>
      <c r="AO124" s="59">
        <f t="shared" si="90"/>
        <v>245.37578316242906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3.8301282051282044</v>
      </c>
      <c r="BD124" s="12">
        <f>IF('Données projet'!$A$88&gt;35,BD123+BC124-BL123,IF(A124&lt;'Données projet'!$A$88,$BA$205^A124,IF(A124='Données projet'!$A$88,'Données projet'!$B$88,BD123+BC124-BL123)))</f>
        <v>214.97435897435946</v>
      </c>
      <c r="BE124" s="13">
        <f>BD124*VLOOKUP('Données projet'!$B$11,Paramètres!$A$1:$I$89,3,0)*VLOOKUP('Données projet'!$B$11,Paramètres!$A$1:$I$89,5,0)</f>
        <v>194.50880000000043</v>
      </c>
      <c r="BF124" s="13">
        <f t="shared" si="91"/>
        <v>48.535419780989194</v>
      </c>
      <c r="BG124" s="20">
        <f t="shared" si="61"/>
        <v>423.30201611855699</v>
      </c>
      <c r="BH124" s="59">
        <f t="shared" si="62"/>
        <v>716.63534945189031</v>
      </c>
      <c r="BI124" s="59">
        <f ca="1">AVERAGE(OFFSET($BH$3,0,0,'Données projet'!$E$11+1,1))-AVERAGE(OFFSET($H$3,0,0,'Données projet'!$E$11+1,1))</f>
        <v>270.87836509222456</v>
      </c>
      <c r="BJ124" s="59">
        <f t="shared" si="92"/>
        <v>205.24998237949734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103.25928019437497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103.25928019437497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3.8301282051282044</v>
      </c>
      <c r="BY124" s="12">
        <f>IF('Données projet'!$A$114&gt;35,BY123+BX124-CG123,IF(A124&lt;'Données projet'!$A$114,$BV$205^A124,IF(A124='Données projet'!$A$114,'Données projet'!$B$114,BY123+BX124-CG123)))</f>
        <v>214.97435897435946</v>
      </c>
      <c r="BZ124" s="13">
        <f>BY124*VLOOKUP('Données projet'!$B$12,Paramètres!$A$1:$I$89,3,0)*VLOOKUP('Données projet'!$B$12,Paramètres!$A$1:$I$89,5,0)</f>
        <v>217.98400000000052</v>
      </c>
      <c r="CA124" s="13">
        <f t="shared" si="93"/>
        <v>53.676483595327532</v>
      </c>
      <c r="CB124" s="20">
        <f t="shared" si="64"/>
        <v>473.14200892852961</v>
      </c>
      <c r="CC124" s="59">
        <f t="shared" si="65"/>
        <v>766.47534226186292</v>
      </c>
      <c r="CD124" s="59">
        <f ca="1">AVERAGE(OFFSET($CC$3,0,0,'Données projet'!$E$12+1,1))-AVERAGE(OFFSET($H$3,0,0,'Données projet'!$E$12+1,1))</f>
        <v>312.29056285877169</v>
      </c>
      <c r="CE124" s="59">
        <f t="shared" si="94"/>
        <v>233.85454224241693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115.72160711438573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115.72160711438573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5.3066239316239274</v>
      </c>
      <c r="CT124" s="12">
        <f>IF('Données projet'!$A$140&gt;35,CT123+CS124-DB123,IF(A124&lt;'Données projet'!$A$140,$CQ$205^A124,IF(A124='Données projet'!$A$140,'Données projet'!$B$140,CT123+CS124-DB123)))</f>
        <v>257.0683760683757</v>
      </c>
      <c r="CU124" s="17">
        <f>CT124*VLOOKUP('Données projet'!$B$13,Paramètres!$A$1:$I$89,3,0)*VLOOKUP('Données projet'!$B$13,Paramètres!$A$1:$I$89,5,0)</f>
        <v>292.74946666666625</v>
      </c>
      <c r="CV124" s="13">
        <f t="shared" si="95"/>
        <v>69.654315690567529</v>
      </c>
      <c r="CW124" s="20">
        <f t="shared" si="67"/>
        <v>631.18658760551557</v>
      </c>
      <c r="CX124" s="59">
        <f t="shared" si="68"/>
        <v>924.51992093884883</v>
      </c>
      <c r="CY124" s="59">
        <f ca="1">AVERAGE(OFFSET($CX$3,0,0,'Données projet'!$E$13+1,1))-AVERAGE(OFFSET($H$3,0,0,'Données projet'!$E$13+1,1))</f>
        <v>292.22737648725354</v>
      </c>
      <c r="CZ124" s="59">
        <f t="shared" si="96"/>
        <v>182.84038581199871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38.350842336801065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38.350842336801065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5.3066239316239274</v>
      </c>
      <c r="DO124" s="12">
        <f>IF('Données projet'!$A$166&gt;35,DO123+DN124-DW123,IF(A124&lt;'Données projet'!$A$166,$DL$205^A124,IF(A124='Données projet'!$A$166,'Données projet'!$B$166,DO123+DN124-DW123)))</f>
        <v>257.0683760683757</v>
      </c>
      <c r="DP124" s="17">
        <f>DO124*VLOOKUP('Données projet'!$B$14,Paramètres!$A$1:$I$89,3,0)*VLOOKUP('Données projet'!$B$14,Paramètres!$A$1:$I$89,5,0)</f>
        <v>280.71866666666625</v>
      </c>
      <c r="DQ124" s="13">
        <f t="shared" si="97"/>
        <v>67.118861141559691</v>
      </c>
      <c r="DR124" s="20">
        <f t="shared" si="70"/>
        <v>605.81702759932682</v>
      </c>
      <c r="DS124" s="59">
        <f t="shared" si="71"/>
        <v>899.15036093266008</v>
      </c>
      <c r="DT124" s="59">
        <f ca="1">AVERAGE(OFFSET($DS$3,0,0,'Données projet'!$E$14+1,1))-AVERAGE(OFFSET($H$3,0,0,'Données projet'!$E$14+1,1))</f>
        <v>276.52126514622455</v>
      </c>
      <c r="DU124" s="59">
        <f t="shared" si="98"/>
        <v>173.98404849503186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36.774780322959927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36.774780322959927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5.3066239316239274</v>
      </c>
      <c r="EJ124" s="12">
        <f>IF('Données projet'!$A$192&gt;35,EJ123+EI124-ER123,IF(A124&lt;'Données projet'!$A$192,$EG$205^A124,IF(A124='Données projet'!$A$192,'Données projet'!$B$192,EJ123+EI124-ER123)))</f>
        <v>257.0683760683757</v>
      </c>
      <c r="EK124" s="17">
        <f>EJ124*VLOOKUP('Données projet'!$B$15,Paramètres!$A$1:$I$89,3,0)*VLOOKUP('Données projet'!$B$15,Paramètres!$A$1:$I$89,5,0)</f>
        <v>248.63653333333298</v>
      </c>
      <c r="EL124" s="13">
        <f t="shared" si="99"/>
        <v>60.293882123749412</v>
      </c>
      <c r="EM124" s="20">
        <f t="shared" si="73"/>
        <v>538.0538069210852</v>
      </c>
      <c r="EN124" s="59">
        <f t="shared" si="74"/>
        <v>831.38714025441845</v>
      </c>
      <c r="EO124" s="59">
        <f ca="1">AVERAGE(OFFSET($EN$3,0,0,'Données projet'!$E$15+1,1))-AVERAGE(OFFSET($H$3,0,0,'Données projet'!$E$15+1,1))</f>
        <v>234.56750794375012</v>
      </c>
      <c r="EP124" s="59">
        <f t="shared" si="100"/>
        <v>150.32420541314724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32.571948286050237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32.571948286050237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1.5961632016114892E-13</v>
      </c>
      <c r="P125" s="13">
        <f t="shared" si="87"/>
        <v>2.2708641912150958E-12</v>
      </c>
      <c r="Q125" s="20">
        <f t="shared" si="107"/>
        <v>4.2330868906469593E-12</v>
      </c>
      <c r="R125" s="59">
        <f t="shared" si="55"/>
        <v>293.33333333333752</v>
      </c>
      <c r="S125" s="59">
        <f ca="1">AVERAGE(OFFSET($R$3,0,0,'Données projet'!$E$9+1,1))-AVERAGE(OFFSET($H$3,0,0,'Données projet'!$E$9+1,1))</f>
        <v>198.17898804494365</v>
      </c>
      <c r="T125" s="59">
        <f t="shared" si="88"/>
        <v>186.24772922797723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125.13288825367586</v>
      </c>
      <c r="AA125" s="21">
        <f>EXP(-LN(2)/25)*AA124+(1-EXP(-LN(2)/25))/(LN(2)/25)*Calculateur!V125*Calculateur!X125*VLOOKUP('Données projet'!$B$9,Paramètres!$A$1:$I$89,3,0)*0.475*44/12</f>
        <v>27.414078213562362</v>
      </c>
      <c r="AB125" s="21">
        <f>EXP(-LN(2)/2)*AB124+(1-EXP(-LN(2)/2))/(LN(2)/2)*V125*Y125*VLOOKUP('Données projet'!$B$9,Paramètres!$A$1:$I$89,3,0)*0.475*44/12</f>
        <v>6.1282517482396132E-2</v>
      </c>
      <c r="AC125" s="22">
        <f t="shared" si="57"/>
        <v>152.60824898472063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278.21846622758881</v>
      </c>
      <c r="AO125" s="59">
        <f t="shared" si="90"/>
        <v>245.37578316242906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3.8301282051282044</v>
      </c>
      <c r="BD125" s="12">
        <f>IF('Données projet'!$A$88&gt;35,BD124+BC125-BL124,IF(A125&lt;'Données projet'!$A$88,$BA$205^A125,IF(A125='Données projet'!$A$88,'Données projet'!$B$88,BD124+BC125-BL124)))</f>
        <v>218.80448717948767</v>
      </c>
      <c r="BE125" s="13">
        <f>BD125*VLOOKUP('Données projet'!$B$11,Paramètres!$A$1:$I$89,3,0)*VLOOKUP('Données projet'!$B$11,Paramètres!$A$1:$I$89,5,0)</f>
        <v>197.97430000000043</v>
      </c>
      <c r="BF125" s="13">
        <f t="shared" si="91"/>
        <v>49.298716754178493</v>
      </c>
      <c r="BG125" s="20">
        <f t="shared" si="61"/>
        <v>430.66717084686161</v>
      </c>
      <c r="BH125" s="59">
        <f t="shared" si="62"/>
        <v>724.00050418019487</v>
      </c>
      <c r="BI125" s="59">
        <f ca="1">AVERAGE(OFFSET($BH$3,0,0,'Données projet'!$E$11+1,1))-AVERAGE(OFFSET($H$3,0,0,'Données projet'!$E$11+1,1))</f>
        <v>270.87836509222456</v>
      </c>
      <c r="BJ125" s="59">
        <f t="shared" si="92"/>
        <v>205.24998237949734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101.23442869170525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101.23442869170525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3.8301282051282044</v>
      </c>
      <c r="BY125" s="12">
        <f>IF('Données projet'!$A$114&gt;35,BY124+BX125-CG124,IF(A125&lt;'Données projet'!$A$114,$BV$205^A125,IF(A125='Données projet'!$A$114,'Données projet'!$B$114,BY124+BX125-CG124)))</f>
        <v>218.80448717948767</v>
      </c>
      <c r="BZ125" s="13">
        <f>BY125*VLOOKUP('Données projet'!$B$12,Paramètres!$A$1:$I$89,3,0)*VLOOKUP('Données projet'!$B$12,Paramètres!$A$1:$I$89,5,0)</f>
        <v>221.86775000000048</v>
      </c>
      <c r="CA125" s="13">
        <f t="shared" si="93"/>
        <v>54.520632005800415</v>
      </c>
      <c r="CB125" s="20">
        <f t="shared" si="64"/>
        <v>481.37643199343648</v>
      </c>
      <c r="CC125" s="59">
        <f t="shared" si="65"/>
        <v>774.7097653267698</v>
      </c>
      <c r="CD125" s="59">
        <f ca="1">AVERAGE(OFFSET($CC$3,0,0,'Données projet'!$E$12+1,1))-AVERAGE(OFFSET($H$3,0,0,'Données projet'!$E$12+1,1))</f>
        <v>312.29056285877169</v>
      </c>
      <c r="CE125" s="59">
        <f t="shared" si="94"/>
        <v>233.85454224241693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113.45237698208345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113.45237698208345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5.3066239316239274</v>
      </c>
      <c r="CT125" s="12">
        <f>IF('Données projet'!$A$140&gt;35,CT124+CS125-DB124,IF(A125&lt;'Données projet'!$A$140,$CQ$205^A125,IF(A125='Données projet'!$A$140,'Données projet'!$B$140,CT124+CS125-DB124)))</f>
        <v>262.3749999999996</v>
      </c>
      <c r="CU125" s="17">
        <f>CT125*VLOOKUP('Données projet'!$B$13,Paramètres!$A$1:$I$89,3,0)*VLOOKUP('Données projet'!$B$13,Paramètres!$A$1:$I$89,5,0)</f>
        <v>298.79264999999958</v>
      </c>
      <c r="CV125" s="13">
        <f t="shared" si="95"/>
        <v>70.923297167686982</v>
      </c>
      <c r="CW125" s="20">
        <f t="shared" si="67"/>
        <v>643.92194131705412</v>
      </c>
      <c r="CX125" s="59">
        <f t="shared" si="68"/>
        <v>937.25527465038749</v>
      </c>
      <c r="CY125" s="59">
        <f ca="1">AVERAGE(OFFSET($CX$3,0,0,'Données projet'!$E$13+1,1))-AVERAGE(OFFSET($H$3,0,0,'Données projet'!$E$13+1,1))</f>
        <v>292.22737648725354</v>
      </c>
      <c r="CZ125" s="59">
        <f t="shared" si="96"/>
        <v>182.84038581199871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37.59880571028048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37.59880571028048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5.3066239316239274</v>
      </c>
      <c r="DO125" s="12">
        <f>IF('Données projet'!$A$166&gt;35,DO124+DN125-DW124,IF(A125&lt;'Données projet'!$A$166,$DL$205^A125,IF(A125='Données projet'!$A$166,'Données projet'!$B$166,DO124+DN125-DW124)))</f>
        <v>262.3749999999996</v>
      </c>
      <c r="DP125" s="17">
        <f>DO125*VLOOKUP('Données projet'!$B$14,Paramètres!$A$1:$I$89,3,0)*VLOOKUP('Données projet'!$B$14,Paramètres!$A$1:$I$89,5,0)</f>
        <v>286.51349999999957</v>
      </c>
      <c r="DQ125" s="13">
        <f t="shared" si="97"/>
        <v>68.341651010494132</v>
      </c>
      <c r="DR125" s="20">
        <f t="shared" si="70"/>
        <v>618.03938800994331</v>
      </c>
      <c r="DS125" s="59">
        <f t="shared" si="71"/>
        <v>911.37272134327668</v>
      </c>
      <c r="DT125" s="59">
        <f ca="1">AVERAGE(OFFSET($DS$3,0,0,'Données projet'!$E$14+1,1))-AVERAGE(OFFSET($H$3,0,0,'Données projet'!$E$14+1,1))</f>
        <v>276.52126514622455</v>
      </c>
      <c r="DU125" s="59">
        <f t="shared" si="98"/>
        <v>173.98404849503186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36.053649311227865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36.053649311227865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5.3066239316239274</v>
      </c>
      <c r="EJ125" s="12">
        <f>IF('Données projet'!$A$192&gt;35,EJ124+EI125-ER124,IF(A125&lt;'Données projet'!$A$192,$EG$205^A125,IF(A125='Données projet'!$A$192,'Données projet'!$B$192,EJ124+EI125-ER124)))</f>
        <v>262.3749999999996</v>
      </c>
      <c r="EK125" s="17">
        <f>EJ125*VLOOKUP('Données projet'!$B$15,Paramètres!$A$1:$I$89,3,0)*VLOOKUP('Données projet'!$B$15,Paramètres!$A$1:$I$89,5,0)</f>
        <v>253.76909999999964</v>
      </c>
      <c r="EL125" s="13">
        <f t="shared" si="99"/>
        <v>61.392332648172818</v>
      </c>
      <c r="EM125" s="20">
        <f t="shared" si="73"/>
        <v>548.90616186223372</v>
      </c>
      <c r="EN125" s="59">
        <f t="shared" si="74"/>
        <v>842.23949519556709</v>
      </c>
      <c r="EO125" s="59">
        <f ca="1">AVERAGE(OFFSET($EN$3,0,0,'Données projet'!$E$15+1,1))-AVERAGE(OFFSET($H$3,0,0,'Données projet'!$E$15+1,1))</f>
        <v>234.56750794375012</v>
      </c>
      <c r="EP125" s="59">
        <f t="shared" si="100"/>
        <v>150.32420541314724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31.933232247087549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31.933232247087549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1.5961632016114892E-13</v>
      </c>
      <c r="P126" s="13">
        <f t="shared" si="87"/>
        <v>2.2708641912150958E-12</v>
      </c>
      <c r="Q126" s="20">
        <f t="shared" si="107"/>
        <v>4.2330868906469593E-12</v>
      </c>
      <c r="R126" s="59">
        <f t="shared" si="55"/>
        <v>293.33333333333752</v>
      </c>
      <c r="S126" s="59">
        <f ca="1">AVERAGE(OFFSET($R$3,0,0,'Données projet'!$E$9+1,1))-AVERAGE(OFFSET($H$3,0,0,'Données projet'!$E$9+1,1))</f>
        <v>198.17898804494365</v>
      </c>
      <c r="T126" s="59">
        <f t="shared" si="88"/>
        <v>186.24772922797723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122.67910863854679</v>
      </c>
      <c r="AA126" s="21">
        <f>EXP(-LN(2)/25)*AA125+(1-EXP(-LN(2)/25))/(LN(2)/25)*Calculateur!V126*Calculateur!X126*VLOOKUP('Données projet'!$B$9,Paramètres!$A$1:$I$89,3,0)*0.475*44/12</f>
        <v>26.664438803168782</v>
      </c>
      <c r="AB126" s="21">
        <f>EXP(-LN(2)/2)*AB125+(1-EXP(-LN(2)/2))/(LN(2)/2)*V126*Y126*VLOOKUP('Données projet'!$B$9,Paramètres!$A$1:$I$89,3,0)*0.475*44/12</f>
        <v>4.3333283679985457E-2</v>
      </c>
      <c r="AC126" s="22">
        <f t="shared" si="57"/>
        <v>149.38688072539557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278.21846622758881</v>
      </c>
      <c r="AO126" s="59">
        <f t="shared" si="90"/>
        <v>245.37578316242906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222.63461538461539</v>
      </c>
      <c r="BB126" s="12">
        <f>VLOOKUP(A126,'Données projet'!$A$87:$I$107,9,0)</f>
        <v>3.8301282051282044</v>
      </c>
      <c r="BC126" s="12">
        <f t="array" ref="BC126">INDEX(BB:BB,MIN(IF(ISNUMBER(BB126:BB322),ROW(BB126:BB322),"")))</f>
        <v>3.8301282051282044</v>
      </c>
      <c r="BD126" s="12">
        <f>IF('Données projet'!$A$88&gt;35,BD125+BC126-BL125,IF(A126&lt;'Données projet'!$A$88,$BA$205^A126,IF(A126='Données projet'!$A$88,'Données projet'!$B$88,BD125+BC126-BL125)))</f>
        <v>222.63461538461587</v>
      </c>
      <c r="BE126" s="13">
        <f>BD126*VLOOKUP('Données projet'!$B$11,Paramètres!$A$1:$I$89,3,0)*VLOOKUP('Données projet'!$B$11,Paramètres!$A$1:$I$89,5,0)</f>
        <v>201.43980000000045</v>
      </c>
      <c r="BF126" s="13">
        <f t="shared" si="91"/>
        <v>50.06045996470462</v>
      </c>
      <c r="BG126" s="20">
        <f t="shared" si="61"/>
        <v>438.02961943852802</v>
      </c>
      <c r="BH126" s="59">
        <f t="shared" si="62"/>
        <v>731.36295277186127</v>
      </c>
      <c r="BI126" s="59">
        <f ca="1">AVERAGE(OFFSET($BH$3,0,0,'Données projet'!$E$11+1,1))-AVERAGE(OFFSET($H$3,0,0,'Données projet'!$E$11+1,1))</f>
        <v>270.87836509222456</v>
      </c>
      <c r="BJ126" s="59">
        <f t="shared" si="92"/>
        <v>205.24998237949734</v>
      </c>
      <c r="BK126" s="15">
        <f>IF(ISNA(VLOOKUP(A126,'Données projet'!$A$87:$I$107,3,0)),0,VLOOKUP(A126,'Données projet'!$A$87:$I$107,3,0))</f>
        <v>12</v>
      </c>
      <c r="BL126" s="15">
        <f>IF(ISNA(VLOOKUP(A126,'Données projet'!$A$87:$I$107,4,0)),0,VLOOKUP(A126,'Données projet'!$A$87:$I$107,4,0))</f>
        <v>77.17307692307692</v>
      </c>
      <c r="BM126" s="16">
        <f>IF(ISNA(VLOOKUP(A126,'Données projet'!$A$87:$I$107,5,0)),0%,VLOOKUP(A126,'Données projet'!$A$87:$I$107,5,0)*VLOOKUP('Données projet'!$B$11,Paramètres!$A$1:$I$89,7,0))</f>
        <v>0.38700000000000001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129.12212127250342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129.12212127250342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222.63461538461539</v>
      </c>
      <c r="BW126" s="12">
        <f>VLOOKUP(A126,'Données projet'!$A$113:$I$133,9,0)</f>
        <v>3.8301282051282044</v>
      </c>
      <c r="BX126" s="12">
        <f t="array" ref="BX126">INDEX(BW:BW,MIN(IF(ISNUMBER(BW126:BW322),ROW(BW126:BW322),"")))</f>
        <v>3.8301282051282044</v>
      </c>
      <c r="BY126" s="12">
        <f>IF('Données projet'!$A$114&gt;35,BY125+BX126-CG125,IF(A126&lt;'Données projet'!$A$114,$BV$205^A126,IF(A126='Données projet'!$A$114,'Données projet'!$B$114,BY125+BX126-CG125)))</f>
        <v>222.63461538461587</v>
      </c>
      <c r="BZ126" s="13">
        <f>BY126*VLOOKUP('Données projet'!$B$12,Paramètres!$A$1:$I$89,3,0)*VLOOKUP('Données projet'!$B$12,Paramètres!$A$1:$I$89,5,0)</f>
        <v>225.7515000000005</v>
      </c>
      <c r="CA126" s="13">
        <f t="shared" si="93"/>
        <v>55.363062072917565</v>
      </c>
      <c r="CB126" s="20">
        <f t="shared" si="64"/>
        <v>489.60786227699901</v>
      </c>
      <c r="CC126" s="59">
        <f t="shared" si="65"/>
        <v>782.94119561033233</v>
      </c>
      <c r="CD126" s="59">
        <f ca="1">AVERAGE(OFFSET($CC$3,0,0,'Données projet'!$E$12+1,1))-AVERAGE(OFFSET($H$3,0,0,'Données projet'!$E$12+1,1))</f>
        <v>312.29056285877169</v>
      </c>
      <c r="CE126" s="59">
        <f t="shared" si="94"/>
        <v>233.85454224241693</v>
      </c>
      <c r="CF126" s="15">
        <f>IF(ISNA(VLOOKUP(A126,'Données projet'!$A$113:$I$133,3,0)),0,VLOOKUP(A126,'Données projet'!$A$113:$I$133,3,0))</f>
        <v>12</v>
      </c>
      <c r="CG126" s="15">
        <f>IF(ISNA(VLOOKUP(A126,'Données projet'!$A$113:$I$133,4,0)),0,VLOOKUP(A126,'Données projet'!$A$113:$I$133,4,0))</f>
        <v>77.17307692307692</v>
      </c>
      <c r="CH126" s="16">
        <f>IF(ISNA(VLOOKUP(A126,'Données projet'!$A$113:$I$133,5,0)),0%,VLOOKUP(A126,'Données projet'!$A$113:$I$133,5,0)*VLOOKUP('Données projet'!$B$12,Paramètres!$A$1:$I$89,7,0))</f>
        <v>0.38700000000000001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144.70582556401243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144.70582556401243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5.3066239316239274</v>
      </c>
      <c r="CT126" s="12">
        <f>IF('Données projet'!$A$140&gt;35,CT125+CS126-DB125,IF(A126&lt;'Données projet'!$A$140,$CQ$205^A126,IF(A126='Données projet'!$A$140,'Données projet'!$B$140,CT125+CS126-DB125)))</f>
        <v>267.68162393162351</v>
      </c>
      <c r="CU126" s="17">
        <f>CT126*VLOOKUP('Données projet'!$B$13,Paramètres!$A$1:$I$89,3,0)*VLOOKUP('Données projet'!$B$13,Paramètres!$A$1:$I$89,5,0)</f>
        <v>304.83583333333286</v>
      </c>
      <c r="CV126" s="13">
        <f t="shared" si="95"/>
        <v>72.189294469664645</v>
      </c>
      <c r="CW126" s="20">
        <f t="shared" si="67"/>
        <v>656.65209759022071</v>
      </c>
      <c r="CX126" s="59">
        <f t="shared" si="68"/>
        <v>949.98543092355408</v>
      </c>
      <c r="CY126" s="59">
        <f ca="1">AVERAGE(OFFSET($CX$3,0,0,'Données projet'!$E$13+1,1))-AVERAGE(OFFSET($H$3,0,0,'Données projet'!$E$13+1,1))</f>
        <v>292.22737648725354</v>
      </c>
      <c r="CZ126" s="59">
        <f t="shared" si="96"/>
        <v>182.84038581199871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36.861516063308919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36.861516063308919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5.3066239316239274</v>
      </c>
      <c r="DO126" s="12">
        <f>IF('Données projet'!$A$166&gt;35,DO125+DN126-DW125,IF(A126&lt;'Données projet'!$A$166,$DL$205^A126,IF(A126='Données projet'!$A$166,'Données projet'!$B$166,DO125+DN126-DW125)))</f>
        <v>267.68162393162351</v>
      </c>
      <c r="DP126" s="17">
        <f>DO126*VLOOKUP('Données projet'!$B$14,Paramètres!$A$1:$I$89,3,0)*VLOOKUP('Données projet'!$B$14,Paramètres!$A$1:$I$89,5,0)</f>
        <v>292.30833333333283</v>
      </c>
      <c r="DQ126" s="13">
        <f t="shared" si="97"/>
        <v>69.561565329866866</v>
      </c>
      <c r="DR126" s="20">
        <f t="shared" si="70"/>
        <v>630.25674017173947</v>
      </c>
      <c r="DS126" s="59">
        <f t="shared" si="71"/>
        <v>923.59007350507272</v>
      </c>
      <c r="DT126" s="59">
        <f ca="1">AVERAGE(OFFSET($DS$3,0,0,'Données projet'!$E$14+1,1))-AVERAGE(OFFSET($H$3,0,0,'Données projet'!$E$14+1,1))</f>
        <v>276.52126514622455</v>
      </c>
      <c r="DU126" s="59">
        <f t="shared" si="98"/>
        <v>173.98404849503186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35.346659238789378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35.346659238789378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5.3066239316239274</v>
      </c>
      <c r="EJ126" s="12">
        <f>IF('Données projet'!$A$192&gt;35,EJ125+EI126-ER125,IF(A126&lt;'Données projet'!$A$192,$EG$205^A126,IF(A126='Données projet'!$A$192,'Données projet'!$B$192,EJ125+EI126-ER125)))</f>
        <v>267.68162393162351</v>
      </c>
      <c r="EK126" s="17">
        <f>EJ126*VLOOKUP('Données projet'!$B$15,Paramètres!$A$1:$I$89,3,0)*VLOOKUP('Données projet'!$B$15,Paramètres!$A$1:$I$89,5,0)</f>
        <v>258.9016666666663</v>
      </c>
      <c r="EL126" s="13">
        <f t="shared" si="99"/>
        <v>62.488200023189847</v>
      </c>
      <c r="EM126" s="20">
        <f t="shared" si="73"/>
        <v>559.75401781816606</v>
      </c>
      <c r="EN126" s="59">
        <f t="shared" si="74"/>
        <v>853.08735115149943</v>
      </c>
      <c r="EO126" s="59">
        <f ca="1">AVERAGE(OFFSET($EN$3,0,0,'Données projet'!$E$15+1,1))-AVERAGE(OFFSET($H$3,0,0,'Données projet'!$E$15+1,1))</f>
        <v>234.56750794375012</v>
      </c>
      <c r="EP126" s="59">
        <f t="shared" si="100"/>
        <v>150.32420541314724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31.307041040070605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31.307041040070605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1.5961632016114892E-13</v>
      </c>
      <c r="P127" s="13">
        <f t="shared" si="87"/>
        <v>2.2708641912150958E-12</v>
      </c>
      <c r="Q127" s="20">
        <f t="shared" si="107"/>
        <v>4.2330868906469593E-12</v>
      </c>
      <c r="R127" s="59">
        <f t="shared" si="55"/>
        <v>293.33333333333752</v>
      </c>
      <c r="S127" s="59">
        <f ca="1">AVERAGE(OFFSET($R$3,0,0,'Données projet'!$E$9+1,1))-AVERAGE(OFFSET($H$3,0,0,'Données projet'!$E$9+1,1))</f>
        <v>198.17898804494365</v>
      </c>
      <c r="T127" s="59">
        <f t="shared" si="88"/>
        <v>186.24772922797723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120.27344614501263</v>
      </c>
      <c r="AA127" s="21">
        <f>EXP(-LN(2)/25)*AA126+(1-EXP(-LN(2)/25))/(LN(2)/25)*Calculateur!V127*Calculateur!X127*VLOOKUP('Données projet'!$B$9,Paramètres!$A$1:$I$89,3,0)*0.475*44/12</f>
        <v>25.935298321874239</v>
      </c>
      <c r="AB127" s="21">
        <f>EXP(-LN(2)/2)*AB126+(1-EXP(-LN(2)/2))/(LN(2)/2)*V127*Y127*VLOOKUP('Données projet'!$B$9,Paramètres!$A$1:$I$89,3,0)*0.475*44/12</f>
        <v>3.0641258741198069E-2</v>
      </c>
      <c r="AC127" s="22">
        <f t="shared" si="57"/>
        <v>146.23938572562804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278.21846622758881</v>
      </c>
      <c r="AO127" s="59">
        <f t="shared" si="90"/>
        <v>245.37578316242906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2.3349358974358978</v>
      </c>
      <c r="BD127" s="12">
        <f>IF('Données projet'!$A$88&gt;35,BD126+BC127-BL126,IF(A127&lt;'Données projet'!$A$88,$BA$205^A127,IF(A127='Données projet'!$A$88,'Données projet'!$B$88,BD126+BC127-BL126)))</f>
        <v>147.79647435897488</v>
      </c>
      <c r="BE127" s="13">
        <f>BD127*VLOOKUP('Données projet'!$B$11,Paramètres!$A$1:$I$89,3,0)*VLOOKUP('Données projet'!$B$11,Paramètres!$A$1:$I$89,5,0)</f>
        <v>133.72625000000048</v>
      </c>
      <c r="BF127" s="13">
        <f t="shared" si="91"/>
        <v>34.855965018185749</v>
      </c>
      <c r="BG127" s="20">
        <f t="shared" si="61"/>
        <v>293.61402449000764</v>
      </c>
      <c r="BH127" s="59">
        <f t="shared" si="62"/>
        <v>586.94735782334101</v>
      </c>
      <c r="BI127" s="59">
        <f ca="1">AVERAGE(OFFSET($BH$3,0,0,'Données projet'!$E$11+1,1))-AVERAGE(OFFSET($H$3,0,0,'Données projet'!$E$11+1,1))</f>
        <v>270.87836509222456</v>
      </c>
      <c r="BJ127" s="59">
        <f t="shared" si="92"/>
        <v>205.24998237949734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126.59011523106703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126.59011523106703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2.3349358974358978</v>
      </c>
      <c r="BY127" s="12">
        <f>IF('Données projet'!$A$114&gt;35,BY126+BX127-CG126,IF(A127&lt;'Données projet'!$A$114,$BV$205^A127,IF(A127='Données projet'!$A$114,'Données projet'!$B$114,BY126+BX127-CG126)))</f>
        <v>147.79647435897488</v>
      </c>
      <c r="BZ127" s="13">
        <f>BY127*VLOOKUP('Données projet'!$B$12,Paramètres!$A$1:$I$89,3,0)*VLOOKUP('Données projet'!$B$12,Paramètres!$A$1:$I$89,5,0)</f>
        <v>149.86562500000053</v>
      </c>
      <c r="CA127" s="13">
        <f t="shared" si="93"/>
        <v>38.54804682725306</v>
      </c>
      <c r="CB127" s="20">
        <f t="shared" si="64"/>
        <v>328.15381176580001</v>
      </c>
      <c r="CC127" s="59">
        <f t="shared" si="65"/>
        <v>621.48714509913339</v>
      </c>
      <c r="CD127" s="59">
        <f ca="1">AVERAGE(OFFSET($CC$3,0,0,'Données projet'!$E$12+1,1))-AVERAGE(OFFSET($H$3,0,0,'Données projet'!$E$12+1,1))</f>
        <v>312.29056285877169</v>
      </c>
      <c r="CE127" s="59">
        <f t="shared" si="94"/>
        <v>233.85454224241693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141.86823258654061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141.86823258654061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5.3066239316239274</v>
      </c>
      <c r="CT127" s="12">
        <f>IF('Données projet'!$A$140&gt;35,CT126+CS127-DB126,IF(A127&lt;'Données projet'!$A$140,$CQ$205^A127,IF(A127='Données projet'!$A$140,'Données projet'!$B$140,CT126+CS127-DB126)))</f>
        <v>272.98824786324741</v>
      </c>
      <c r="CU127" s="17">
        <f>CT127*VLOOKUP('Données projet'!$B$13,Paramètres!$A$1:$I$89,3,0)*VLOOKUP('Données projet'!$B$13,Paramètres!$A$1:$I$89,5,0)</f>
        <v>310.87901666666613</v>
      </c>
      <c r="CV127" s="13">
        <f t="shared" si="95"/>
        <v>73.452373574678404</v>
      </c>
      <c r="CW127" s="20">
        <f t="shared" si="67"/>
        <v>669.37717133700846</v>
      </c>
      <c r="CX127" s="59">
        <f t="shared" si="68"/>
        <v>962.71050467034183</v>
      </c>
      <c r="CY127" s="59">
        <f ca="1">AVERAGE(OFFSET($CX$3,0,0,'Données projet'!$E$13+1,1))-AVERAGE(OFFSET($H$3,0,0,'Données projet'!$E$13+1,1))</f>
        <v>292.22737648725354</v>
      </c>
      <c r="CZ127" s="59">
        <f t="shared" si="96"/>
        <v>182.84038581199871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36.138684216612191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36.138684216612191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5.3066239316239274</v>
      </c>
      <c r="DO127" s="12">
        <f>IF('Données projet'!$A$166&gt;35,DO126+DN127-DW126,IF(A127&lt;'Données projet'!$A$166,$DL$205^A127,IF(A127='Données projet'!$A$166,'Données projet'!$B$166,DO126+DN127-DW126)))</f>
        <v>272.98824786324741</v>
      </c>
      <c r="DP127" s="17">
        <f>DO127*VLOOKUP('Données projet'!$B$14,Paramètres!$A$1:$I$89,3,0)*VLOOKUP('Données projet'!$B$14,Paramètres!$A$1:$I$89,5,0)</f>
        <v>298.10316666666614</v>
      </c>
      <c r="DQ127" s="13">
        <f t="shared" si="97"/>
        <v>70.778667676214425</v>
      </c>
      <c r="DR127" s="20">
        <f t="shared" si="70"/>
        <v>642.46919481385032</v>
      </c>
      <c r="DS127" s="59">
        <f t="shared" si="71"/>
        <v>935.80252814718369</v>
      </c>
      <c r="DT127" s="59">
        <f ca="1">AVERAGE(OFFSET($DS$3,0,0,'Données projet'!$E$14+1,1))-AVERAGE(OFFSET($H$3,0,0,'Données projet'!$E$14+1,1))</f>
        <v>276.52126514622455</v>
      </c>
      <c r="DU127" s="59">
        <f t="shared" si="98"/>
        <v>173.98404849503186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34.653532810450045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34.653532810450045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5.3066239316239274</v>
      </c>
      <c r="EJ127" s="12">
        <f>IF('Données projet'!$A$192&gt;35,EJ126+EI127-ER126,IF(A127&lt;'Données projet'!$A$192,$EG$205^A127,IF(A127='Données projet'!$A$192,'Données projet'!$B$192,EJ126+EI127-ER126)))</f>
        <v>272.98824786324741</v>
      </c>
      <c r="EK127" s="17">
        <f>EJ127*VLOOKUP('Données projet'!$B$15,Paramètres!$A$1:$I$89,3,0)*VLOOKUP('Données projet'!$B$15,Paramètres!$A$1:$I$89,5,0)</f>
        <v>264.03423333333291</v>
      </c>
      <c r="EL127" s="13">
        <f t="shared" si="99"/>
        <v>63.581541360559179</v>
      </c>
      <c r="EM127" s="20">
        <f t="shared" si="73"/>
        <v>570.59747425852868</v>
      </c>
      <c r="EN127" s="59">
        <f t="shared" si="74"/>
        <v>863.93080759186205</v>
      </c>
      <c r="EO127" s="59">
        <f ca="1">AVERAGE(OFFSET($EN$3,0,0,'Données projet'!$E$15+1,1))-AVERAGE(OFFSET($H$3,0,0,'Données projet'!$E$15+1,1))</f>
        <v>234.56750794375012</v>
      </c>
      <c r="EP127" s="59">
        <f t="shared" si="100"/>
        <v>150.32420541314724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30.693129060684338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30.693129060684338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1.5961632016114892E-13</v>
      </c>
      <c r="P128" s="13">
        <f t="shared" si="87"/>
        <v>2.2708641912150958E-12</v>
      </c>
      <c r="Q128" s="20">
        <f t="shared" si="107"/>
        <v>4.2330868906469593E-12</v>
      </c>
      <c r="R128" s="59">
        <f t="shared" si="55"/>
        <v>293.33333333333752</v>
      </c>
      <c r="S128" s="59">
        <f ca="1">AVERAGE(OFFSET($R$3,0,0,'Données projet'!$E$9+1,1))-AVERAGE(OFFSET($H$3,0,0,'Données projet'!$E$9+1,1))</f>
        <v>198.17898804494365</v>
      </c>
      <c r="T128" s="59">
        <f t="shared" si="88"/>
        <v>186.24772922797723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117.91495722566742</v>
      </c>
      <c r="AA128" s="21">
        <f>EXP(-LN(2)/25)*AA127+(1-EXP(-LN(2)/25))/(LN(2)/25)*Calculateur!V128*Calculateur!X128*VLOOKUP('Données projet'!$B$9,Paramètres!$A$1:$I$89,3,0)*0.475*44/12</f>
        <v>25.226096225384524</v>
      </c>
      <c r="AB128" s="21">
        <f>EXP(-LN(2)/2)*AB127+(1-EXP(-LN(2)/2))/(LN(2)/2)*V128*Y128*VLOOKUP('Données projet'!$B$9,Paramètres!$A$1:$I$89,3,0)*0.475*44/12</f>
        <v>2.1666641839992732E-2</v>
      </c>
      <c r="AC128" s="22">
        <f t="shared" si="57"/>
        <v>143.16272009289196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278.21846622758881</v>
      </c>
      <c r="AO128" s="59">
        <f t="shared" si="90"/>
        <v>245.37578316242906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2.3349358974358978</v>
      </c>
      <c r="BD128" s="12">
        <f>IF('Données projet'!$A$88&gt;35,BD127+BC128-BL127,IF(A128&lt;'Données projet'!$A$88,$BA$205^A128,IF(A128='Données projet'!$A$88,'Données projet'!$B$88,BD127+BC128-BL127)))</f>
        <v>150.13141025641079</v>
      </c>
      <c r="BE128" s="13">
        <f>BD128*VLOOKUP('Données projet'!$B$11,Paramètres!$A$1:$I$89,3,0)*VLOOKUP('Données projet'!$B$11,Paramètres!$A$1:$I$89,5,0)</f>
        <v>135.83890000000048</v>
      </c>
      <c r="BF128" s="13">
        <f t="shared" si="91"/>
        <v>35.342088427890417</v>
      </c>
      <c r="BG128" s="20">
        <f t="shared" si="61"/>
        <v>298.14022151190994</v>
      </c>
      <c r="BH128" s="59">
        <f t="shared" si="62"/>
        <v>591.47355484524326</v>
      </c>
      <c r="BI128" s="59">
        <f ca="1">AVERAGE(OFFSET($BH$3,0,0,'Données projet'!$E$11+1,1))-AVERAGE(OFFSET($H$3,0,0,'Données projet'!$E$11+1,1))</f>
        <v>270.87836509222456</v>
      </c>
      <c r="BJ128" s="59">
        <f t="shared" si="92"/>
        <v>205.24998237949734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124.10776028373201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124.10776028373201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2.3349358974358978</v>
      </c>
      <c r="BY128" s="12">
        <f>IF('Données projet'!$A$114&gt;35,BY127+BX128-CG127,IF(A128&lt;'Données projet'!$A$114,$BV$205^A128,IF(A128='Données projet'!$A$114,'Données projet'!$B$114,BY127+BX128-CG127)))</f>
        <v>150.13141025641079</v>
      </c>
      <c r="BZ128" s="13">
        <f>BY128*VLOOKUP('Données projet'!$B$12,Paramètres!$A$1:$I$89,3,0)*VLOOKUP('Données projet'!$B$12,Paramètres!$A$1:$I$89,5,0)</f>
        <v>152.23325000000054</v>
      </c>
      <c r="CA128" s="13">
        <f t="shared" si="93"/>
        <v>39.08566235307034</v>
      </c>
      <c r="CB128" s="20">
        <f t="shared" si="64"/>
        <v>333.21377234826514</v>
      </c>
      <c r="CC128" s="59">
        <f t="shared" si="65"/>
        <v>626.5471056815984</v>
      </c>
      <c r="CD128" s="59">
        <f ca="1">AVERAGE(OFFSET($CC$3,0,0,'Données projet'!$E$12+1,1))-AVERAGE(OFFSET($H$3,0,0,'Données projet'!$E$12+1,1))</f>
        <v>312.29056285877169</v>
      </c>
      <c r="CE128" s="59">
        <f t="shared" si="94"/>
        <v>233.85454224241693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139.0862830765962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139.0862830765962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278.29487179487177</v>
      </c>
      <c r="CR128" s="12">
        <f>VLOOKUP(A128,'Données projet'!$A$139:$I$159,9,0)</f>
        <v>5.3066239316239274</v>
      </c>
      <c r="CS128" s="12">
        <f t="array" ref="CS128">INDEX(CR:CR,MIN(IF(ISNUMBER(CR128:CR324),ROW(CR128:CR324),"")))</f>
        <v>5.3066239316239274</v>
      </c>
      <c r="CT128" s="12">
        <f>IF('Données projet'!$A$140&gt;35,CT127+CS128-DB127,IF(A128&lt;'Données projet'!$A$140,$CQ$205^A128,IF(A128='Données projet'!$A$140,'Données projet'!$B$140,CT127+CS128-DB127)))</f>
        <v>278.29487179487131</v>
      </c>
      <c r="CU128" s="17">
        <f>CT128*VLOOKUP('Données projet'!$B$13,Paramètres!$A$1:$I$89,3,0)*VLOOKUP('Données projet'!$B$13,Paramètres!$A$1:$I$89,5,0)</f>
        <v>316.92219999999946</v>
      </c>
      <c r="CV128" s="13">
        <f t="shared" si="95"/>
        <v>74.712597749071691</v>
      </c>
      <c r="CW128" s="20">
        <f t="shared" si="67"/>
        <v>682.09727274629893</v>
      </c>
      <c r="CX128" s="59">
        <f t="shared" si="68"/>
        <v>975.4306060796323</v>
      </c>
      <c r="CY128" s="59">
        <f ca="1">AVERAGE(OFFSET($CX$3,0,0,'Données projet'!$E$13+1,1))-AVERAGE(OFFSET($H$3,0,0,'Données projet'!$E$13+1,1))</f>
        <v>292.22737648725354</v>
      </c>
      <c r="CZ128" s="59">
        <f t="shared" si="96"/>
        <v>182.84038581199871</v>
      </c>
      <c r="DA128" s="15">
        <f>IF(ISNA(VLOOKUP(A128,'Données projet'!$A$139:$I$159,3,0)),0,VLOOKUP(A128,'Données projet'!$A$139:$I$159,3,0))</f>
        <v>10</v>
      </c>
      <c r="DB128" s="15">
        <f>IF(ISNA(VLOOKUP(A128,'Données projet'!$A$139:$I$159,4,0)),0,VLOOKUP(A128,'Données projet'!$A$139:$I$159,4,0))</f>
        <v>48.160256410256409</v>
      </c>
      <c r="DC128" s="16">
        <f>IF(ISNA(VLOOKUP(A128,'Données projet'!$A$139:$I$159,5,0)),0%,VLOOKUP(A128,'Données projet'!$A$139:$I$159,5,0)*VLOOKUP('Données projet'!$B$13,Paramètres!$A$1:$I$89,7,0))</f>
        <v>0.30099999999999999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53.679479799497742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53.679479799497742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278.29487179487177</v>
      </c>
      <c r="DM128" s="12">
        <f>VLOOKUP(A128,'Données projet'!$A$165:$I$185,9,0)</f>
        <v>5.3066239316239274</v>
      </c>
      <c r="DN128" s="12">
        <f t="array" ref="DN128">INDEX(DM:DM,MIN(IF(ISNUMBER(DM128:DM324),ROW(DM128:DM324),"")))</f>
        <v>5.3066239316239274</v>
      </c>
      <c r="DO128" s="12">
        <f>IF('Données projet'!$A$166&gt;35,DO127+DN128-DW127,IF(A128&lt;'Données projet'!$A$166,$DL$205^A128,IF(A128='Données projet'!$A$166,'Données projet'!$B$166,DO127+DN128-DW127)))</f>
        <v>278.29487179487131</v>
      </c>
      <c r="DP128" s="17">
        <f>DO128*VLOOKUP('Données projet'!$B$14,Paramètres!$A$1:$I$89,3,0)*VLOOKUP('Données projet'!$B$14,Paramètres!$A$1:$I$89,5,0)</f>
        <v>303.89799999999946</v>
      </c>
      <c r="DQ128" s="13">
        <f t="shared" si="97"/>
        <v>71.993019012951351</v>
      </c>
      <c r="DR128" s="20">
        <f t="shared" si="70"/>
        <v>654.67685811422268</v>
      </c>
      <c r="DS128" s="59">
        <f t="shared" si="71"/>
        <v>948.01019144755605</v>
      </c>
      <c r="DT128" s="59">
        <f ca="1">AVERAGE(OFFSET($DS$3,0,0,'Données projet'!$E$14+1,1))-AVERAGE(OFFSET($H$3,0,0,'Données projet'!$E$14+1,1))</f>
        <v>276.52126514622455</v>
      </c>
      <c r="DU128" s="59">
        <f t="shared" si="98"/>
        <v>173.98404849503186</v>
      </c>
      <c r="DV128" s="15">
        <f>IF(ISNA(VLOOKUP(A128,'Données projet'!$A$165:$I$185,3,0)),0,VLOOKUP(A128,'Données projet'!$A$165:$I$185,3,0))</f>
        <v>10</v>
      </c>
      <c r="DW128" s="15">
        <f>IF(ISNA(VLOOKUP(A128,'Données projet'!$A$165:$I$185,4,0)),0,VLOOKUP(A128,'Données projet'!$A$165:$I$185,4,0))</f>
        <v>48.160256410256409</v>
      </c>
      <c r="DX128" s="16">
        <f>IF(ISNA(VLOOKUP(A128,'Données projet'!$A$165:$I$185,5,0)),0%,VLOOKUP(A128,'Données projet'!$A$165:$I$185,5,0)*VLOOKUP('Données projet'!$B$14,Paramètres!$A$1:$I$89,7,0))</f>
        <v>0.30099999999999999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51.473473780340299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51.473473780340299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>
        <f>VLOOKUP(A128,'Données projet'!$A$191:$I$211,2,0)</f>
        <v>278.29487179487177</v>
      </c>
      <c r="EH128" s="12">
        <f>VLOOKUP(A128,'Données projet'!$A$191:$I$211,9,0)</f>
        <v>5.3066239316239274</v>
      </c>
      <c r="EI128" s="12">
        <f t="array" ref="EI128">INDEX(EH:EH,MIN(IF(ISNUMBER(EH128:EH324),ROW(EH128:EH324),"")))</f>
        <v>5.3066239316239274</v>
      </c>
      <c r="EJ128" s="12">
        <f>IF('Données projet'!$A$192&gt;35,EJ127+EI128-ER127,IF(A128&lt;'Données projet'!$A$192,$EG$205^A128,IF(A128='Données projet'!$A$192,'Données projet'!$B$192,EJ127+EI128-ER127)))</f>
        <v>278.29487179487131</v>
      </c>
      <c r="EK128" s="17">
        <f>EJ128*VLOOKUP('Données projet'!$B$15,Paramètres!$A$1:$I$89,3,0)*VLOOKUP('Données projet'!$B$15,Paramètres!$A$1:$I$89,5,0)</f>
        <v>269.16679999999957</v>
      </c>
      <c r="EL128" s="13">
        <f t="shared" si="99"/>
        <v>64.672411424632728</v>
      </c>
      <c r="EM128" s="20">
        <f t="shared" si="73"/>
        <v>581.43662656456797</v>
      </c>
      <c r="EN128" s="59">
        <f t="shared" si="74"/>
        <v>874.76995989790134</v>
      </c>
      <c r="EO128" s="59">
        <f ca="1">AVERAGE(OFFSET($EN$3,0,0,'Données projet'!$E$15+1,1))-AVERAGE(OFFSET($H$3,0,0,'Données projet'!$E$15+1,1))</f>
        <v>234.56750794375012</v>
      </c>
      <c r="EP128" s="59">
        <f t="shared" si="100"/>
        <v>150.32420541314724</v>
      </c>
      <c r="EQ128" s="15">
        <f>IF(ISNA(VLOOKUP(A128,'Données projet'!$A$191:$I$211,3,0)),0,VLOOKUP(A128,'Données projet'!$A$191:$I$211,3,0))</f>
        <v>10</v>
      </c>
      <c r="ER128" s="15">
        <f>IF(ISNA(VLOOKUP(A128,'Données projet'!$A$191:$I$211,4,0)),0,VLOOKUP(A128,'Données projet'!$A$191:$I$211,4,0))</f>
        <v>48.160256410256409</v>
      </c>
      <c r="ES128" s="16">
        <f>IF(ISNA(VLOOKUP(A128,'Données projet'!$A$191:$I$211,5,0)),0%,VLOOKUP(A128,'Données projet'!$A$191:$I$211,5,0)*VLOOKUP('Données projet'!$B$15,Paramètres!$A$1:$I$89,7,0))</f>
        <v>0.30099999999999999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45.590791062587137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45.590791062587137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1.5961632016114892E-13</v>
      </c>
      <c r="P129" s="13">
        <f t="shared" si="87"/>
        <v>2.2708641912150958E-12</v>
      </c>
      <c r="Q129" s="20">
        <f t="shared" si="107"/>
        <v>4.2330868906469593E-12</v>
      </c>
      <c r="R129" s="59">
        <f t="shared" si="55"/>
        <v>293.33333333333752</v>
      </c>
      <c r="S129" s="59">
        <f ca="1">AVERAGE(OFFSET($R$3,0,0,'Données projet'!$E$9+1,1))-AVERAGE(OFFSET($H$3,0,0,'Données projet'!$E$9+1,1))</f>
        <v>198.17898804494365</v>
      </c>
      <c r="T129" s="59">
        <f t="shared" si="88"/>
        <v>186.24772922797723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115.60271683549438</v>
      </c>
      <c r="AA129" s="21">
        <f>EXP(-LN(2)/25)*AA128+(1-EXP(-LN(2)/25))/(LN(2)/25)*Calculateur!V129*Calculateur!X129*VLOOKUP('Données projet'!$B$9,Paramètres!$A$1:$I$89,3,0)*0.475*44/12</f>
        <v>24.536287297518637</v>
      </c>
      <c r="AB129" s="21">
        <f>EXP(-LN(2)/2)*AB128+(1-EXP(-LN(2)/2))/(LN(2)/2)*V129*Y129*VLOOKUP('Données projet'!$B$9,Paramètres!$A$1:$I$89,3,0)*0.475*44/12</f>
        <v>1.5320629370599036E-2</v>
      </c>
      <c r="AC129" s="22">
        <f t="shared" si="57"/>
        <v>140.1543247623836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278.21846622758881</v>
      </c>
      <c r="AO129" s="59">
        <f t="shared" si="90"/>
        <v>245.37578316242906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2.3349358974358978</v>
      </c>
      <c r="BD129" s="12">
        <f>IF('Données projet'!$A$88&gt;35,BD128+BC129-BL128,IF(A129&lt;'Données projet'!$A$88,$BA$205^A129,IF(A129='Données projet'!$A$88,'Données projet'!$B$88,BD128+BC129-BL128)))</f>
        <v>152.4663461538467</v>
      </c>
      <c r="BE129" s="13">
        <f>BD129*VLOOKUP('Données projet'!$B$11,Paramètres!$A$1:$I$89,3,0)*VLOOKUP('Données projet'!$B$11,Paramètres!$A$1:$I$89,5,0)</f>
        <v>137.95155000000048</v>
      </c>
      <c r="BF129" s="13">
        <f t="shared" si="91"/>
        <v>35.827332555199952</v>
      </c>
      <c r="BG129" s="20">
        <f t="shared" si="61"/>
        <v>302.66488711697406</v>
      </c>
      <c r="BH129" s="59">
        <f t="shared" si="62"/>
        <v>595.99822045030737</v>
      </c>
      <c r="BI129" s="59">
        <f ca="1">AVERAGE(OFFSET($BH$3,0,0,'Données projet'!$E$11+1,1))-AVERAGE(OFFSET($H$3,0,0,'Données projet'!$E$11+1,1))</f>
        <v>270.87836509222456</v>
      </c>
      <c r="BJ129" s="59">
        <f t="shared" si="92"/>
        <v>205.24998237949734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121.67408280282721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121.67408280282721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2.3349358974358978</v>
      </c>
      <c r="BY129" s="12">
        <f>IF('Données projet'!$A$114&gt;35,BY128+BX129-CG128,IF(A129&lt;'Données projet'!$A$114,$BV$205^A129,IF(A129='Données projet'!$A$114,'Données projet'!$B$114,BY128+BX129-CG128)))</f>
        <v>152.4663461538467</v>
      </c>
      <c r="BZ129" s="13">
        <f>BY129*VLOOKUP('Données projet'!$B$12,Paramètres!$A$1:$I$89,3,0)*VLOOKUP('Données projet'!$B$12,Paramètres!$A$1:$I$89,5,0)</f>
        <v>154.60087500000057</v>
      </c>
      <c r="CA129" s="13">
        <f t="shared" si="93"/>
        <v>39.622305459420097</v>
      </c>
      <c r="CB129" s="20">
        <f t="shared" si="64"/>
        <v>338.27203930015764</v>
      </c>
      <c r="CC129" s="59">
        <f t="shared" si="65"/>
        <v>631.60537263349102</v>
      </c>
      <c r="CD129" s="59">
        <f ca="1">AVERAGE(OFFSET($CC$3,0,0,'Données projet'!$E$12+1,1))-AVERAGE(OFFSET($H$3,0,0,'Données projet'!$E$12+1,1))</f>
        <v>312.29056285877169</v>
      </c>
      <c r="CE129" s="59">
        <f t="shared" si="94"/>
        <v>233.85454224241693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136.35888589972015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136.35888589972015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5.2446581196581219</v>
      </c>
      <c r="CT129" s="12">
        <f>IF('Données projet'!$A$140&gt;35,CT128+CS129-DB128,IF(A129&lt;'Données projet'!$A$140,$CQ$205^A129,IF(A129='Données projet'!$A$140,'Données projet'!$B$140,CT128+CS129-DB128)))</f>
        <v>235.37927350427304</v>
      </c>
      <c r="CU129" s="17">
        <f>CT129*VLOOKUP('Données projet'!$B$13,Paramètres!$A$1:$I$89,3,0)*VLOOKUP('Données projet'!$B$13,Paramètres!$A$1:$I$89,5,0)</f>
        <v>268.04991666666615</v>
      </c>
      <c r="CV129" s="13">
        <f t="shared" si="95"/>
        <v>64.435237953050972</v>
      </c>
      <c r="CW129" s="20">
        <f t="shared" si="67"/>
        <v>579.0783109626741</v>
      </c>
      <c r="CX129" s="59">
        <f t="shared" si="68"/>
        <v>872.41164429600735</v>
      </c>
      <c r="CY129" s="59">
        <f ca="1">AVERAGE(OFFSET($CX$3,0,0,'Données projet'!$E$13+1,1))-AVERAGE(OFFSET($H$3,0,0,'Données projet'!$E$13+1,1))</f>
        <v>292.22737648725354</v>
      </c>
      <c r="CZ129" s="59">
        <f t="shared" si="96"/>
        <v>182.84038581199871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52.626857941879337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52.626857941879337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5.2446581196581219</v>
      </c>
      <c r="DO129" s="12">
        <f>IF('Données projet'!$A$166&gt;35,DO128+DN129-DW128,IF(A129&lt;'Données projet'!$A$166,$DL$205^A129,IF(A129='Données projet'!$A$166,'Données projet'!$B$166,DO128+DN129-DW128)))</f>
        <v>235.37927350427304</v>
      </c>
      <c r="DP129" s="17">
        <f>DO129*VLOOKUP('Données projet'!$B$14,Paramètres!$A$1:$I$89,3,0)*VLOOKUP('Données projet'!$B$14,Paramètres!$A$1:$I$89,5,0)</f>
        <v>257.03416666666612</v>
      </c>
      <c r="DQ129" s="13">
        <f t="shared" si="97"/>
        <v>62.089760640342362</v>
      </c>
      <c r="DR129" s="20">
        <f t="shared" si="70"/>
        <v>555.80750672637316</v>
      </c>
      <c r="DS129" s="59">
        <f t="shared" si="71"/>
        <v>849.14084005970653</v>
      </c>
      <c r="DT129" s="59">
        <f ca="1">AVERAGE(OFFSET($DS$3,0,0,'Données projet'!$E$14+1,1))-AVERAGE(OFFSET($H$3,0,0,'Données projet'!$E$14+1,1))</f>
        <v>276.52126514622455</v>
      </c>
      <c r="DU129" s="59">
        <f t="shared" si="98"/>
        <v>173.98404849503186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50.464110355226765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50.464110355226765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5.2446581196581219</v>
      </c>
      <c r="EJ129" s="12">
        <f>IF('Données projet'!$A$192&gt;35,EJ128+EI129-ER128,IF(A129&lt;'Données projet'!$A$192,$EG$205^A129,IF(A129='Données projet'!$A$192,'Données projet'!$B$192,EJ128+EI129-ER128)))</f>
        <v>235.37927350427304</v>
      </c>
      <c r="EK129" s="17">
        <f>EJ129*VLOOKUP('Données projet'!$B$15,Paramètres!$A$1:$I$89,3,0)*VLOOKUP('Données projet'!$B$15,Paramètres!$A$1:$I$89,5,0)</f>
        <v>227.65883333333289</v>
      </c>
      <c r="EL129" s="13">
        <f t="shared" si="99"/>
        <v>55.776165528866244</v>
      </c>
      <c r="EM129" s="20">
        <f t="shared" si="73"/>
        <v>493.6492896849968</v>
      </c>
      <c r="EN129" s="59">
        <f t="shared" si="74"/>
        <v>786.98262301833006</v>
      </c>
      <c r="EO129" s="59">
        <f ca="1">AVERAGE(OFFSET($EN$3,0,0,'Données projet'!$E$15+1,1))-AVERAGE(OFFSET($H$3,0,0,'Données projet'!$E$15+1,1))</f>
        <v>234.56750794375012</v>
      </c>
      <c r="EP129" s="59">
        <f t="shared" si="100"/>
        <v>150.32420541314724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44.696783457486575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44.696783457486575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1.5961632016114892E-13</v>
      </c>
      <c r="P130" s="13">
        <f t="shared" si="87"/>
        <v>2.2708641912150958E-12</v>
      </c>
      <c r="Q130" s="20">
        <f t="shared" si="107"/>
        <v>4.2330868906469593E-12</v>
      </c>
      <c r="R130" s="59">
        <f t="shared" si="55"/>
        <v>293.33333333333752</v>
      </c>
      <c r="S130" s="59">
        <f ca="1">AVERAGE(OFFSET($R$3,0,0,'Données projet'!$E$9+1,1))-AVERAGE(OFFSET($H$3,0,0,'Données projet'!$E$9+1,1))</f>
        <v>198.17898804494365</v>
      </c>
      <c r="T130" s="59">
        <f t="shared" si="88"/>
        <v>186.24772922797723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113.33581806904525</v>
      </c>
      <c r="AA130" s="21">
        <f>EXP(-LN(2)/25)*AA129+(1-EXP(-LN(2)/25))/(LN(2)/25)*Calculateur!V130*Calculateur!X130*VLOOKUP('Données projet'!$B$9,Paramètres!$A$1:$I$89,3,0)*0.475*44/12</f>
        <v>23.865341231060718</v>
      </c>
      <c r="AB130" s="21">
        <f>EXP(-LN(2)/2)*AB129+(1-EXP(-LN(2)/2))/(LN(2)/2)*V130*Y130*VLOOKUP('Données projet'!$B$9,Paramètres!$A$1:$I$89,3,0)*0.475*44/12</f>
        <v>1.0833320919996368E-2</v>
      </c>
      <c r="AC130" s="22">
        <f t="shared" si="57"/>
        <v>137.21199262102596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278.21846622758881</v>
      </c>
      <c r="AO130" s="59">
        <f t="shared" si="90"/>
        <v>245.37578316242906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154.80128205128204</v>
      </c>
      <c r="BB130" s="12">
        <f>VLOOKUP(A130,'Données projet'!$A$87:$I$107,9,0)</f>
        <v>2.3349358974358978</v>
      </c>
      <c r="BC130" s="12">
        <f t="array" ref="BC130">INDEX(BB:BB,MIN(IF(ISNUMBER(BB130:BB326),ROW(BB130:BB326),"")))</f>
        <v>2.3349358974358978</v>
      </c>
      <c r="BD130" s="12">
        <f>IF('Données projet'!$A$88&gt;35,BD129+BC130-BL129,IF(A130&lt;'Données projet'!$A$88,$BA$205^A130,IF(A130='Données projet'!$A$88,'Données projet'!$B$88,BD129+BC130-BL129)))</f>
        <v>154.80128205128261</v>
      </c>
      <c r="BE130" s="13">
        <f>BD130*VLOOKUP('Données projet'!$B$11,Paramètres!$A$1:$I$89,3,0)*VLOOKUP('Données projet'!$B$11,Paramètres!$A$1:$I$89,5,0)</f>
        <v>140.06420000000051</v>
      </c>
      <c r="BF130" s="13">
        <f t="shared" si="91"/>
        <v>36.311712421027522</v>
      </c>
      <c r="BG130" s="20">
        <f t="shared" si="61"/>
        <v>307.1880474666238</v>
      </c>
      <c r="BH130" s="59">
        <f t="shared" si="62"/>
        <v>600.52138079995711</v>
      </c>
      <c r="BI130" s="59">
        <f ca="1">AVERAGE(OFFSET($BH$3,0,0,'Données projet'!$E$11+1,1))-AVERAGE(OFFSET($H$3,0,0,'Données projet'!$E$11+1,1))</f>
        <v>270.87836509222456</v>
      </c>
      <c r="BJ130" s="59">
        <f t="shared" si="92"/>
        <v>205.24998237949734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49.916666666666671</v>
      </c>
      <c r="BM130" s="16">
        <f>IF(ISNA(VLOOKUP(A130,'Données projet'!$A$87:$I$107,5,0)),0%,VLOOKUP(A130,'Données projet'!$A$87:$I$107,5,0)*VLOOKUP('Données projet'!$B$11,Paramètres!$A$1:$I$89,7,0))</f>
        <v>0.38700000000000001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138.61031359676292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138.61031359676292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154.80128205128204</v>
      </c>
      <c r="BW130" s="12">
        <f>VLOOKUP(A130,'Données projet'!$A$113:$I$133,9,0)</f>
        <v>2.3349358974358978</v>
      </c>
      <c r="BX130" s="12">
        <f t="array" ref="BX130">INDEX(BW:BW,MIN(IF(ISNUMBER(BW130:BW326),ROW(BW130:BW326),"")))</f>
        <v>2.3349358974358978</v>
      </c>
      <c r="BY130" s="12">
        <f>IF('Données projet'!$A$114&gt;35,BY129+BX130-CG129,IF(A130&lt;'Données projet'!$A$114,$BV$205^A130,IF(A130='Données projet'!$A$114,'Données projet'!$B$114,BY129+BX130-CG129)))</f>
        <v>154.80128205128261</v>
      </c>
      <c r="BZ130" s="13">
        <f>BY130*VLOOKUP('Données projet'!$B$12,Paramètres!$A$1:$I$89,3,0)*VLOOKUP('Données projet'!$B$12,Paramètres!$A$1:$I$89,5,0)</f>
        <v>156.96850000000057</v>
      </c>
      <c r="CA130" s="13">
        <f t="shared" si="93"/>
        <v>40.157992758290085</v>
      </c>
      <c r="CB130" s="20">
        <f t="shared" si="64"/>
        <v>343.32864155402285</v>
      </c>
      <c r="CC130" s="59">
        <f t="shared" si="65"/>
        <v>636.66197488735611</v>
      </c>
      <c r="CD130" s="59">
        <f ca="1">AVERAGE(OFFSET($CC$3,0,0,'Données projet'!$E$12+1,1))-AVERAGE(OFFSET($H$3,0,0,'Données projet'!$E$12+1,1))</f>
        <v>312.29056285877169</v>
      </c>
      <c r="CE130" s="59">
        <f t="shared" si="94"/>
        <v>233.85454224241693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49.916666666666671</v>
      </c>
      <c r="CH130" s="16">
        <f>IF(ISNA(VLOOKUP(A130,'Données projet'!$A$113:$I$133,5,0)),0%,VLOOKUP(A130,'Données projet'!$A$113:$I$133,5,0)*VLOOKUP('Données projet'!$B$12,Paramètres!$A$1:$I$89,7,0))</f>
        <v>0.38700000000000001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155.33914454809639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155.33914454809639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5.2446581196581219</v>
      </c>
      <c r="CT130" s="12">
        <f>IF('Données projet'!$A$140&gt;35,CT129+CS130-DB129,IF(A130&lt;'Données projet'!$A$140,$CQ$205^A130,IF(A130='Données projet'!$A$140,'Données projet'!$B$140,CT129+CS130-DB129)))</f>
        <v>240.62393162393116</v>
      </c>
      <c r="CU130" s="17">
        <f>CT130*VLOOKUP('Données projet'!$B$13,Paramètres!$A$1:$I$89,3,0)*VLOOKUP('Données projet'!$B$13,Paramètres!$A$1:$I$89,5,0)</f>
        <v>274.02253333333283</v>
      </c>
      <c r="CV130" s="13">
        <f t="shared" si="95"/>
        <v>65.702216243852774</v>
      </c>
      <c r="CW130" s="20">
        <f t="shared" si="67"/>
        <v>591.68727218026481</v>
      </c>
      <c r="CX130" s="59">
        <f t="shared" si="68"/>
        <v>885.02060551359818</v>
      </c>
      <c r="CY130" s="59">
        <f ca="1">AVERAGE(OFFSET($CX$3,0,0,'Données projet'!$E$13+1,1))-AVERAGE(OFFSET($H$3,0,0,'Données projet'!$E$13+1,1))</f>
        <v>292.22737648725354</v>
      </c>
      <c r="CZ130" s="59">
        <f t="shared" si="96"/>
        <v>182.84038581199871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51.594877356852891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51.594877356852891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5.2446581196581219</v>
      </c>
      <c r="DO130" s="12">
        <f>IF('Données projet'!$A$166&gt;35,DO129+DN130-DW129,IF(A130&lt;'Données projet'!$A$166,$DL$205^A130,IF(A130='Données projet'!$A$166,'Données projet'!$B$166,DO129+DN130-DW129)))</f>
        <v>240.62393162393116</v>
      </c>
      <c r="DP130" s="17">
        <f>DO130*VLOOKUP('Données projet'!$B$14,Paramètres!$A$1:$I$89,3,0)*VLOOKUP('Données projet'!$B$14,Paramètres!$A$1:$I$89,5,0)</f>
        <v>262.7613333333328</v>
      </c>
      <c r="DQ130" s="13">
        <f t="shared" si="97"/>
        <v>63.31062024001848</v>
      </c>
      <c r="DR130" s="20">
        <f t="shared" si="70"/>
        <v>567.90865247358681</v>
      </c>
      <c r="DS130" s="59">
        <f t="shared" si="71"/>
        <v>861.24198580692018</v>
      </c>
      <c r="DT130" s="59">
        <f ca="1">AVERAGE(OFFSET($DS$3,0,0,'Données projet'!$E$14+1,1))-AVERAGE(OFFSET($H$3,0,0,'Données projet'!$E$14+1,1))</f>
        <v>276.52126514622455</v>
      </c>
      <c r="DU130" s="59">
        <f t="shared" si="98"/>
        <v>173.98404849503186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49.474539931228804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49.474539931228804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5.2446581196581219</v>
      </c>
      <c r="EJ130" s="12">
        <f>IF('Données projet'!$A$192&gt;35,EJ129+EI130-ER129,IF(A130&lt;'Données projet'!$A$192,$EG$205^A130,IF(A130='Données projet'!$A$192,'Données projet'!$B$192,EJ129+EI130-ER129)))</f>
        <v>240.62393162393116</v>
      </c>
      <c r="EK130" s="17">
        <f>EJ130*VLOOKUP('Données projet'!$B$15,Paramètres!$A$1:$I$89,3,0)*VLOOKUP('Données projet'!$B$15,Paramètres!$A$1:$I$89,5,0)</f>
        <v>232.73146666666622</v>
      </c>
      <c r="EL130" s="13">
        <f t="shared" si="99"/>
        <v>56.872882063392389</v>
      </c>
      <c r="EM130" s="20">
        <f t="shared" si="73"/>
        <v>504.39424070485211</v>
      </c>
      <c r="EN130" s="59">
        <f t="shared" si="74"/>
        <v>797.72757403818537</v>
      </c>
      <c r="EO130" s="59">
        <f ca="1">AVERAGE(OFFSET($EN$3,0,0,'Données projet'!$E$15+1,1))-AVERAGE(OFFSET($H$3,0,0,'Données projet'!$E$15+1,1))</f>
        <v>234.56750794375012</v>
      </c>
      <c r="EP130" s="59">
        <f t="shared" si="100"/>
        <v>150.32420541314724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43.820306796231236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43.820306796231236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1.5961632016114892E-13</v>
      </c>
      <c r="P131" s="13">
        <f t="shared" si="87"/>
        <v>2.2708641912150958E-12</v>
      </c>
      <c r="Q131" s="20">
        <f t="shared" ref="Q131:Q153" si="108">(O131+P131)*0.475*44/12</f>
        <v>4.2330868906469593E-12</v>
      </c>
      <c r="R131" s="59">
        <f t="shared" ref="R131:R194" si="109">Q131+(I131+J131)*44/12</f>
        <v>293.33333333333752</v>
      </c>
      <c r="S131" s="59">
        <f ca="1">AVERAGE(OFFSET($R$3,0,0,'Données projet'!$E$9+1,1))-AVERAGE(OFFSET($H$3,0,0,'Données projet'!$E$9+1,1))</f>
        <v>198.17898804494365</v>
      </c>
      <c r="T131" s="59">
        <f t="shared" si="88"/>
        <v>186.24772922797723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111.11337180473447</v>
      </c>
      <c r="AA131" s="21">
        <f>EXP(-LN(2)/25)*AA130+(1-EXP(-LN(2)/25))/(LN(2)/25)*Calculateur!V131*Calculateur!X131*VLOOKUP('Données projet'!$B$9,Paramètres!$A$1:$I$89,3,0)*0.475*44/12</f>
        <v>23.212742220073611</v>
      </c>
      <c r="AB131" s="21">
        <f>EXP(-LN(2)/2)*AB130+(1-EXP(-LN(2)/2))/(LN(2)/2)*V131*Y131*VLOOKUP('Données projet'!$B$9,Paramètres!$A$1:$I$89,3,0)*0.475*44/12</f>
        <v>7.6603146852995199E-3</v>
      </c>
      <c r="AC131" s="22">
        <f t="shared" si="57"/>
        <v>134.33377433949337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278.21846622758881</v>
      </c>
      <c r="AO131" s="59">
        <f t="shared" si="90"/>
        <v>245.37578316242906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1.5064102564102591</v>
      </c>
      <c r="BD131" s="12">
        <f>IF('Données projet'!$A$88&gt;35,BD130+BC131-BL130,IF(A131&lt;'Données projet'!$A$88,$BA$205^A131,IF(A131='Données projet'!$A$88,'Données projet'!$B$88,BD130+BC131-BL130)))</f>
        <v>106.39102564102619</v>
      </c>
      <c r="BE131" s="13">
        <f>BD131*VLOOKUP('Données projet'!$B$11,Paramètres!$A$1:$I$89,3,0)*VLOOKUP('Données projet'!$B$11,Paramètres!$A$1:$I$89,5,0)</f>
        <v>96.262600000000489</v>
      </c>
      <c r="BF131" s="13">
        <f t="shared" si="91"/>
        <v>26.069649320395936</v>
      </c>
      <c r="BG131" s="20">
        <f t="shared" si="61"/>
        <v>213.06200089969045</v>
      </c>
      <c r="BH131" s="59">
        <f t="shared" si="62"/>
        <v>506.39533423302373</v>
      </c>
      <c r="BI131" s="59">
        <f ca="1">AVERAGE(OFFSET($BH$3,0,0,'Données projet'!$E$11+1,1))-AVERAGE(OFFSET($H$3,0,0,'Données projet'!$E$11+1,1))</f>
        <v>270.87836509222456</v>
      </c>
      <c r="BJ131" s="59">
        <f t="shared" si="92"/>
        <v>205.24998237949734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135.89224989107367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135.89224989107367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1.5064102564102591</v>
      </c>
      <c r="BY131" s="12">
        <f>IF('Données projet'!$A$114&gt;35,BY130+BX131-CG130,IF(A131&lt;'Données projet'!$A$114,$BV$205^A131,IF(A131='Données projet'!$A$114,'Données projet'!$B$114,BY130+BX131-CG130)))</f>
        <v>106.39102564102619</v>
      </c>
      <c r="BZ131" s="13">
        <f>BY131*VLOOKUP('Données projet'!$B$12,Paramètres!$A$1:$I$89,3,0)*VLOOKUP('Données projet'!$B$12,Paramètres!$A$1:$I$89,5,0)</f>
        <v>107.88050000000057</v>
      </c>
      <c r="CA131" s="13">
        <f t="shared" si="93"/>
        <v>28.83104978583652</v>
      </c>
      <c r="CB131" s="20">
        <f t="shared" si="64"/>
        <v>238.10594921033294</v>
      </c>
      <c r="CC131" s="59">
        <f t="shared" si="65"/>
        <v>531.4392825436662</v>
      </c>
      <c r="CD131" s="59">
        <f ca="1">AVERAGE(OFFSET($CC$3,0,0,'Données projet'!$E$12+1,1))-AVERAGE(OFFSET($H$3,0,0,'Données projet'!$E$12+1,1))</f>
        <v>312.29056285877169</v>
      </c>
      <c r="CE131" s="59">
        <f t="shared" si="94"/>
        <v>233.85454224241693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152.29303867103084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152.29303867103084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5.2446581196581219</v>
      </c>
      <c r="CT131" s="12">
        <f>IF('Données projet'!$A$140&gt;35,CT130+CS131-DB130,IF(A131&lt;'Données projet'!$A$140,$CQ$205^A131,IF(A131='Données projet'!$A$140,'Données projet'!$B$140,CT130+CS131-DB130)))</f>
        <v>245.86858974358927</v>
      </c>
      <c r="CU131" s="17">
        <f>CT131*VLOOKUP('Données projet'!$B$13,Paramètres!$A$1:$I$89,3,0)*VLOOKUP('Données projet'!$B$13,Paramètres!$A$1:$I$89,5,0)</f>
        <v>279.99514999999946</v>
      </c>
      <c r="CV131" s="13">
        <f t="shared" si="95"/>
        <v>66.965983935653597</v>
      </c>
      <c r="CW131" s="20">
        <f t="shared" si="67"/>
        <v>604.29064160459563</v>
      </c>
      <c r="CX131" s="59">
        <f t="shared" si="68"/>
        <v>897.62397493792901</v>
      </c>
      <c r="CY131" s="59">
        <f ca="1">AVERAGE(OFFSET($CX$3,0,0,'Données projet'!$E$13+1,1))-AVERAGE(OFFSET($H$3,0,0,'Données projet'!$E$13+1,1))</f>
        <v>292.22737648725354</v>
      </c>
      <c r="CZ131" s="59">
        <f t="shared" si="96"/>
        <v>182.84038581199871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50.583133281652813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50.583133281652813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5.2446581196581219</v>
      </c>
      <c r="DO131" s="12">
        <f>IF('Données projet'!$A$166&gt;35,DO130+DN131-DW130,IF(A131&lt;'Données projet'!$A$166,$DL$205^A131,IF(A131='Données projet'!$A$166,'Données projet'!$B$166,DO130+DN131-DW130)))</f>
        <v>245.86858974358927</v>
      </c>
      <c r="DP131" s="17">
        <f>DO131*VLOOKUP('Données projet'!$B$14,Paramètres!$A$1:$I$89,3,0)*VLOOKUP('Données projet'!$B$14,Paramètres!$A$1:$I$89,5,0)</f>
        <v>268.48849999999948</v>
      </c>
      <c r="DQ131" s="13">
        <f t="shared" si="97"/>
        <v>64.528386108223771</v>
      </c>
      <c r="DR131" s="20">
        <f t="shared" si="70"/>
        <v>580.00440997182216</v>
      </c>
      <c r="DS131" s="59">
        <f t="shared" si="71"/>
        <v>873.33774330515553</v>
      </c>
      <c r="DT131" s="59">
        <f ca="1">AVERAGE(OFFSET($DS$3,0,0,'Données projet'!$E$14+1,1))-AVERAGE(OFFSET($H$3,0,0,'Données projet'!$E$14+1,1))</f>
        <v>276.52126514622455</v>
      </c>
      <c r="DU131" s="59">
        <f t="shared" si="98"/>
        <v>173.98404849503186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48.504374379667084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48.504374379667084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5.2446581196581219</v>
      </c>
      <c r="EJ131" s="12">
        <f>IF('Données projet'!$A$192&gt;35,EJ130+EI131-ER130,IF(A131&lt;'Données projet'!$A$192,$EG$205^A131,IF(A131='Données projet'!$A$192,'Données projet'!$B$192,EJ130+EI131-ER130)))</f>
        <v>245.86858974358927</v>
      </c>
      <c r="EK131" s="17">
        <f>EJ131*VLOOKUP('Données projet'!$B$15,Paramètres!$A$1:$I$89,3,0)*VLOOKUP('Données projet'!$B$15,Paramètres!$A$1:$I$89,5,0)</f>
        <v>237.80409999999952</v>
      </c>
      <c r="EL131" s="13">
        <f t="shared" si="99"/>
        <v>57.966819452422889</v>
      </c>
      <c r="EM131" s="20">
        <f t="shared" si="73"/>
        <v>515.13435137963563</v>
      </c>
      <c r="EN131" s="59">
        <f t="shared" si="74"/>
        <v>808.467684712969</v>
      </c>
      <c r="EO131" s="59">
        <f ca="1">AVERAGE(OFFSET($EN$3,0,0,'Données projet'!$E$15+1,1))-AVERAGE(OFFSET($H$3,0,0,'Données projet'!$E$15+1,1))</f>
        <v>234.56750794375012</v>
      </c>
      <c r="EP131" s="59">
        <f t="shared" si="100"/>
        <v>150.32420541314724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42.961017307705141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42.961017307705141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1.5961632016114892E-13</v>
      </c>
      <c r="P132" s="13">
        <f t="shared" si="87"/>
        <v>2.2708641912150958E-12</v>
      </c>
      <c r="Q132" s="20">
        <f t="shared" si="108"/>
        <v>4.2330868906469593E-12</v>
      </c>
      <c r="R132" s="59">
        <f t="shared" si="109"/>
        <v>293.33333333333752</v>
      </c>
      <c r="S132" s="59">
        <f ca="1">AVERAGE(OFFSET($R$3,0,0,'Données projet'!$E$9+1,1))-AVERAGE(OFFSET($H$3,0,0,'Données projet'!$E$9+1,1))</f>
        <v>198.17898804494365</v>
      </c>
      <c r="T132" s="59">
        <f t="shared" si="88"/>
        <v>186.24772922797723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108.93450635610846</v>
      </c>
      <c r="AA132" s="21">
        <f>EXP(-LN(2)/25)*AA131+(1-EXP(-LN(2)/25))/(LN(2)/25)*Calculateur!V132*Calculateur!X132*VLOOKUP('Données projet'!$B$9,Paramètres!$A$1:$I$89,3,0)*0.475*44/12</f>
        <v>22.577988563360638</v>
      </c>
      <c r="AB132" s="21">
        <f>EXP(-LN(2)/2)*AB131+(1-EXP(-LN(2)/2))/(LN(2)/2)*V132*Y132*VLOOKUP('Données projet'!$B$9,Paramètres!$A$1:$I$89,3,0)*0.475*44/12</f>
        <v>5.4166604599981847E-3</v>
      </c>
      <c r="AC132" s="22">
        <f t="shared" ref="AC132:AC153" si="111">SUM(Z132:AB132)</f>
        <v>131.51791157992909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278.21846622758881</v>
      </c>
      <c r="AO132" s="59">
        <f t="shared" si="90"/>
        <v>245.37578316242906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1.5064102564102591</v>
      </c>
      <c r="BD132" s="12">
        <f>IF('Données projet'!$A$88&gt;35,BD131+BC132-BL131,IF(A132&lt;'Données projet'!$A$88,$BA$205^A132,IF(A132='Données projet'!$A$88,'Données projet'!$B$88,BD131+BC132-BL131)))</f>
        <v>107.89743589743645</v>
      </c>
      <c r="BE132" s="13">
        <f>BD132*VLOOKUP('Données projet'!$B$11,Paramètres!$A$1:$I$89,3,0)*VLOOKUP('Données projet'!$B$11,Paramètres!$A$1:$I$89,5,0)</f>
        <v>97.625600000000489</v>
      </c>
      <c r="BF132" s="13">
        <f t="shared" si="91"/>
        <v>26.395540798282454</v>
      </c>
      <c r="BG132" s="20">
        <f t="shared" ref="BG132:BG153" si="115">(BE132+BF132)*0.475*44/12</f>
        <v>216.00348689034277</v>
      </c>
      <c r="BH132" s="59">
        <f t="shared" ref="BH132:BH195" si="116">BG132+(AY132+AZ132)*44/12</f>
        <v>509.33682022367611</v>
      </c>
      <c r="BI132" s="59">
        <f ca="1">AVERAGE(OFFSET($BH$3,0,0,'Données projet'!$E$11+1,1))-AVERAGE(OFFSET($H$3,0,0,'Données projet'!$E$11+1,1))</f>
        <v>270.87836509222456</v>
      </c>
      <c r="BJ132" s="59">
        <f t="shared" si="92"/>
        <v>205.24998237949734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133.22748575679782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133.22748575679782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1.5064102564102591</v>
      </c>
      <c r="BY132" s="12">
        <f>IF('Données projet'!$A$114&gt;35,BY131+BX132-CG131,IF(A132&lt;'Données projet'!$A$114,$BV$205^A132,IF(A132='Données projet'!$A$114,'Données projet'!$B$114,BY131+BX132-CG131)))</f>
        <v>107.89743589743645</v>
      </c>
      <c r="BZ132" s="13">
        <f>BY132*VLOOKUP('Données projet'!$B$12,Paramètres!$A$1:$I$89,3,0)*VLOOKUP('Données projet'!$B$12,Paramètres!$A$1:$I$89,5,0)</f>
        <v>109.40800000000057</v>
      </c>
      <c r="CA132" s="13">
        <f t="shared" si="93"/>
        <v>29.191460979261141</v>
      </c>
      <c r="CB132" s="20">
        <f t="shared" ref="CB132:CB153" si="118">(BZ132+CA132)*0.475*44/12</f>
        <v>241.39406120554747</v>
      </c>
      <c r="CC132" s="59">
        <f t="shared" ref="CC132:CC195" si="119">CB132+(BT132+BU132)*44/12</f>
        <v>534.72739453888084</v>
      </c>
      <c r="CD132" s="59">
        <f ca="1">AVERAGE(OFFSET($CC$3,0,0,'Données projet'!$E$12+1,1))-AVERAGE(OFFSET($H$3,0,0,'Données projet'!$E$12+1,1))</f>
        <v>312.29056285877169</v>
      </c>
      <c r="CE132" s="59">
        <f t="shared" si="94"/>
        <v>233.85454224241693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149.30666507227343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149.30666507227343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5.2446581196581219</v>
      </c>
      <c r="CT132" s="12">
        <f>IF('Données projet'!$A$140&gt;35,CT131+CS132-DB131,IF(A132&lt;'Données projet'!$A$140,$CQ$205^A132,IF(A132='Données projet'!$A$140,'Données projet'!$B$140,CT131+CS132-DB131)))</f>
        <v>251.11324786324738</v>
      </c>
      <c r="CU132" s="17">
        <f>CT132*VLOOKUP('Données projet'!$B$13,Paramètres!$A$1:$I$89,3,0)*VLOOKUP('Données projet'!$B$13,Paramètres!$A$1:$I$89,5,0)</f>
        <v>285.96776666666614</v>
      </c>
      <c r="CV132" s="13">
        <f t="shared" si="95"/>
        <v>68.226617402797473</v>
      </c>
      <c r="CW132" s="20">
        <f t="shared" ref="CW132:CW153" si="121">(CU132+CV132)*0.475*44/12</f>
        <v>616.88855225431575</v>
      </c>
      <c r="CX132" s="59">
        <f t="shared" ref="CX132:CX195" si="122">CW132+(CO132+CP132)*44/12</f>
        <v>910.22188558764901</v>
      </c>
      <c r="CY132" s="59">
        <f ca="1">AVERAGE(OFFSET($CX$3,0,0,'Données projet'!$E$13+1,1))-AVERAGE(OFFSET($H$3,0,0,'Données projet'!$E$13+1,1))</f>
        <v>292.22737648725354</v>
      </c>
      <c r="CZ132" s="59">
        <f t="shared" si="96"/>
        <v>182.84038581199871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49.591228890664453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49.591228890664453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5.2446581196581219</v>
      </c>
      <c r="DO132" s="12">
        <f>IF('Données projet'!$A$166&gt;35,DO131+DN132-DW131,IF(A132&lt;'Données projet'!$A$166,$DL$205^A132,IF(A132='Données projet'!$A$166,'Données projet'!$B$166,DO131+DN132-DW131)))</f>
        <v>251.11324786324738</v>
      </c>
      <c r="DP132" s="17">
        <f>DO132*VLOOKUP('Données projet'!$B$14,Paramètres!$A$1:$I$89,3,0)*VLOOKUP('Données projet'!$B$14,Paramètres!$A$1:$I$89,5,0)</f>
        <v>274.21566666666615</v>
      </c>
      <c r="DQ132" s="13">
        <f t="shared" si="97"/>
        <v>65.74313183923509</v>
      </c>
      <c r="DR132" s="20">
        <f t="shared" ref="DR132:DR153" si="124">(DP132+DQ132)*0.475*44/12</f>
        <v>592.094907397778</v>
      </c>
      <c r="DS132" s="59">
        <f t="shared" ref="DS132:DS195" si="125">DR132+(DJ132+DK132)*44/12</f>
        <v>885.42824073111137</v>
      </c>
      <c r="DT132" s="59">
        <f ca="1">AVERAGE(OFFSET($DS$3,0,0,'Données projet'!$E$14+1,1))-AVERAGE(OFFSET($H$3,0,0,'Données projet'!$E$14+1,1))</f>
        <v>276.52126514622455</v>
      </c>
      <c r="DU132" s="59">
        <f t="shared" si="98"/>
        <v>173.98404849503186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47.553233182828933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47.553233182828933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5.2446581196581219</v>
      </c>
      <c r="EJ132" s="12">
        <f>IF('Données projet'!$A$192&gt;35,EJ131+EI132-ER131,IF(A132&lt;'Données projet'!$A$192,$EG$205^A132,IF(A132='Données projet'!$A$192,'Données projet'!$B$192,EJ131+EI132-ER131)))</f>
        <v>251.11324786324738</v>
      </c>
      <c r="EK132" s="17">
        <f>EJ132*VLOOKUP('Données projet'!$B$15,Paramètres!$A$1:$I$89,3,0)*VLOOKUP('Données projet'!$B$15,Paramètres!$A$1:$I$89,5,0)</f>
        <v>242.87673333333288</v>
      </c>
      <c r="EL132" s="13">
        <f t="shared" si="99"/>
        <v>59.058043806802971</v>
      </c>
      <c r="EM132" s="20">
        <f t="shared" ref="EM132:EM153" si="127">(EK132+EL132)*0.475*44/12</f>
        <v>525.86973685240321</v>
      </c>
      <c r="EN132" s="59">
        <f t="shared" ref="EN132:EN195" si="128">EM132+(EE132+EF132)*44/12</f>
        <v>819.20307018573658</v>
      </c>
      <c r="EO132" s="59">
        <f ca="1">AVERAGE(OFFSET($EN$3,0,0,'Données projet'!$E$15+1,1))-AVERAGE(OFFSET($H$3,0,0,'Données projet'!$E$15+1,1))</f>
        <v>234.56750794375012</v>
      </c>
      <c r="EP132" s="59">
        <f t="shared" si="100"/>
        <v>150.32420541314724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42.118577961934207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42.118577961934207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1.5961632016114892E-13</v>
      </c>
      <c r="P133" s="13">
        <f t="shared" ref="P133:P196" si="141">EXP(-1.0587+0.8836*LN(O133)+0.284)</f>
        <v>2.2708641912150958E-12</v>
      </c>
      <c r="Q133" s="20">
        <f t="shared" si="108"/>
        <v>4.2330868906469593E-12</v>
      </c>
      <c r="R133" s="59">
        <f t="shared" si="109"/>
        <v>293.33333333333752</v>
      </c>
      <c r="S133" s="59">
        <f ca="1">AVERAGE(OFFSET($R$3,0,0,'Données projet'!$E$9+1,1))-AVERAGE(OFFSET($H$3,0,0,'Données projet'!$E$9+1,1))</f>
        <v>198.17898804494365</v>
      </c>
      <c r="T133" s="59">
        <f t="shared" ref="T133:T196" si="142">$T$3</f>
        <v>186.24772922797723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106.79836712995329</v>
      </c>
      <c r="AA133" s="21">
        <f>EXP(-LN(2)/25)*AA132+(1-EXP(-LN(2)/25))/(LN(2)/25)*Calculateur!V133*Calculateur!X133*VLOOKUP('Données projet'!$B$9,Paramètres!$A$1:$I$89,3,0)*0.475*44/12</f>
        <v>21.960592278770726</v>
      </c>
      <c r="AB133" s="21">
        <f>EXP(-LN(2)/2)*AB132+(1-EXP(-LN(2)/2))/(LN(2)/2)*V133*Y133*VLOOKUP('Données projet'!$B$9,Paramètres!$A$1:$I$89,3,0)*0.475*44/12</f>
        <v>3.8301573426497604E-3</v>
      </c>
      <c r="AC133" s="22">
        <f t="shared" si="111"/>
        <v>128.76278956606669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278.21846622758881</v>
      </c>
      <c r="AO133" s="59">
        <f t="shared" ref="AO133:AO196" si="144">$AO$3</f>
        <v>245.37578316242906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1.5064102564102591</v>
      </c>
      <c r="BD133" s="12">
        <f>IF('Données projet'!$A$88&gt;35,BD132+BC133-BL132,IF(A133&lt;'Données projet'!$A$88,$BA$205^A133,IF(A133='Données projet'!$A$88,'Données projet'!$B$88,BD132+BC133-BL132)))</f>
        <v>109.40384615384671</v>
      </c>
      <c r="BE133" s="13">
        <f>BD133*VLOOKUP('Données projet'!$B$11,Paramètres!$A$1:$I$89,3,0)*VLOOKUP('Données projet'!$B$11,Paramètres!$A$1:$I$89,5,0)</f>
        <v>98.988600000000503</v>
      </c>
      <c r="BF133" s="13">
        <f t="shared" ref="BF133:BF153" si="145">EXP(-1.0587+0.8836*LN(BE133)+0.284)</f>
        <v>26.720903075724102</v>
      </c>
      <c r="BG133" s="20">
        <f t="shared" si="115"/>
        <v>218.94405119022034</v>
      </c>
      <c r="BH133" s="59">
        <f t="shared" si="116"/>
        <v>512.27738452355368</v>
      </c>
      <c r="BI133" s="59">
        <f ca="1">AVERAGE(OFFSET($BH$3,0,0,'Données projet'!$E$11+1,1))-AVERAGE(OFFSET($H$3,0,0,'Données projet'!$E$11+1,1))</f>
        <v>270.87836509222456</v>
      </c>
      <c r="BJ133" s="59">
        <f t="shared" ref="BJ133:BJ196" si="146">$BJ$3</f>
        <v>205.24998237949734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130.61497602184949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130.61497602184949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1.5064102564102591</v>
      </c>
      <c r="BY133" s="12">
        <f>IF('Données projet'!$A$114&gt;35,BY132+BX133-CG132,IF(A133&lt;'Données projet'!$A$114,$BV$205^A133,IF(A133='Données projet'!$A$114,'Données projet'!$B$114,BY132+BX133-CG132)))</f>
        <v>109.40384615384671</v>
      </c>
      <c r="BZ133" s="13">
        <f>BY133*VLOOKUP('Données projet'!$B$12,Paramètres!$A$1:$I$89,3,0)*VLOOKUP('Données projet'!$B$12,Paramètres!$A$1:$I$89,5,0)</f>
        <v>110.93550000000057</v>
      </c>
      <c r="CA133" s="13">
        <f t="shared" ref="CA133:CA153" si="147">EXP(-1.0587+0.8836*LN(BZ133)+0.284)</f>
        <v>29.551286917234709</v>
      </c>
      <c r="CB133" s="20">
        <f t="shared" si="118"/>
        <v>244.6811538808515</v>
      </c>
      <c r="CC133" s="59">
        <f t="shared" si="119"/>
        <v>538.01448721418478</v>
      </c>
      <c r="CD133" s="59">
        <f ca="1">AVERAGE(OFFSET($CC$3,0,0,'Données projet'!$E$12+1,1))-AVERAGE(OFFSET($H$3,0,0,'Données projet'!$E$12+1,1))</f>
        <v>312.29056285877169</v>
      </c>
      <c r="CE133" s="59">
        <f t="shared" ref="CE133:CE196" si="148">$CE$3</f>
        <v>233.85454224241693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146.37885243827961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146.37885243827961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5.2446581196581219</v>
      </c>
      <c r="CT133" s="12">
        <f>IF('Données projet'!$A$140&gt;35,CT132+CS133-DB132,IF(A133&lt;'Données projet'!$A$140,$CQ$205^A133,IF(A133='Données projet'!$A$140,'Données projet'!$B$140,CT132+CS133-DB132)))</f>
        <v>256.35790598290549</v>
      </c>
      <c r="CU133" s="17">
        <f>CT133*VLOOKUP('Données projet'!$B$13,Paramètres!$A$1:$I$89,3,0)*VLOOKUP('Données projet'!$B$13,Paramètres!$A$1:$I$89,5,0)</f>
        <v>291.94038333333276</v>
      </c>
      <c r="CV133" s="13">
        <f t="shared" ref="CV133:CV153" si="149">EXP(-1.0587+0.8836*LN(CU133)+0.284)</f>
        <v>69.484189647067225</v>
      </c>
      <c r="CW133" s="20">
        <f t="shared" si="121"/>
        <v>629.48113127419663</v>
      </c>
      <c r="CX133" s="59">
        <f t="shared" si="122"/>
        <v>922.81446460753</v>
      </c>
      <c r="CY133" s="59">
        <f ca="1">AVERAGE(OFFSET($CX$3,0,0,'Données projet'!$E$13+1,1))-AVERAGE(OFFSET($H$3,0,0,'Données projet'!$E$13+1,1))</f>
        <v>292.22737648725354</v>
      </c>
      <c r="CZ133" s="59">
        <f t="shared" ref="CZ133:CZ196" si="150">$CZ$3</f>
        <v>182.84038581199871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48.618775139781441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48.618775139781441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5.2446581196581219</v>
      </c>
      <c r="DO133" s="12">
        <f>IF('Données projet'!$A$166&gt;35,DO132+DN133-DW132,IF(A133&lt;'Données projet'!$A$166,$DL$205^A133,IF(A133='Données projet'!$A$166,'Données projet'!$B$166,DO132+DN133-DW132)))</f>
        <v>256.35790598290549</v>
      </c>
      <c r="DP133" s="17">
        <f>DO133*VLOOKUP('Données projet'!$B$14,Paramètres!$A$1:$I$89,3,0)*VLOOKUP('Données projet'!$B$14,Paramètres!$A$1:$I$89,5,0)</f>
        <v>279.94283333333277</v>
      </c>
      <c r="DQ133" s="13">
        <f t="shared" ref="DQ133:DQ153" si="151">EXP(-1.0587+0.8836*LN(DP133)+0.284)</f>
        <v>66.954927777531154</v>
      </c>
      <c r="DR133" s="20">
        <f t="shared" si="124"/>
        <v>604.18026726808796</v>
      </c>
      <c r="DS133" s="59">
        <f t="shared" si="125"/>
        <v>897.51360060142133</v>
      </c>
      <c r="DT133" s="59">
        <f ca="1">AVERAGE(OFFSET($DS$3,0,0,'Données projet'!$E$14+1,1))-AVERAGE(OFFSET($H$3,0,0,'Données projet'!$E$14+1,1))</f>
        <v>276.52126514622455</v>
      </c>
      <c r="DU133" s="59">
        <f t="shared" ref="DU133:DU196" si="152">$DU$3</f>
        <v>173.98404849503186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46.620743284721932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46.620743284721932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5.2446581196581219</v>
      </c>
      <c r="EJ133" s="12">
        <f>IF('Données projet'!$A$192&gt;35,EJ132+EI133-ER132,IF(A133&lt;'Données projet'!$A$192,$EG$205^A133,IF(A133='Données projet'!$A$192,'Données projet'!$B$192,EJ132+EI133-ER132)))</f>
        <v>256.35790598290549</v>
      </c>
      <c r="EK133" s="17">
        <f>EJ133*VLOOKUP('Données projet'!$B$15,Paramètres!$A$1:$I$89,3,0)*VLOOKUP('Données projet'!$B$15,Paramètres!$A$1:$I$89,5,0)</f>
        <v>247.94936666666621</v>
      </c>
      <c r="EL133" s="13">
        <f t="shared" ref="EL133:EL153" si="153">EXP(-1.0587+0.8836*LN(EK133)+0.284)</f>
        <v>60.14661831803555</v>
      </c>
      <c r="EM133" s="20">
        <f t="shared" si="127"/>
        <v>536.60050718168884</v>
      </c>
      <c r="EN133" s="59">
        <f t="shared" si="128"/>
        <v>829.93384051502221</v>
      </c>
      <c r="EO133" s="59">
        <f ca="1">AVERAGE(OFFSET($EN$3,0,0,'Données projet'!$E$15+1,1))-AVERAGE(OFFSET($H$3,0,0,'Données projet'!$E$15+1,1))</f>
        <v>234.56750794375012</v>
      </c>
      <c r="EP133" s="59">
        <f t="shared" ref="EP133:EP196" si="154">$EP$3</f>
        <v>150.32420541314724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41.292658337896576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41.292658337896576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1.5961632016114892E-13</v>
      </c>
      <c r="P134" s="13">
        <f t="shared" si="141"/>
        <v>2.2708641912150958E-12</v>
      </c>
      <c r="Q134" s="20">
        <f t="shared" si="108"/>
        <v>4.2330868906469593E-12</v>
      </c>
      <c r="R134" s="59">
        <f t="shared" si="109"/>
        <v>293.33333333333752</v>
      </c>
      <c r="S134" s="59">
        <f ca="1">AVERAGE(OFFSET($R$3,0,0,'Données projet'!$E$9+1,1))-AVERAGE(OFFSET($H$3,0,0,'Données projet'!$E$9+1,1))</f>
        <v>198.17898804494365</v>
      </c>
      <c r="T134" s="59">
        <f t="shared" si="142"/>
        <v>186.24772922797723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104.70411629110676</v>
      </c>
      <c r="AA134" s="21">
        <f>EXP(-LN(2)/25)*AA133+(1-EXP(-LN(2)/25))/(LN(2)/25)*Calculateur!V134*Calculateur!X134*VLOOKUP('Données projet'!$B$9,Paramètres!$A$1:$I$89,3,0)*0.475*44/12</f>
        <v>21.360078728050382</v>
      </c>
      <c r="AB134" s="21">
        <f>EXP(-LN(2)/2)*AB133+(1-EXP(-LN(2)/2))/(LN(2)/2)*V134*Y134*VLOOKUP('Données projet'!$B$9,Paramètres!$A$1:$I$89,3,0)*0.475*44/12</f>
        <v>2.7083302299990928E-3</v>
      </c>
      <c r="AC134" s="22">
        <f t="shared" si="111"/>
        <v>126.06690334938713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278.21846622758881</v>
      </c>
      <c r="AO134" s="59">
        <f t="shared" si="144"/>
        <v>245.37578316242906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110.91025641025641</v>
      </c>
      <c r="BB134" s="12">
        <f>VLOOKUP(A134,'Données projet'!$A$87:$I$107,9,0)</f>
        <v>1.5064102564102591</v>
      </c>
      <c r="BC134" s="12">
        <f t="array" ref="BC134">INDEX(BB:BB,MIN(IF(ISNUMBER(BB134:BB330),ROW(BB134:BB330),"")))</f>
        <v>1.5064102564102591</v>
      </c>
      <c r="BD134" s="12">
        <f>IF('Données projet'!$A$88&gt;35,BD133+BC134-BL133,IF(A134&lt;'Données projet'!$A$88,$BA$205^A134,IF(A134='Données projet'!$A$88,'Données projet'!$B$88,BD133+BC134-BL133)))</f>
        <v>110.91025641025698</v>
      </c>
      <c r="BE134" s="13">
        <f>BD134*VLOOKUP('Données projet'!$B$11,Paramètres!$A$1:$I$89,3,0)*VLOOKUP('Données projet'!$B$11,Paramètres!$A$1:$I$89,5,0)</f>
        <v>100.3516000000005</v>
      </c>
      <c r="BF134" s="13">
        <f t="shared" si="145"/>
        <v>27.045744281593826</v>
      </c>
      <c r="BG134" s="20">
        <f t="shared" si="115"/>
        <v>221.88370795711012</v>
      </c>
      <c r="BH134" s="59">
        <f t="shared" si="116"/>
        <v>515.21704129044338</v>
      </c>
      <c r="BI134" s="59">
        <f ca="1">AVERAGE(OFFSET($BH$3,0,0,'Données projet'!$E$11+1,1))-AVERAGE(OFFSET($H$3,0,0,'Données projet'!$E$11+1,1))</f>
        <v>270.87836509222456</v>
      </c>
      <c r="BJ134" s="59">
        <f t="shared" si="146"/>
        <v>205.24998237949734</v>
      </c>
      <c r="BK134" s="15">
        <f>IF(ISNA(VLOOKUP(A134,'Données projet'!$A$87:$I$107,3,0)),0,VLOOKUP(A134,'Données projet'!$A$87:$I$107,3,0))</f>
        <v>14</v>
      </c>
      <c r="BL134" s="15">
        <f>IF(ISNA(VLOOKUP(A134,'Données projet'!$A$87:$I$107,4,0)),0,VLOOKUP(A134,'Données projet'!$A$87:$I$107,4,0))</f>
        <v>110.91025641025641</v>
      </c>
      <c r="BM134" s="16">
        <f>IF(ISNA(VLOOKUP(A134,'Données projet'!$A$87:$I$107,5,0)),0%,VLOOKUP(A134,'Données projet'!$A$87:$I$107,5,0)*VLOOKUP('Données projet'!$B$11,Paramètres!$A$1:$I$89,7,0))</f>
        <v>0.38700000000000001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170.98582016742182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170.98582016742182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110.91025641025641</v>
      </c>
      <c r="BW134" s="12">
        <f>VLOOKUP(A134,'Données projet'!$A$113:$I$133,9,0)</f>
        <v>1.5064102564102591</v>
      </c>
      <c r="BX134" s="12">
        <f t="array" ref="BX134">INDEX(BW:BW,MIN(IF(ISNUMBER(BW134:BW330),ROW(BW134:BW330),"")))</f>
        <v>1.5064102564102591</v>
      </c>
      <c r="BY134" s="12">
        <f>IF('Données projet'!$A$114&gt;35,BY133+BX134-CG133,IF(A134&lt;'Données projet'!$A$114,$BV$205^A134,IF(A134='Données projet'!$A$114,'Données projet'!$B$114,BY133+BX134-CG133)))</f>
        <v>110.91025641025698</v>
      </c>
      <c r="BZ134" s="13">
        <f>BY134*VLOOKUP('Données projet'!$B$12,Paramètres!$A$1:$I$89,3,0)*VLOOKUP('Données projet'!$B$12,Paramètres!$A$1:$I$89,5,0)</f>
        <v>112.46300000000058</v>
      </c>
      <c r="CA134" s="13">
        <f t="shared" si="147"/>
        <v>29.910536589672557</v>
      </c>
      <c r="CB134" s="20">
        <f t="shared" si="118"/>
        <v>247.96724289368069</v>
      </c>
      <c r="CC134" s="59">
        <f t="shared" si="119"/>
        <v>541.30057622701406</v>
      </c>
      <c r="CD134" s="59">
        <f ca="1">AVERAGE(OFFSET($CC$3,0,0,'Données projet'!$E$12+1,1))-AVERAGE(OFFSET($H$3,0,0,'Données projet'!$E$12+1,1))</f>
        <v>312.29056285877169</v>
      </c>
      <c r="CE134" s="59">
        <f t="shared" si="148"/>
        <v>233.85454224241693</v>
      </c>
      <c r="CF134" s="15">
        <f>IF(ISNA(VLOOKUP(A134,'Données projet'!$A$113:$I$133,3,0)),0,VLOOKUP(A134,'Données projet'!$A$113:$I$133,3,0))</f>
        <v>14</v>
      </c>
      <c r="CG134" s="15">
        <f>IF(ISNA(VLOOKUP(A134,'Données projet'!$A$113:$I$133,4,0)),0,VLOOKUP(A134,'Données projet'!$A$113:$I$133,4,0))</f>
        <v>110.91025641025641</v>
      </c>
      <c r="CH134" s="16">
        <f>IF(ISNA(VLOOKUP(A134,'Données projet'!$A$113:$I$133,5,0)),0%,VLOOKUP(A134,'Données projet'!$A$113:$I$133,5,0)*VLOOKUP('Données projet'!$B$12,Paramètres!$A$1:$I$89,7,0))</f>
        <v>0.38700000000000001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191.62203984280035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191.62203984280035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5.2446581196581219</v>
      </c>
      <c r="CT134" s="12">
        <f>IF('Données projet'!$A$140&gt;35,CT133+CS134-DB133,IF(A134&lt;'Données projet'!$A$140,$CQ$205^A134,IF(A134='Données projet'!$A$140,'Données projet'!$B$140,CT133+CS134-DB133)))</f>
        <v>261.60256410256363</v>
      </c>
      <c r="CU134" s="17">
        <f>CT134*VLOOKUP('Données projet'!$B$13,Paramètres!$A$1:$I$89,3,0)*VLOOKUP('Données projet'!$B$13,Paramètres!$A$1:$I$89,5,0)</f>
        <v>297.91299999999944</v>
      </c>
      <c r="CV134" s="13">
        <f t="shared" si="149"/>
        <v>70.738770512511323</v>
      </c>
      <c r="CW134" s="20">
        <f t="shared" si="121"/>
        <v>642.06850030928956</v>
      </c>
      <c r="CX134" s="59">
        <f t="shared" si="122"/>
        <v>935.40183364262293</v>
      </c>
      <c r="CY134" s="59">
        <f ca="1">AVERAGE(OFFSET($CX$3,0,0,'Données projet'!$E$13+1,1))-AVERAGE(OFFSET($H$3,0,0,'Données projet'!$E$13+1,1))</f>
        <v>292.22737648725354</v>
      </c>
      <c r="CZ134" s="59">
        <f t="shared" si="150"/>
        <v>182.84038581199871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47.665390613815021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47.665390613815021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5.2446581196581219</v>
      </c>
      <c r="DO134" s="12">
        <f>IF('Données projet'!$A$166&gt;35,DO133+DN134-DW133,IF(A134&lt;'Données projet'!$A$166,$DL$205^A134,IF(A134='Données projet'!$A$166,'Données projet'!$B$166,DO133+DN134-DW133)))</f>
        <v>261.60256410256363</v>
      </c>
      <c r="DP134" s="17">
        <f>DO134*VLOOKUP('Données projet'!$B$14,Paramètres!$A$1:$I$89,3,0)*VLOOKUP('Données projet'!$B$14,Paramètres!$A$1:$I$89,5,0)</f>
        <v>285.66999999999945</v>
      </c>
      <c r="DQ134" s="13">
        <f t="shared" si="151"/>
        <v>68.163841224799484</v>
      </c>
      <c r="DR134" s="20">
        <f t="shared" si="124"/>
        <v>616.26060679985801</v>
      </c>
      <c r="DS134" s="59">
        <f t="shared" si="125"/>
        <v>909.59394013319138</v>
      </c>
      <c r="DT134" s="59">
        <f ca="1">AVERAGE(OFFSET($DS$3,0,0,'Données projet'!$E$14+1,1))-AVERAGE(OFFSET($H$3,0,0,'Données projet'!$E$14+1,1))</f>
        <v>276.52126514622455</v>
      </c>
      <c r="DU134" s="59">
        <f t="shared" si="152"/>
        <v>173.98404849503186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45.706538944754129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45.706538944754129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5.2446581196581219</v>
      </c>
      <c r="EJ134" s="12">
        <f>IF('Données projet'!$A$192&gt;35,EJ133+EI134-ER133,IF(A134&lt;'Données projet'!$A$192,$EG$205^A134,IF(A134='Données projet'!$A$192,'Données projet'!$B$192,EJ133+EI134-ER133)))</f>
        <v>261.60256410256363</v>
      </c>
      <c r="EK134" s="17">
        <f>EJ134*VLOOKUP('Données projet'!$B$15,Paramètres!$A$1:$I$89,3,0)*VLOOKUP('Données projet'!$B$15,Paramètres!$A$1:$I$89,5,0)</f>
        <v>253.02199999999957</v>
      </c>
      <c r="EL134" s="13">
        <f t="shared" si="153"/>
        <v>61.232603444238507</v>
      </c>
      <c r="EM134" s="20">
        <f t="shared" si="127"/>
        <v>547.32676766538123</v>
      </c>
      <c r="EN134" s="59">
        <f t="shared" si="128"/>
        <v>840.6601009987146</v>
      </c>
      <c r="EO134" s="59">
        <f ca="1">AVERAGE(OFFSET($EN$3,0,0,'Données projet'!$E$15+1,1))-AVERAGE(OFFSET($H$3,0,0,'Données projet'!$E$15+1,1))</f>
        <v>234.56750794375012</v>
      </c>
      <c r="EP134" s="59">
        <f t="shared" si="154"/>
        <v>150.32420541314724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40.482934493925093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40.482934493925093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1.5961632016114892E-13</v>
      </c>
      <c r="P135" s="13">
        <f t="shared" si="141"/>
        <v>2.2708641912150958E-12</v>
      </c>
      <c r="Q135" s="20">
        <f t="shared" si="108"/>
        <v>4.2330868906469593E-12</v>
      </c>
      <c r="R135" s="59">
        <f t="shared" si="109"/>
        <v>293.33333333333752</v>
      </c>
      <c r="S135" s="59">
        <f ca="1">AVERAGE(OFFSET($R$3,0,0,'Données projet'!$E$9+1,1))-AVERAGE(OFFSET($H$3,0,0,'Données projet'!$E$9+1,1))</f>
        <v>198.17898804494365</v>
      </c>
      <c r="T135" s="59">
        <f t="shared" si="142"/>
        <v>186.24772922797723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102.65093243384312</v>
      </c>
      <c r="AA135" s="21">
        <f>EXP(-LN(2)/25)*AA134+(1-EXP(-LN(2)/25))/(LN(2)/25)*Calculateur!V135*Calculateur!X135*VLOOKUP('Données projet'!$B$9,Paramètres!$A$1:$I$89,3,0)*0.475*44/12</f>
        <v>20.775986251954123</v>
      </c>
      <c r="AB135" s="21">
        <f>EXP(-LN(2)/2)*AB134+(1-EXP(-LN(2)/2))/(LN(2)/2)*V135*Y135*VLOOKUP('Données projet'!$B$9,Paramètres!$A$1:$I$89,3,0)*0.475*44/12</f>
        <v>1.9150786713248806E-3</v>
      </c>
      <c r="AC135" s="22">
        <f t="shared" si="111"/>
        <v>123.42883376446858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278.21846622758881</v>
      </c>
      <c r="AO135" s="59">
        <f t="shared" si="144"/>
        <v>245.37578316242906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5.6843418860808015E-13</v>
      </c>
      <c r="BE135" s="13">
        <f>BD135*VLOOKUP('Données projet'!$B$11,Paramètres!$A$1:$I$89,3,0)*VLOOKUP('Données projet'!$B$11,Paramètres!$A$1:$I$89,5,0)</f>
        <v>5.1431925385259092E-13</v>
      </c>
      <c r="BF135" s="13">
        <f t="shared" si="145"/>
        <v>6.3855359115685756E-12</v>
      </c>
      <c r="BG135" s="20">
        <f t="shared" si="115"/>
        <v>1.2017247746441865E-11</v>
      </c>
      <c r="BH135" s="59">
        <f t="shared" si="116"/>
        <v>293.33333333334531</v>
      </c>
      <c r="BI135" s="59">
        <f ca="1">AVERAGE(OFFSET($BH$3,0,0,'Données projet'!$E$11+1,1))-AVERAGE(OFFSET($H$3,0,0,'Données projet'!$E$11+1,1))</f>
        <v>270.87836509222456</v>
      </c>
      <c r="BJ135" s="59">
        <f t="shared" si="146"/>
        <v>205.24998237949734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167.63289252499109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167.63289252499109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5.6843418860808015E-13</v>
      </c>
      <c r="BZ135" s="13">
        <f>BY135*VLOOKUP('Données projet'!$B$12,Paramètres!$A$1:$I$89,3,0)*VLOOKUP('Données projet'!$B$12,Paramètres!$A$1:$I$89,5,0)</f>
        <v>5.763922672485933E-13</v>
      </c>
      <c r="CA135" s="13">
        <f t="shared" si="147"/>
        <v>7.0619171555808457E-12</v>
      </c>
      <c r="CB135" s="20">
        <f t="shared" si="118"/>
        <v>1.3303388911427938E-11</v>
      </c>
      <c r="CC135" s="59">
        <f t="shared" si="119"/>
        <v>293.33333333334662</v>
      </c>
      <c r="CD135" s="59">
        <f ca="1">AVERAGE(OFFSET($CC$3,0,0,'Données projet'!$E$12+1,1))-AVERAGE(OFFSET($H$3,0,0,'Données projet'!$E$12+1,1))</f>
        <v>312.29056285877169</v>
      </c>
      <c r="CE135" s="59">
        <f t="shared" si="148"/>
        <v>233.85454224241693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187.8644485193866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187.8644485193866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5.2446581196581219</v>
      </c>
      <c r="CT135" s="12">
        <f>IF('Données projet'!$A$140&gt;35,CT134+CS135-DB134,IF(A135&lt;'Données projet'!$A$140,$CQ$205^A135,IF(A135='Données projet'!$A$140,'Données projet'!$B$140,CT134+CS135-DB134)))</f>
        <v>266.84722222222177</v>
      </c>
      <c r="CU135" s="17">
        <f>CT135*VLOOKUP('Données projet'!$B$13,Paramètres!$A$1:$I$89,3,0)*VLOOKUP('Données projet'!$B$13,Paramètres!$A$1:$I$89,5,0)</f>
        <v>303.88561666666618</v>
      </c>
      <c r="CV135" s="13">
        <f t="shared" si="149"/>
        <v>71.990426882556136</v>
      </c>
      <c r="CW135" s="20">
        <f t="shared" si="121"/>
        <v>654.65077584822882</v>
      </c>
      <c r="CX135" s="59">
        <f t="shared" si="122"/>
        <v>947.98410918156219</v>
      </c>
      <c r="CY135" s="59">
        <f ca="1">AVERAGE(OFFSET($CX$3,0,0,'Données projet'!$E$13+1,1))-AVERAGE(OFFSET($H$3,0,0,'Données projet'!$E$13+1,1))</f>
        <v>292.22737648725354</v>
      </c>
      <c r="CZ135" s="59">
        <f t="shared" si="150"/>
        <v>182.84038581199871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46.730701376895659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46.730701376895659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5.2446581196581219</v>
      </c>
      <c r="DO135" s="12">
        <f>IF('Données projet'!$A$166&gt;35,DO134+DN135-DW134,IF(A135&lt;'Données projet'!$A$166,$DL$205^A135,IF(A135='Données projet'!$A$166,'Données projet'!$B$166,DO134+DN135-DW134)))</f>
        <v>266.84722222222177</v>
      </c>
      <c r="DP135" s="17">
        <f>DO135*VLOOKUP('Données projet'!$B$14,Paramètres!$A$1:$I$89,3,0)*VLOOKUP('Données projet'!$B$14,Paramètres!$A$1:$I$89,5,0)</f>
        <v>291.39716666666618</v>
      </c>
      <c r="DQ135" s="13">
        <f t="shared" si="151"/>
        <v>69.369936629873749</v>
      </c>
      <c r="DR135" s="20">
        <f t="shared" si="124"/>
        <v>628.3360382414736</v>
      </c>
      <c r="DS135" s="59">
        <f t="shared" si="125"/>
        <v>921.66937157480697</v>
      </c>
      <c r="DT135" s="59">
        <f ca="1">AVERAGE(OFFSET($DS$3,0,0,'Données projet'!$E$14+1,1))-AVERAGE(OFFSET($H$3,0,0,'Données projet'!$E$14+1,1))</f>
        <v>276.52126514622455</v>
      </c>
      <c r="DU135" s="59">
        <f t="shared" si="152"/>
        <v>173.98404849503186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44.81026159428351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44.81026159428351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5.2446581196581219</v>
      </c>
      <c r="EJ135" s="12">
        <f>IF('Données projet'!$A$192&gt;35,EJ134+EI135-ER134,IF(A135&lt;'Données projet'!$A$192,$EG$205^A135,IF(A135='Données projet'!$A$192,'Données projet'!$B$192,EJ134+EI135-ER134)))</f>
        <v>266.84722222222177</v>
      </c>
      <c r="EK135" s="17">
        <f>EJ135*VLOOKUP('Données projet'!$B$15,Paramètres!$A$1:$I$89,3,0)*VLOOKUP('Données projet'!$B$15,Paramètres!$A$1:$I$89,5,0)</f>
        <v>258.09463333333292</v>
      </c>
      <c r="EL135" s="13">
        <f t="shared" si="153"/>
        <v>62.316057080767997</v>
      </c>
      <c r="EM135" s="20">
        <f t="shared" si="127"/>
        <v>558.0486191378925</v>
      </c>
      <c r="EN135" s="59">
        <f t="shared" si="128"/>
        <v>851.38195247122576</v>
      </c>
      <c r="EO135" s="59">
        <f ca="1">AVERAGE(OFFSET($EN$3,0,0,'Données projet'!$E$15+1,1))-AVERAGE(OFFSET($H$3,0,0,'Données projet'!$E$15+1,1))</f>
        <v>234.56750794375012</v>
      </c>
      <c r="EP135" s="59">
        <f t="shared" si="154"/>
        <v>150.32420541314724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39.689088840651117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39.689088840651117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1.5961632016114892E-13</v>
      </c>
      <c r="P136" s="13">
        <f t="shared" si="141"/>
        <v>2.2708641912150958E-12</v>
      </c>
      <c r="Q136" s="20">
        <f t="shared" si="108"/>
        <v>4.2330868906469593E-12</v>
      </c>
      <c r="R136" s="59">
        <f t="shared" si="109"/>
        <v>293.33333333333752</v>
      </c>
      <c r="S136" s="59">
        <f ca="1">AVERAGE(OFFSET($R$3,0,0,'Données projet'!$E$9+1,1))-AVERAGE(OFFSET($H$3,0,0,'Données projet'!$E$9+1,1))</f>
        <v>198.17898804494365</v>
      </c>
      <c r="T136" s="59">
        <f t="shared" si="142"/>
        <v>186.24772922797723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100.63801025970193</v>
      </c>
      <c r="AA136" s="21">
        <f>EXP(-LN(2)/25)*AA135+(1-EXP(-LN(2)/25))/(LN(2)/25)*Calculateur!V136*Calculateur!X136*VLOOKUP('Données projet'!$B$9,Paramètres!$A$1:$I$89,3,0)*0.475*44/12</f>
        <v>20.207865815332806</v>
      </c>
      <c r="AB136" s="21">
        <f>EXP(-LN(2)/2)*AB135+(1-EXP(-LN(2)/2))/(LN(2)/2)*V136*Y136*VLOOKUP('Données projet'!$B$9,Paramètres!$A$1:$I$89,3,0)*0.475*44/12</f>
        <v>1.3541651149995466E-3</v>
      </c>
      <c r="AC136" s="22">
        <f t="shared" si="111"/>
        <v>120.84723024014974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278.21846622758881</v>
      </c>
      <c r="AO136" s="59">
        <f t="shared" si="144"/>
        <v>245.37578316242906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5.6843418860808015E-13</v>
      </c>
      <c r="BE136" s="13">
        <f>BD136*VLOOKUP('Données projet'!$B$11,Paramètres!$A$1:$I$89,3,0)*VLOOKUP('Données projet'!$B$11,Paramètres!$A$1:$I$89,5,0)</f>
        <v>5.1431925385259092E-13</v>
      </c>
      <c r="BF136" s="13">
        <f t="shared" si="145"/>
        <v>6.3855359115685756E-12</v>
      </c>
      <c r="BG136" s="20">
        <f t="shared" si="115"/>
        <v>1.2017247746441865E-11</v>
      </c>
      <c r="BH136" s="59">
        <f t="shared" si="116"/>
        <v>293.33333333334531</v>
      </c>
      <c r="BI136" s="59">
        <f ca="1">AVERAGE(OFFSET($BH$3,0,0,'Données projet'!$E$11+1,1))-AVERAGE(OFFSET($H$3,0,0,'Données projet'!$E$11+1,1))</f>
        <v>270.87836509222456</v>
      </c>
      <c r="BJ136" s="59">
        <f t="shared" si="146"/>
        <v>205.24998237949734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164.34571374854451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164.34571374854451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5.6843418860808015E-13</v>
      </c>
      <c r="BZ136" s="13">
        <f>BY136*VLOOKUP('Données projet'!$B$12,Paramètres!$A$1:$I$89,3,0)*VLOOKUP('Données projet'!$B$12,Paramètres!$A$1:$I$89,5,0)</f>
        <v>5.763922672485933E-13</v>
      </c>
      <c r="CA136" s="13">
        <f t="shared" si="147"/>
        <v>7.0619171555808457E-12</v>
      </c>
      <c r="CB136" s="20">
        <f t="shared" si="118"/>
        <v>1.3303388911427938E-11</v>
      </c>
      <c r="CC136" s="59">
        <f t="shared" si="119"/>
        <v>293.33333333334662</v>
      </c>
      <c r="CD136" s="59">
        <f ca="1">AVERAGE(OFFSET($CC$3,0,0,'Données projet'!$E$12+1,1))-AVERAGE(OFFSET($H$3,0,0,'Données projet'!$E$12+1,1))</f>
        <v>312.29056285877169</v>
      </c>
      <c r="CE136" s="59">
        <f t="shared" si="148"/>
        <v>233.85454224241693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184.18054126992061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184.18054126992061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5.2446581196581219</v>
      </c>
      <c r="CT136" s="12">
        <f>IF('Données projet'!$A$140&gt;35,CT135+CS136-DB135,IF(A136&lt;'Données projet'!$A$140,$CQ$205^A136,IF(A136='Données projet'!$A$140,'Données projet'!$B$140,CT135+CS136-DB135)))</f>
        <v>272.09188034187991</v>
      </c>
      <c r="CU136" s="17">
        <f>CT136*VLOOKUP('Données projet'!$B$13,Paramètres!$A$1:$I$89,3,0)*VLOOKUP('Données projet'!$B$13,Paramètres!$A$1:$I$89,5,0)</f>
        <v>309.85823333333286</v>
      </c>
      <c r="CV136" s="13">
        <f t="shared" si="149"/>
        <v>73.239222861183961</v>
      </c>
      <c r="CW136" s="20">
        <f t="shared" si="121"/>
        <v>667.22806953878342</v>
      </c>
      <c r="CX136" s="59">
        <f t="shared" si="122"/>
        <v>960.56140287211679</v>
      </c>
      <c r="CY136" s="59">
        <f ca="1">AVERAGE(OFFSET($CX$3,0,0,'Données projet'!$E$13+1,1))-AVERAGE(OFFSET($H$3,0,0,'Données projet'!$E$13+1,1))</f>
        <v>292.22737648725354</v>
      </c>
      <c r="CZ136" s="59">
        <f t="shared" si="150"/>
        <v>182.84038581199871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45.814340825808145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45.814340825808145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5.2446581196581219</v>
      </c>
      <c r="DO136" s="12">
        <f>IF('Données projet'!$A$166&gt;35,DO135+DN136-DW135,IF(A136&lt;'Données projet'!$A$166,$DL$205^A136,IF(A136='Données projet'!$A$166,'Données projet'!$B$166,DO135+DN136-DW135)))</f>
        <v>272.09188034187991</v>
      </c>
      <c r="DP136" s="17">
        <f>DO136*VLOOKUP('Données projet'!$B$14,Paramètres!$A$1:$I$89,3,0)*VLOOKUP('Données projet'!$B$14,Paramètres!$A$1:$I$89,5,0)</f>
        <v>297.12433333333286</v>
      </c>
      <c r="DQ136" s="13">
        <f t="shared" si="151"/>
        <v>70.573275763316857</v>
      </c>
      <c r="DR136" s="20">
        <f t="shared" si="124"/>
        <v>640.40666917666488</v>
      </c>
      <c r="DS136" s="59">
        <f t="shared" si="125"/>
        <v>933.74000250999825</v>
      </c>
      <c r="DT136" s="59">
        <f ca="1">AVERAGE(OFFSET($DS$3,0,0,'Données projet'!$E$14+1,1))-AVERAGE(OFFSET($H$3,0,0,'Données projet'!$E$14+1,1))</f>
        <v>276.52126514622455</v>
      </c>
      <c r="DU136" s="59">
        <f t="shared" si="152"/>
        <v>173.98404849503186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43.931559695980418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43.931559695980418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5.2446581196581219</v>
      </c>
      <c r="EJ136" s="12">
        <f>IF('Données projet'!$A$192&gt;35,EJ135+EI136-ER135,IF(A136&lt;'Données projet'!$A$192,$EG$205^A136,IF(A136='Données projet'!$A$192,'Données projet'!$B$192,EJ135+EI136-ER135)))</f>
        <v>272.09188034187991</v>
      </c>
      <c r="EK136" s="17">
        <f>EJ136*VLOOKUP('Données projet'!$B$15,Paramètres!$A$1:$I$89,3,0)*VLOOKUP('Données projet'!$B$15,Paramètres!$A$1:$I$89,5,0)</f>
        <v>263.16726666666625</v>
      </c>
      <c r="EL136" s="13">
        <f t="shared" si="153"/>
        <v>63.39703471704955</v>
      </c>
      <c r="EM136" s="20">
        <f t="shared" si="127"/>
        <v>568.76615824330497</v>
      </c>
      <c r="EN136" s="59">
        <f t="shared" si="128"/>
        <v>862.09949157663823</v>
      </c>
      <c r="EO136" s="59">
        <f ca="1">AVERAGE(OFFSET($EN$3,0,0,'Données projet'!$E$15+1,1))-AVERAGE(OFFSET($H$3,0,0,'Données projet'!$E$15+1,1))</f>
        <v>234.56750794375012</v>
      </c>
      <c r="EP136" s="59">
        <f t="shared" si="154"/>
        <v>150.32420541314724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38.910810016439804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38.910810016439804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1.5961632016114892E-13</v>
      </c>
      <c r="P137" s="13">
        <f t="shared" si="141"/>
        <v>2.2708641912150958E-12</v>
      </c>
      <c r="Q137" s="20">
        <f t="shared" si="108"/>
        <v>4.2330868906469593E-12</v>
      </c>
      <c r="R137" s="59">
        <f t="shared" si="109"/>
        <v>293.33333333333752</v>
      </c>
      <c r="S137" s="59">
        <f ca="1">AVERAGE(OFFSET($R$3,0,0,'Données projet'!$E$9+1,1))-AVERAGE(OFFSET($H$3,0,0,'Données projet'!$E$9+1,1))</f>
        <v>198.17898804494365</v>
      </c>
      <c r="T137" s="59">
        <f t="shared" si="142"/>
        <v>186.24772922797723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98.66456026163435</v>
      </c>
      <c r="AA137" s="21">
        <f>EXP(-LN(2)/25)*AA136+(1-EXP(-LN(2)/25))/(LN(2)/25)*Calculateur!V137*Calculateur!X137*VLOOKUP('Données projet'!$B$9,Paramètres!$A$1:$I$89,3,0)*0.475*44/12</f>
        <v>19.655280661927051</v>
      </c>
      <c r="AB137" s="21">
        <f>EXP(-LN(2)/2)*AB136+(1-EXP(-LN(2)/2))/(LN(2)/2)*V137*Y137*VLOOKUP('Données projet'!$B$9,Paramètres!$A$1:$I$89,3,0)*0.475*44/12</f>
        <v>9.5753933566244042E-4</v>
      </c>
      <c r="AC137" s="22">
        <f t="shared" si="111"/>
        <v>118.32079846289706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278.21846622758881</v>
      </c>
      <c r="AO137" s="59">
        <f t="shared" si="144"/>
        <v>245.37578316242906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5.6843418860808015E-13</v>
      </c>
      <c r="BE137" s="13">
        <f>BD137*VLOOKUP('Données projet'!$B$11,Paramètres!$A$1:$I$89,3,0)*VLOOKUP('Données projet'!$B$11,Paramètres!$A$1:$I$89,5,0)</f>
        <v>5.1431925385259092E-13</v>
      </c>
      <c r="BF137" s="13">
        <f t="shared" si="145"/>
        <v>6.3855359115685756E-12</v>
      </c>
      <c r="BG137" s="20">
        <f t="shared" si="115"/>
        <v>1.2017247746441865E-11</v>
      </c>
      <c r="BH137" s="59">
        <f t="shared" si="116"/>
        <v>293.33333333334531</v>
      </c>
      <c r="BI137" s="59">
        <f ca="1">AVERAGE(OFFSET($BH$3,0,0,'Données projet'!$E$11+1,1))-AVERAGE(OFFSET($H$3,0,0,'Données projet'!$E$11+1,1))</f>
        <v>270.87836509222456</v>
      </c>
      <c r="BJ137" s="59">
        <f t="shared" si="146"/>
        <v>205.24998237949734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161.12299454292295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161.12299454292295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5.6843418860808015E-13</v>
      </c>
      <c r="BZ137" s="13">
        <f>BY137*VLOOKUP('Données projet'!$B$12,Paramètres!$A$1:$I$89,3,0)*VLOOKUP('Données projet'!$B$12,Paramètres!$A$1:$I$89,5,0)</f>
        <v>5.763922672485933E-13</v>
      </c>
      <c r="CA137" s="13">
        <f t="shared" si="147"/>
        <v>7.0619171555808457E-12</v>
      </c>
      <c r="CB137" s="20">
        <f t="shared" si="118"/>
        <v>1.3303388911427938E-11</v>
      </c>
      <c r="CC137" s="59">
        <f t="shared" si="119"/>
        <v>293.33333333334662</v>
      </c>
      <c r="CD137" s="59">
        <f ca="1">AVERAGE(OFFSET($CC$3,0,0,'Données projet'!$E$12+1,1))-AVERAGE(OFFSET($H$3,0,0,'Données projet'!$E$12+1,1))</f>
        <v>312.29056285877169</v>
      </c>
      <c r="CE137" s="59">
        <f t="shared" si="148"/>
        <v>233.85454224241693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180.56887319465508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180.56887319465508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5.2446581196581219</v>
      </c>
      <c r="CT137" s="12">
        <f>IF('Données projet'!$A$140&gt;35,CT136+CS137-DB136,IF(A137&lt;'Données projet'!$A$140,$CQ$205^A137,IF(A137='Données projet'!$A$140,'Données projet'!$B$140,CT136+CS137-DB136)))</f>
        <v>277.33653846153805</v>
      </c>
      <c r="CU137" s="17">
        <f>CT137*VLOOKUP('Données projet'!$B$13,Paramètres!$A$1:$I$89,3,0)*VLOOKUP('Données projet'!$B$13,Paramètres!$A$1:$I$89,5,0)</f>
        <v>315.83084999999954</v>
      </c>
      <c r="CV137" s="13">
        <f t="shared" si="149"/>
        <v>74.485219939747395</v>
      </c>
      <c r="CW137" s="20">
        <f t="shared" si="121"/>
        <v>679.80048847839259</v>
      </c>
      <c r="CX137" s="59">
        <f t="shared" si="122"/>
        <v>973.13382181172597</v>
      </c>
      <c r="CY137" s="59">
        <f ca="1">AVERAGE(OFFSET($CX$3,0,0,'Données projet'!$E$13+1,1))-AVERAGE(OFFSET($H$3,0,0,'Données projet'!$E$13+1,1))</f>
        <v>292.22737648725354</v>
      </c>
      <c r="CZ137" s="59">
        <f t="shared" si="150"/>
        <v>182.84038581199871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44.915949546202711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44.915949546202711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5.2446581196581219</v>
      </c>
      <c r="DO137" s="12">
        <f>IF('Données projet'!$A$166&gt;35,DO136+DN137-DW136,IF(A137&lt;'Données projet'!$A$166,$DL$205^A137,IF(A137='Données projet'!$A$166,'Données projet'!$B$166,DO136+DN137-DW136)))</f>
        <v>277.33653846153805</v>
      </c>
      <c r="DP137" s="17">
        <f>DO137*VLOOKUP('Données projet'!$B$14,Paramètres!$A$1:$I$89,3,0)*VLOOKUP('Données projet'!$B$14,Paramètres!$A$1:$I$89,5,0)</f>
        <v>302.85149999999953</v>
      </c>
      <c r="DQ137" s="13">
        <f t="shared" si="151"/>
        <v>71.773917878163061</v>
      </c>
      <c r="DR137" s="20">
        <f t="shared" si="124"/>
        <v>652.47260280446653</v>
      </c>
      <c r="DS137" s="59">
        <f t="shared" si="125"/>
        <v>945.80593613779979</v>
      </c>
      <c r="DT137" s="59">
        <f ca="1">AVERAGE(OFFSET($DS$3,0,0,'Données projet'!$E$14+1,1))-AVERAGE(OFFSET($H$3,0,0,'Données projet'!$E$14+1,1))</f>
        <v>276.52126514622455</v>
      </c>
      <c r="DU137" s="59">
        <f t="shared" si="152"/>
        <v>173.98404849503186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43.070088605947809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43.070088605947809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5.2446581196581219</v>
      </c>
      <c r="EJ137" s="12">
        <f>IF('Données projet'!$A$192&gt;35,EJ136+EI137-ER136,IF(A137&lt;'Données projet'!$A$192,$EG$205^A137,IF(A137='Données projet'!$A$192,'Données projet'!$B$192,EJ136+EI137-ER136)))</f>
        <v>277.33653846153805</v>
      </c>
      <c r="EK137" s="17">
        <f>EJ137*VLOOKUP('Données projet'!$B$15,Paramètres!$A$1:$I$89,3,0)*VLOOKUP('Données projet'!$B$15,Paramètres!$A$1:$I$89,5,0)</f>
        <v>268.23989999999964</v>
      </c>
      <c r="EL137" s="13">
        <f t="shared" si="153"/>
        <v>64.475589580974699</v>
      </c>
      <c r="EM137" s="20">
        <f t="shared" si="127"/>
        <v>579.47947768686356</v>
      </c>
      <c r="EN137" s="59">
        <f t="shared" si="128"/>
        <v>872.81281102019693</v>
      </c>
      <c r="EO137" s="59">
        <f ca="1">AVERAGE(OFFSET($EN$3,0,0,'Données projet'!$E$15+1,1))-AVERAGE(OFFSET($H$3,0,0,'Données projet'!$E$15+1,1))</f>
        <v>234.56750794375012</v>
      </c>
      <c r="EP137" s="59">
        <f t="shared" si="154"/>
        <v>150.32420541314724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38.147792765268065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38.147792765268065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1.5961632016114892E-13</v>
      </c>
      <c r="P138" s="13">
        <f t="shared" si="141"/>
        <v>2.2708641912150958E-12</v>
      </c>
      <c r="Q138" s="20">
        <f t="shared" si="108"/>
        <v>4.2330868906469593E-12</v>
      </c>
      <c r="R138" s="59">
        <f t="shared" si="109"/>
        <v>293.33333333333752</v>
      </c>
      <c r="S138" s="59">
        <f ca="1">AVERAGE(OFFSET($R$3,0,0,'Données projet'!$E$9+1,1))-AVERAGE(OFFSET($H$3,0,0,'Données projet'!$E$9+1,1))</f>
        <v>198.17898804494365</v>
      </c>
      <c r="T138" s="59">
        <f t="shared" si="142"/>
        <v>186.24772922797723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96.729808414343239</v>
      </c>
      <c r="AA138" s="21">
        <f>EXP(-LN(2)/25)*AA137+(1-EXP(-LN(2)/25))/(LN(2)/25)*Calculateur!V138*Calculateur!X138*VLOOKUP('Données projet'!$B$9,Paramètres!$A$1:$I$89,3,0)*0.475*44/12</f>
        <v>19.117805978600369</v>
      </c>
      <c r="AB138" s="21">
        <f>EXP(-LN(2)/2)*AB137+(1-EXP(-LN(2)/2))/(LN(2)/2)*V138*Y138*VLOOKUP('Données projet'!$B$9,Paramètres!$A$1:$I$89,3,0)*0.475*44/12</f>
        <v>6.7708255749977342E-4</v>
      </c>
      <c r="AC138" s="22">
        <f t="shared" si="111"/>
        <v>115.84829147550111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278.21846622758881</v>
      </c>
      <c r="AO138" s="59">
        <f t="shared" si="144"/>
        <v>245.37578316242906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5.6843418860808015E-13</v>
      </c>
      <c r="BE138" s="13">
        <f>BD138*VLOOKUP('Données projet'!$B$11,Paramètres!$A$1:$I$89,3,0)*VLOOKUP('Données projet'!$B$11,Paramètres!$A$1:$I$89,5,0)</f>
        <v>5.1431925385259092E-13</v>
      </c>
      <c r="BF138" s="13">
        <f t="shared" si="145"/>
        <v>6.3855359115685756E-12</v>
      </c>
      <c r="BG138" s="20">
        <f t="shared" si="115"/>
        <v>1.2017247746441865E-11</v>
      </c>
      <c r="BH138" s="59">
        <f t="shared" si="116"/>
        <v>293.33333333334531</v>
      </c>
      <c r="BI138" s="59">
        <f ca="1">AVERAGE(OFFSET($BH$3,0,0,'Données projet'!$E$11+1,1))-AVERAGE(OFFSET($H$3,0,0,'Données projet'!$E$11+1,1))</f>
        <v>270.87836509222456</v>
      </c>
      <c r="BJ138" s="59">
        <f t="shared" si="146"/>
        <v>205.24998237949734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157.96347089525904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157.96347089525904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5.6843418860808015E-13</v>
      </c>
      <c r="BZ138" s="13">
        <f>BY138*VLOOKUP('Données projet'!$B$12,Paramètres!$A$1:$I$89,3,0)*VLOOKUP('Données projet'!$B$12,Paramètres!$A$1:$I$89,5,0)</f>
        <v>5.763922672485933E-13</v>
      </c>
      <c r="CA138" s="13">
        <f t="shared" si="147"/>
        <v>7.0619171555808457E-12</v>
      </c>
      <c r="CB138" s="20">
        <f t="shared" si="118"/>
        <v>1.3303388911427938E-11</v>
      </c>
      <c r="CC138" s="59">
        <f t="shared" si="119"/>
        <v>293.33333333334662</v>
      </c>
      <c r="CD138" s="59">
        <f ca="1">AVERAGE(OFFSET($CC$3,0,0,'Données projet'!$E$12+1,1))-AVERAGE(OFFSET($H$3,0,0,'Données projet'!$E$12+1,1))</f>
        <v>312.29056285877169</v>
      </c>
      <c r="CE138" s="59">
        <f t="shared" si="148"/>
        <v>233.85454224241693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177.0280277274455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177.0280277274455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5.2446581196581219</v>
      </c>
      <c r="CT138" s="12">
        <f>IF('Données projet'!$A$140&gt;35,CT137+CS138-DB137,IF(A138&lt;'Données projet'!$A$140,$CQ$205^A138,IF(A138='Données projet'!$A$140,'Données projet'!$B$140,CT137+CS138-DB137)))</f>
        <v>282.5811965811962</v>
      </c>
      <c r="CU138" s="17">
        <f>CT138*VLOOKUP('Données projet'!$B$13,Paramètres!$A$1:$I$89,3,0)*VLOOKUP('Données projet'!$B$13,Paramètres!$A$1:$I$89,5,0)</f>
        <v>321.80346666666622</v>
      </c>
      <c r="CV138" s="13">
        <f t="shared" si="149"/>
        <v>75.728477150808416</v>
      </c>
      <c r="CW138" s="20">
        <f t="shared" si="121"/>
        <v>692.36813548210159</v>
      </c>
      <c r="CX138" s="59">
        <f t="shared" si="122"/>
        <v>985.70146881543496</v>
      </c>
      <c r="CY138" s="59">
        <f ca="1">AVERAGE(OFFSET($CX$3,0,0,'Données projet'!$E$13+1,1))-AVERAGE(OFFSET($H$3,0,0,'Données projet'!$E$13+1,1))</f>
        <v>292.22737648725354</v>
      </c>
      <c r="CZ138" s="59">
        <f t="shared" si="150"/>
        <v>182.84038581199871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44.035175171625767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44.035175171625767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5.2446581196581219</v>
      </c>
      <c r="DO138" s="12">
        <f>IF('Données projet'!$A$166&gt;35,DO137+DN138-DW137,IF(A138&lt;'Données projet'!$A$166,$DL$205^A138,IF(A138='Données projet'!$A$166,'Données projet'!$B$166,DO137+DN138-DW137)))</f>
        <v>282.5811965811962</v>
      </c>
      <c r="DP138" s="17">
        <f>DO138*VLOOKUP('Données projet'!$B$14,Paramètres!$A$1:$I$89,3,0)*VLOOKUP('Données projet'!$B$14,Paramètres!$A$1:$I$89,5,0)</f>
        <v>308.57866666666621</v>
      </c>
      <c r="DQ138" s="13">
        <f t="shared" si="151"/>
        <v>72.971919858157349</v>
      </c>
      <c r="DR138" s="20">
        <f t="shared" si="124"/>
        <v>664.53393819740097</v>
      </c>
      <c r="DS138" s="59">
        <f t="shared" si="125"/>
        <v>957.86727153073434</v>
      </c>
      <c r="DT138" s="59">
        <f ca="1">AVERAGE(OFFSET($DS$3,0,0,'Données projet'!$E$14+1,1))-AVERAGE(OFFSET($H$3,0,0,'Données projet'!$E$14+1,1))</f>
        <v>276.52126514622455</v>
      </c>
      <c r="DU138" s="59">
        <f t="shared" si="152"/>
        <v>173.98404849503186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42.225510438545257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42.225510438545257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5.2446581196581219</v>
      </c>
      <c r="EJ138" s="12">
        <f>IF('Données projet'!$A$192&gt;35,EJ137+EI138-ER137,IF(A138&lt;'Données projet'!$A$192,$EG$205^A138,IF(A138='Données projet'!$A$192,'Données projet'!$B$192,EJ137+EI138-ER137)))</f>
        <v>282.5811965811962</v>
      </c>
      <c r="EK138" s="17">
        <f>EJ138*VLOOKUP('Données projet'!$B$15,Paramètres!$A$1:$I$89,3,0)*VLOOKUP('Données projet'!$B$15,Paramètres!$A$1:$I$89,5,0)</f>
        <v>273.31253333333296</v>
      </c>
      <c r="EL138" s="13">
        <f t="shared" si="153"/>
        <v>65.55177277206684</v>
      </c>
      <c r="EM138" s="20">
        <f t="shared" si="127"/>
        <v>590.18866646690458</v>
      </c>
      <c r="EN138" s="59">
        <f t="shared" si="128"/>
        <v>883.52199980023784</v>
      </c>
      <c r="EO138" s="59">
        <f ca="1">AVERAGE(OFFSET($EN$3,0,0,'Données projet'!$E$15+1,1))-AVERAGE(OFFSET($H$3,0,0,'Données projet'!$E$15+1,1))</f>
        <v>234.56750794375012</v>
      </c>
      <c r="EP138" s="59">
        <f t="shared" si="154"/>
        <v>150.32420541314724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37.399737816997238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37.399737816997238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1.5961632016114892E-13</v>
      </c>
      <c r="P139" s="13">
        <f t="shared" si="141"/>
        <v>2.2708641912150958E-12</v>
      </c>
      <c r="Q139" s="20">
        <f t="shared" si="108"/>
        <v>4.2330868906469593E-12</v>
      </c>
      <c r="R139" s="59">
        <f t="shared" si="109"/>
        <v>293.33333333333752</v>
      </c>
      <c r="S139" s="59">
        <f ca="1">AVERAGE(OFFSET($R$3,0,0,'Données projet'!$E$9+1,1))-AVERAGE(OFFSET($H$3,0,0,'Données projet'!$E$9+1,1))</f>
        <v>198.17898804494365</v>
      </c>
      <c r="T139" s="59">
        <f t="shared" si="142"/>
        <v>186.24772922797723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94.832995870695399</v>
      </c>
      <c r="AA139" s="21">
        <f>EXP(-LN(2)/25)*AA138+(1-EXP(-LN(2)/25))/(LN(2)/25)*Calculateur!V139*Calculateur!X139*VLOOKUP('Données projet'!$B$9,Paramètres!$A$1:$I$89,3,0)*0.475*44/12</f>
        <v>18.595028568753822</v>
      </c>
      <c r="AB139" s="21">
        <f>EXP(-LN(2)/2)*AB138+(1-EXP(-LN(2)/2))/(LN(2)/2)*V139*Y139*VLOOKUP('Données projet'!$B$9,Paramètres!$A$1:$I$89,3,0)*0.475*44/12</f>
        <v>4.7876966783122032E-4</v>
      </c>
      <c r="AC139" s="22">
        <f t="shared" si="111"/>
        <v>113.42850320911705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278.21846622758881</v>
      </c>
      <c r="AO139" s="59">
        <f t="shared" si="144"/>
        <v>245.37578316242906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5.6843418860808015E-13</v>
      </c>
      <c r="BE139" s="13">
        <f>BD139*VLOOKUP('Données projet'!$B$11,Paramètres!$A$1:$I$89,3,0)*VLOOKUP('Données projet'!$B$11,Paramètres!$A$1:$I$89,5,0)</f>
        <v>5.1431925385259092E-13</v>
      </c>
      <c r="BF139" s="13">
        <f t="shared" si="145"/>
        <v>6.3855359115685756E-12</v>
      </c>
      <c r="BG139" s="20">
        <f t="shared" si="115"/>
        <v>1.2017247746441865E-11</v>
      </c>
      <c r="BH139" s="59">
        <f t="shared" si="116"/>
        <v>293.33333333334531</v>
      </c>
      <c r="BI139" s="59">
        <f ca="1">AVERAGE(OFFSET($BH$3,0,0,'Données projet'!$E$11+1,1))-AVERAGE(OFFSET($H$3,0,0,'Données projet'!$E$11+1,1))</f>
        <v>270.87836509222456</v>
      </c>
      <c r="BJ139" s="59">
        <f t="shared" si="146"/>
        <v>205.24998237949734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154.86590357920664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154.86590357920664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5.6843418860808015E-13</v>
      </c>
      <c r="BZ139" s="13">
        <f>BY139*VLOOKUP('Données projet'!$B$12,Paramètres!$A$1:$I$89,3,0)*VLOOKUP('Données projet'!$B$12,Paramètres!$A$1:$I$89,5,0)</f>
        <v>5.763922672485933E-13</v>
      </c>
      <c r="CA139" s="13">
        <f t="shared" si="147"/>
        <v>7.0619171555808457E-12</v>
      </c>
      <c r="CB139" s="20">
        <f t="shared" si="118"/>
        <v>1.3303388911427938E-11</v>
      </c>
      <c r="CC139" s="59">
        <f t="shared" si="119"/>
        <v>293.33333333334662</v>
      </c>
      <c r="CD139" s="59">
        <f ca="1">AVERAGE(OFFSET($CC$3,0,0,'Données projet'!$E$12+1,1))-AVERAGE(OFFSET($H$3,0,0,'Données projet'!$E$12+1,1))</f>
        <v>312.29056285877169</v>
      </c>
      <c r="CE139" s="59">
        <f t="shared" si="148"/>
        <v>233.85454224241693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173.55661608014543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173.55661608014543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5.2446581196581219</v>
      </c>
      <c r="CT139" s="12">
        <f>IF('Données projet'!$A$140&gt;35,CT138+CS139-DB138,IF(A139&lt;'Données projet'!$A$140,$CQ$205^A139,IF(A139='Données projet'!$A$140,'Données projet'!$B$140,CT138+CS139-DB138)))</f>
        <v>287.82585470085434</v>
      </c>
      <c r="CU139" s="17">
        <f>CT139*VLOOKUP('Données projet'!$B$13,Paramètres!$A$1:$I$89,3,0)*VLOOKUP('Données projet'!$B$13,Paramètres!$A$1:$I$89,5,0)</f>
        <v>327.77608333333291</v>
      </c>
      <c r="CV139" s="13">
        <f t="shared" si="149"/>
        <v>76.969051210233374</v>
      </c>
      <c r="CW139" s="20">
        <f t="shared" si="121"/>
        <v>704.93110933004471</v>
      </c>
      <c r="CX139" s="59">
        <f t="shared" si="122"/>
        <v>998.26444266337808</v>
      </c>
      <c r="CY139" s="59">
        <f ca="1">AVERAGE(OFFSET($CX$3,0,0,'Données projet'!$E$13+1,1))-AVERAGE(OFFSET($H$3,0,0,'Données projet'!$E$13+1,1))</f>
        <v>292.22737648725354</v>
      </c>
      <c r="CZ139" s="59">
        <f t="shared" si="150"/>
        <v>182.84038581199871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43.171672245314952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43.171672245314952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5.2446581196581219</v>
      </c>
      <c r="DO139" s="12">
        <f>IF('Données projet'!$A$166&gt;35,DO138+DN139-DW138,IF(A139&lt;'Données projet'!$A$166,$DL$205^A139,IF(A139='Données projet'!$A$166,'Données projet'!$B$166,DO138+DN139-DW138)))</f>
        <v>287.82585470085434</v>
      </c>
      <c r="DP139" s="17">
        <f>DO139*VLOOKUP('Données projet'!$B$14,Paramètres!$A$1:$I$89,3,0)*VLOOKUP('Données projet'!$B$14,Paramètres!$A$1:$I$89,5,0)</f>
        <v>314.30583333333288</v>
      </c>
      <c r="DQ139" s="13">
        <f t="shared" si="151"/>
        <v>74.167336354677971</v>
      </c>
      <c r="DR139" s="20">
        <f t="shared" si="124"/>
        <v>676.59077053995213</v>
      </c>
      <c r="DS139" s="59">
        <f t="shared" si="125"/>
        <v>969.9241038732855</v>
      </c>
      <c r="DT139" s="59">
        <f ca="1">AVERAGE(OFFSET($DS$3,0,0,'Données projet'!$E$14+1,1))-AVERAGE(OFFSET($H$3,0,0,'Données projet'!$E$14+1,1))</f>
        <v>276.52126514622455</v>
      </c>
      <c r="DU139" s="59">
        <f t="shared" si="152"/>
        <v>173.98404849503186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41.397493933863657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41.397493933863657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5.2446581196581219</v>
      </c>
      <c r="EJ139" s="12">
        <f>IF('Données projet'!$A$192&gt;35,EJ138+EI139-ER138,IF(A139&lt;'Données projet'!$A$192,$EG$205^A139,IF(A139='Données projet'!$A$192,'Données projet'!$B$192,EJ138+EI139-ER138)))</f>
        <v>287.82585470085434</v>
      </c>
      <c r="EK139" s="17">
        <f>EJ139*VLOOKUP('Données projet'!$B$15,Paramètres!$A$1:$I$89,3,0)*VLOOKUP('Données projet'!$B$15,Paramètres!$A$1:$I$89,5,0)</f>
        <v>278.38516666666629</v>
      </c>
      <c r="EL139" s="13">
        <f t="shared" si="153"/>
        <v>66.625633384480764</v>
      </c>
      <c r="EM139" s="20">
        <f t="shared" si="127"/>
        <v>600.89381008908106</v>
      </c>
      <c r="EN139" s="59">
        <f t="shared" si="128"/>
        <v>894.22714342241443</v>
      </c>
      <c r="EO139" s="59">
        <f ca="1">AVERAGE(OFFSET($EN$3,0,0,'Données projet'!$E$15+1,1))-AVERAGE(OFFSET($H$3,0,0,'Données projet'!$E$15+1,1))</f>
        <v>234.56750794375012</v>
      </c>
      <c r="EP139" s="59">
        <f t="shared" si="154"/>
        <v>150.32420541314724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36.666351769993533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36.666351769993533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1.5961632016114892E-13</v>
      </c>
      <c r="P140" s="13">
        <f t="shared" si="141"/>
        <v>2.2708641912150958E-12</v>
      </c>
      <c r="Q140" s="20">
        <f t="shared" si="108"/>
        <v>4.2330868906469593E-12</v>
      </c>
      <c r="R140" s="59">
        <f t="shared" si="109"/>
        <v>293.33333333333752</v>
      </c>
      <c r="S140" s="59">
        <f ca="1">AVERAGE(OFFSET($R$3,0,0,'Données projet'!$E$9+1,1))-AVERAGE(OFFSET($H$3,0,0,'Données projet'!$E$9+1,1))</f>
        <v>198.17898804494365</v>
      </c>
      <c r="T140" s="59">
        <f t="shared" si="142"/>
        <v>186.24772922797723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92.973378664087079</v>
      </c>
      <c r="AA140" s="21">
        <f>EXP(-LN(2)/25)*AA139+(1-EXP(-LN(2)/25))/(LN(2)/25)*Calculateur!V140*Calculateur!X140*VLOOKUP('Données projet'!$B$9,Paramètres!$A$1:$I$89,3,0)*0.475*44/12</f>
        <v>18.086546534671196</v>
      </c>
      <c r="AB140" s="21">
        <f>EXP(-LN(2)/2)*AB139+(1-EXP(-LN(2)/2))/(LN(2)/2)*V140*Y140*VLOOKUP('Données projet'!$B$9,Paramètres!$A$1:$I$89,3,0)*0.475*44/12</f>
        <v>3.3854127874988676E-4</v>
      </c>
      <c r="AC140" s="22">
        <f t="shared" si="111"/>
        <v>111.06026374003703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278.21846622758881</v>
      </c>
      <c r="AO140" s="59">
        <f t="shared" si="144"/>
        <v>245.37578316242906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5.6843418860808015E-13</v>
      </c>
      <c r="BE140" s="13">
        <f>BD140*VLOOKUP('Données projet'!$B$11,Paramètres!$A$1:$I$89,3,0)*VLOOKUP('Données projet'!$B$11,Paramètres!$A$1:$I$89,5,0)</f>
        <v>5.1431925385259092E-13</v>
      </c>
      <c r="BF140" s="13">
        <f t="shared" si="145"/>
        <v>6.3855359115685756E-12</v>
      </c>
      <c r="BG140" s="20">
        <f t="shared" si="115"/>
        <v>1.2017247746441865E-11</v>
      </c>
      <c r="BH140" s="59">
        <f t="shared" si="116"/>
        <v>293.33333333334531</v>
      </c>
      <c r="BI140" s="59">
        <f ca="1">AVERAGE(OFFSET($BH$3,0,0,'Données projet'!$E$11+1,1))-AVERAGE(OFFSET($H$3,0,0,'Données projet'!$E$11+1,1))</f>
        <v>270.87836509222456</v>
      </c>
      <c r="BJ140" s="59">
        <f t="shared" si="146"/>
        <v>205.24998237949734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151.82907766889255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151.82907766889255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5.6843418860808015E-13</v>
      </c>
      <c r="BZ140" s="13">
        <f>BY140*VLOOKUP('Données projet'!$B$12,Paramètres!$A$1:$I$89,3,0)*VLOOKUP('Données projet'!$B$12,Paramètres!$A$1:$I$89,5,0)</f>
        <v>5.763922672485933E-13</v>
      </c>
      <c r="CA140" s="13">
        <f t="shared" si="147"/>
        <v>7.0619171555808457E-12</v>
      </c>
      <c r="CB140" s="20">
        <f t="shared" si="118"/>
        <v>1.3303388911427938E-11</v>
      </c>
      <c r="CC140" s="59">
        <f t="shared" si="119"/>
        <v>293.33333333334662</v>
      </c>
      <c r="CD140" s="59">
        <f ca="1">AVERAGE(OFFSET($CC$3,0,0,'Données projet'!$E$12+1,1))-AVERAGE(OFFSET($H$3,0,0,'Données projet'!$E$12+1,1))</f>
        <v>312.29056285877169</v>
      </c>
      <c r="CE140" s="59">
        <f t="shared" si="148"/>
        <v>233.85454224241693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170.15327669789687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170.15327669789687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>
        <f>VLOOKUP(A140,'Données projet'!$A$139:$I$159,2,0)</f>
        <v>293.07051282051282</v>
      </c>
      <c r="CR140" s="12">
        <f>VLOOKUP(A140,'Données projet'!$A$139:$I$159,9,0)</f>
        <v>5.2446581196581219</v>
      </c>
      <c r="CS140" s="12">
        <f t="array" ref="CS140">INDEX(CR:CR,MIN(IF(ISNUMBER(CR140:CR336),ROW(CR140:CR336),"")))</f>
        <v>5.2446581196581219</v>
      </c>
      <c r="CT140" s="12">
        <f>IF('Données projet'!$A$140&gt;35,CT139+CS140-DB139,IF(A140&lt;'Données projet'!$A$140,$CQ$205^A140,IF(A140='Données projet'!$A$140,'Données projet'!$B$140,CT139+CS140-DB139)))</f>
        <v>293.07051282051248</v>
      </c>
      <c r="CU140" s="17">
        <f>CT140*VLOOKUP('Données projet'!$B$13,Paramètres!$A$1:$I$89,3,0)*VLOOKUP('Données projet'!$B$13,Paramètres!$A$1:$I$89,5,0)</f>
        <v>333.74869999999959</v>
      </c>
      <c r="CV140" s="13">
        <f t="shared" si="149"/>
        <v>78.206996648638338</v>
      </c>
      <c r="CW140" s="20">
        <f t="shared" si="121"/>
        <v>717.4895049963776</v>
      </c>
      <c r="CX140" s="59">
        <f t="shared" si="122"/>
        <v>1010.822838329711</v>
      </c>
      <c r="CY140" s="59">
        <f ca="1">AVERAGE(OFFSET($CX$3,0,0,'Données projet'!$E$13+1,1))-AVERAGE(OFFSET($H$3,0,0,'Données projet'!$E$13+1,1))</f>
        <v>292.22737648725354</v>
      </c>
      <c r="CZ140" s="59">
        <f t="shared" si="150"/>
        <v>182.84038581199871</v>
      </c>
      <c r="DA140" s="15">
        <f>IF(ISNA(VLOOKUP(A140,'Données projet'!$A$139:$I$159,3,0)),0,VLOOKUP(A140,'Données projet'!$A$139:$I$159,3,0))</f>
        <v>11</v>
      </c>
      <c r="DB140" s="15">
        <f>IF(ISNA(VLOOKUP(A140,'Données projet'!$A$139:$I$159,4,0)),0,VLOOKUP(A140,'Données projet'!$A$139:$I$159,4,0))</f>
        <v>51.160256410256409</v>
      </c>
      <c r="DC140" s="16">
        <f>IF(ISNA(VLOOKUP(A140,'Données projet'!$A$139:$I$159,5,0)),0%,VLOOKUP(A140,'Données projet'!$A$139:$I$159,5,0)*VLOOKUP('Données projet'!$B$13,Paramètres!$A$1:$I$89,7,0))</f>
        <v>0.30099999999999999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61.711350653052314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61.711350653052314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>
        <f>VLOOKUP(A140,'Données projet'!$A$165:$I$185,2,0)</f>
        <v>293.07051282051282</v>
      </c>
      <c r="DM140" s="12">
        <f>VLOOKUP(A140,'Données projet'!$A$165:$I$185,9,0)</f>
        <v>5.2446581196581219</v>
      </c>
      <c r="DN140" s="12">
        <f t="array" ref="DN140">INDEX(DM:DM,MIN(IF(ISNUMBER(DM140:DM336),ROW(DM140:DM336),"")))</f>
        <v>5.2446581196581219</v>
      </c>
      <c r="DO140" s="12">
        <f>IF('Données projet'!$A$166&gt;35,DO139+DN140-DW139,IF(A140&lt;'Données projet'!$A$166,$DL$205^A140,IF(A140='Données projet'!$A$166,'Données projet'!$B$166,DO139+DN140-DW139)))</f>
        <v>293.07051282051248</v>
      </c>
      <c r="DP140" s="17">
        <f>DO140*VLOOKUP('Données projet'!$B$14,Paramètres!$A$1:$I$89,3,0)*VLOOKUP('Données projet'!$B$14,Paramètres!$A$1:$I$89,5,0)</f>
        <v>320.03299999999962</v>
      </c>
      <c r="DQ140" s="13">
        <f t="shared" si="151"/>
        <v>75.360219913397458</v>
      </c>
      <c r="DR140" s="20">
        <f t="shared" si="124"/>
        <v>688.6431913491665</v>
      </c>
      <c r="DS140" s="59">
        <f t="shared" si="125"/>
        <v>981.97652468249976</v>
      </c>
      <c r="DT140" s="59">
        <f ca="1">AVERAGE(OFFSET($DS$3,0,0,'Données projet'!$E$14+1,1))-AVERAGE(OFFSET($H$3,0,0,'Données projet'!$E$14+1,1))</f>
        <v>276.52126514622455</v>
      </c>
      <c r="DU140" s="59">
        <f t="shared" si="152"/>
        <v>173.98404849503186</v>
      </c>
      <c r="DV140" s="15">
        <f>IF(ISNA(VLOOKUP(A140,'Données projet'!$A$165:$I$185,3,0)),0,VLOOKUP(A140,'Données projet'!$A$165:$I$185,3,0))</f>
        <v>11</v>
      </c>
      <c r="DW140" s="15">
        <f>IF(ISNA(VLOOKUP(A140,'Données projet'!$A$165:$I$185,4,0)),0,VLOOKUP(A140,'Données projet'!$A$165:$I$185,4,0))</f>
        <v>51.160256410256409</v>
      </c>
      <c r="DX140" s="16">
        <f>IF(ISNA(VLOOKUP(A140,'Données projet'!$A$165:$I$185,5,0)),0%,VLOOKUP(A140,'Données projet'!$A$165:$I$185,5,0)*VLOOKUP('Données projet'!$B$14,Paramètres!$A$1:$I$89,7,0))</f>
        <v>0.30099999999999999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59.175267749502225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59.175267749502225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>
        <f>VLOOKUP(A140,'Données projet'!$A$191:$I$211,2,0)</f>
        <v>293.07051282051282</v>
      </c>
      <c r="EH140" s="12">
        <f>VLOOKUP(A140,'Données projet'!$A$191:$I$211,9,0)</f>
        <v>5.2446581196581219</v>
      </c>
      <c r="EI140" s="12">
        <f t="array" ref="EI140">INDEX(EH:EH,MIN(IF(ISNUMBER(EH140:EH336),ROW(EH140:EH336),"")))</f>
        <v>5.2446581196581219</v>
      </c>
      <c r="EJ140" s="12">
        <f>IF('Données projet'!$A$192&gt;35,EJ139+EI140-ER139,IF(A140&lt;'Données projet'!$A$192,$EG$205^A140,IF(A140='Données projet'!$A$192,'Données projet'!$B$192,EJ139+EI140-ER139)))</f>
        <v>293.07051282051248</v>
      </c>
      <c r="EK140" s="17">
        <f>EJ140*VLOOKUP('Données projet'!$B$15,Paramètres!$A$1:$I$89,3,0)*VLOOKUP('Données projet'!$B$15,Paramètres!$A$1:$I$89,5,0)</f>
        <v>283.45779999999968</v>
      </c>
      <c r="EL140" s="13">
        <f t="shared" si="153"/>
        <v>67.697218620784142</v>
      </c>
      <c r="EM140" s="20">
        <f t="shared" si="127"/>
        <v>611.59499076453187</v>
      </c>
      <c r="EN140" s="59">
        <f t="shared" si="128"/>
        <v>904.92832409786524</v>
      </c>
      <c r="EO140" s="59">
        <f ca="1">AVERAGE(OFFSET($EN$3,0,0,'Données projet'!$E$15+1,1))-AVERAGE(OFFSET($H$3,0,0,'Données projet'!$E$15+1,1))</f>
        <v>234.56750794375012</v>
      </c>
      <c r="EP140" s="59">
        <f t="shared" si="154"/>
        <v>150.32420541314724</v>
      </c>
      <c r="EQ140" s="15">
        <f>IF(ISNA(VLOOKUP(A140,'Données projet'!$A$191:$I$211,3,0)),0,VLOOKUP(A140,'Données projet'!$A$191:$I$211,3,0))</f>
        <v>11</v>
      </c>
      <c r="ER140" s="15">
        <f>IF(ISNA(VLOOKUP(A140,'Données projet'!$A$191:$I$211,4,0)),0,VLOOKUP(A140,'Données projet'!$A$191:$I$211,4,0))</f>
        <v>51.160256410256409</v>
      </c>
      <c r="ES140" s="16">
        <f>IF(ISNA(VLOOKUP(A140,'Données projet'!$A$191:$I$211,5,0)),0%,VLOOKUP(A140,'Données projet'!$A$191:$I$211,5,0)*VLOOKUP('Données projet'!$B$15,Paramètres!$A$1:$I$89,7,0))</f>
        <v>0.30099999999999999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52.41238000670198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52.41238000670198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1.5961632016114892E-13</v>
      </c>
      <c r="P141" s="13">
        <f t="shared" si="141"/>
        <v>2.2708641912150958E-12</v>
      </c>
      <c r="Q141" s="20">
        <f t="shared" si="108"/>
        <v>4.2330868906469593E-12</v>
      </c>
      <c r="R141" s="59">
        <f t="shared" si="109"/>
        <v>293.33333333333752</v>
      </c>
      <c r="S141" s="59">
        <f ca="1">AVERAGE(OFFSET($R$3,0,0,'Données projet'!$E$9+1,1))-AVERAGE(OFFSET($H$3,0,0,'Données projet'!$E$9+1,1))</f>
        <v>198.17898804494365</v>
      </c>
      <c r="T141" s="59">
        <f t="shared" si="142"/>
        <v>186.24772922797723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91.150227416645848</v>
      </c>
      <c r="AA141" s="21">
        <f>EXP(-LN(2)/25)*AA140+(1-EXP(-LN(2)/25))/(LN(2)/25)*Calculateur!V141*Calculateur!X141*VLOOKUP('Données projet'!$B$9,Paramètres!$A$1:$I$89,3,0)*0.475*44/12</f>
        <v>17.591968968550468</v>
      </c>
      <c r="AB141" s="21">
        <f>EXP(-LN(2)/2)*AB140+(1-EXP(-LN(2)/2))/(LN(2)/2)*V141*Y141*VLOOKUP('Données projet'!$B$9,Paramètres!$A$1:$I$89,3,0)*0.475*44/12</f>
        <v>2.3938483391561019E-4</v>
      </c>
      <c r="AC141" s="22">
        <f t="shared" si="111"/>
        <v>108.74243577003023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278.21846622758881</v>
      </c>
      <c r="AO141" s="59">
        <f t="shared" si="144"/>
        <v>245.37578316242906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5.6843418860808015E-13</v>
      </c>
      <c r="BE141" s="13">
        <f>BD141*VLOOKUP('Données projet'!$B$11,Paramètres!$A$1:$I$89,3,0)*VLOOKUP('Données projet'!$B$11,Paramètres!$A$1:$I$89,5,0)</f>
        <v>5.1431925385259092E-13</v>
      </c>
      <c r="BF141" s="13">
        <f t="shared" si="145"/>
        <v>6.3855359115685756E-12</v>
      </c>
      <c r="BG141" s="20">
        <f t="shared" si="115"/>
        <v>1.2017247746441865E-11</v>
      </c>
      <c r="BH141" s="59">
        <f t="shared" si="116"/>
        <v>293.33333333334531</v>
      </c>
      <c r="BI141" s="59">
        <f ca="1">AVERAGE(OFFSET($BH$3,0,0,'Données projet'!$E$11+1,1))-AVERAGE(OFFSET($H$3,0,0,'Données projet'!$E$11+1,1))</f>
        <v>270.87836509222456</v>
      </c>
      <c r="BJ141" s="59">
        <f t="shared" si="146"/>
        <v>205.24998237949734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148.8518020623988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148.8518020623988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5.6843418860808015E-13</v>
      </c>
      <c r="BZ141" s="13">
        <f>BY141*VLOOKUP('Données projet'!$B$12,Paramètres!$A$1:$I$89,3,0)*VLOOKUP('Données projet'!$B$12,Paramètres!$A$1:$I$89,5,0)</f>
        <v>5.763922672485933E-13</v>
      </c>
      <c r="CA141" s="13">
        <f t="shared" si="147"/>
        <v>7.0619171555808457E-12</v>
      </c>
      <c r="CB141" s="20">
        <f t="shared" si="118"/>
        <v>1.3303388911427938E-11</v>
      </c>
      <c r="CC141" s="59">
        <f t="shared" si="119"/>
        <v>293.33333333334662</v>
      </c>
      <c r="CD141" s="59">
        <f ca="1">AVERAGE(OFFSET($CC$3,0,0,'Données projet'!$E$12+1,1))-AVERAGE(OFFSET($H$3,0,0,'Données projet'!$E$12+1,1))</f>
        <v>312.29056285877169</v>
      </c>
      <c r="CE141" s="59">
        <f t="shared" si="148"/>
        <v>233.85454224241693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166.81667472510216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166.81667472510216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5.1063034188034209</v>
      </c>
      <c r="CT141" s="12">
        <f>IF('Données projet'!$A$140&gt;35,CT140+CS141-DB140,IF(A141&lt;'Données projet'!$A$140,$CQ$205^A141,IF(A141='Données projet'!$A$140,'Données projet'!$B$140,CT140+CS141-DB140)))</f>
        <v>247.01655982905947</v>
      </c>
      <c r="CU141" s="17">
        <f>CT141*VLOOKUP('Données projet'!$B$13,Paramètres!$A$1:$I$89,3,0)*VLOOKUP('Données projet'!$B$13,Paramètres!$A$1:$I$89,5,0)</f>
        <v>281.30245833333294</v>
      </c>
      <c r="CV141" s="13">
        <f t="shared" si="149"/>
        <v>67.242181380573015</v>
      </c>
      <c r="CW141" s="20">
        <f t="shared" si="121"/>
        <v>607.0485808350528</v>
      </c>
      <c r="CX141" s="59">
        <f t="shared" si="122"/>
        <v>900.38191416838617</v>
      </c>
      <c r="CY141" s="59">
        <f ca="1">AVERAGE(OFFSET($CX$3,0,0,'Données projet'!$E$13+1,1))-AVERAGE(OFFSET($H$3,0,0,'Données projet'!$E$13+1,1))</f>
        <v>292.22737648725354</v>
      </c>
      <c r="CZ141" s="59">
        <f t="shared" si="150"/>
        <v>182.84038581199871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60.501228706953192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60.501228706953192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5.1063034188034209</v>
      </c>
      <c r="DO141" s="12">
        <f>IF('Données projet'!$A$166&gt;35,DO140+DN141-DW140,IF(A141&lt;'Données projet'!$A$166,$DL$205^A141,IF(A141='Données projet'!$A$166,'Données projet'!$B$166,DO140+DN141-DW140)))</f>
        <v>247.01655982905947</v>
      </c>
      <c r="DP141" s="17">
        <f>DO141*VLOOKUP('Données projet'!$B$14,Paramètres!$A$1:$I$89,3,0)*VLOOKUP('Données projet'!$B$14,Paramètres!$A$1:$I$89,5,0)</f>
        <v>269.74208333333297</v>
      </c>
      <c r="DQ141" s="13">
        <f t="shared" si="151"/>
        <v>64.794529817617928</v>
      </c>
      <c r="DR141" s="20">
        <f t="shared" si="124"/>
        <v>582.65126790457271</v>
      </c>
      <c r="DS141" s="59">
        <f t="shared" si="125"/>
        <v>875.98460123790596</v>
      </c>
      <c r="DT141" s="59">
        <f ca="1">AVERAGE(OFFSET($DS$3,0,0,'Données projet'!$E$14+1,1))-AVERAGE(OFFSET($H$3,0,0,'Données projet'!$E$14+1,1))</f>
        <v>276.52126514622455</v>
      </c>
      <c r="DU141" s="59">
        <f t="shared" si="152"/>
        <v>173.98404849503186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58.01487684228389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58.01487684228389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5.1063034188034209</v>
      </c>
      <c r="EJ141" s="12">
        <f>IF('Données projet'!$A$192&gt;35,EJ140+EI141-ER140,IF(A141&lt;'Données projet'!$A$192,$EG$205^A141,IF(A141='Données projet'!$A$192,'Données projet'!$B$192,EJ140+EI141-ER140)))</f>
        <v>247.01655982905947</v>
      </c>
      <c r="EK141" s="17">
        <f>EJ141*VLOOKUP('Données projet'!$B$15,Paramètres!$A$1:$I$89,3,0)*VLOOKUP('Données projet'!$B$15,Paramètres!$A$1:$I$89,5,0)</f>
        <v>238.91441666666631</v>
      </c>
      <c r="EL141" s="13">
        <f t="shared" si="153"/>
        <v>58.205900348154188</v>
      </c>
      <c r="EM141" s="20">
        <f t="shared" si="127"/>
        <v>517.4845521341457</v>
      </c>
      <c r="EN141" s="59">
        <f t="shared" si="128"/>
        <v>810.81788546747907</v>
      </c>
      <c r="EO141" s="59">
        <f ca="1">AVERAGE(OFFSET($EN$3,0,0,'Données projet'!$E$15+1,1))-AVERAGE(OFFSET($H$3,0,0,'Données projet'!$E$15+1,1))</f>
        <v>234.56750794375012</v>
      </c>
      <c r="EP141" s="59">
        <f t="shared" si="154"/>
        <v>150.32420541314724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51.384605203165741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51.384605203165741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1.5961632016114892E-13</v>
      </c>
      <c r="P142" s="13">
        <f t="shared" si="141"/>
        <v>2.2708641912150958E-12</v>
      </c>
      <c r="Q142" s="20">
        <f t="shared" si="108"/>
        <v>4.2330868906469593E-12</v>
      </c>
      <c r="R142" s="59">
        <f t="shared" si="109"/>
        <v>293.33333333333752</v>
      </c>
      <c r="S142" s="59">
        <f ca="1">AVERAGE(OFFSET($R$3,0,0,'Données projet'!$E$9+1,1))-AVERAGE(OFFSET($H$3,0,0,'Données projet'!$E$9+1,1))</f>
        <v>198.17898804494365</v>
      </c>
      <c r="T142" s="59">
        <f t="shared" si="142"/>
        <v>186.24772922797723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89.36282705315449</v>
      </c>
      <c r="AA142" s="21">
        <f>EXP(-LN(2)/25)*AA141+(1-EXP(-LN(2)/25))/(LN(2)/25)*Calculateur!V142*Calculateur!X142*VLOOKUP('Données projet'!$B$9,Paramètres!$A$1:$I$89,3,0)*0.475*44/12</f>
        <v>17.110915651984016</v>
      </c>
      <c r="AB142" s="21">
        <f>EXP(-LN(2)/2)*AB141+(1-EXP(-LN(2)/2))/(LN(2)/2)*V142*Y142*VLOOKUP('Données projet'!$B$9,Paramètres!$A$1:$I$89,3,0)*0.475*44/12</f>
        <v>1.6927063937494341E-4</v>
      </c>
      <c r="AC142" s="22">
        <f t="shared" si="111"/>
        <v>106.47391197577788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278.21846622758881</v>
      </c>
      <c r="AO142" s="59">
        <f t="shared" si="144"/>
        <v>245.37578316242906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5.6843418860808015E-13</v>
      </c>
      <c r="BE142" s="13">
        <f>BD142*VLOOKUP('Données projet'!$B$11,Paramètres!$A$1:$I$89,3,0)*VLOOKUP('Données projet'!$B$11,Paramètres!$A$1:$I$89,5,0)</f>
        <v>5.1431925385259092E-13</v>
      </c>
      <c r="BF142" s="13">
        <f t="shared" si="145"/>
        <v>6.3855359115685756E-12</v>
      </c>
      <c r="BG142" s="20">
        <f t="shared" si="115"/>
        <v>1.2017247746441865E-11</v>
      </c>
      <c r="BH142" s="59">
        <f t="shared" si="116"/>
        <v>293.33333333334531</v>
      </c>
      <c r="BI142" s="59">
        <f ca="1">AVERAGE(OFFSET($BH$3,0,0,'Données projet'!$E$11+1,1))-AVERAGE(OFFSET($H$3,0,0,'Données projet'!$E$11+1,1))</f>
        <v>270.87836509222456</v>
      </c>
      <c r="BJ142" s="59">
        <f t="shared" si="146"/>
        <v>205.24998237949734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145.9329090145896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145.9329090145896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5.6843418860808015E-13</v>
      </c>
      <c r="BZ142" s="13">
        <f>BY142*VLOOKUP('Données projet'!$B$12,Paramètres!$A$1:$I$89,3,0)*VLOOKUP('Données projet'!$B$12,Paramètres!$A$1:$I$89,5,0)</f>
        <v>5.763922672485933E-13</v>
      </c>
      <c r="CA142" s="13">
        <f t="shared" si="147"/>
        <v>7.0619171555808457E-12</v>
      </c>
      <c r="CB142" s="20">
        <f t="shared" si="118"/>
        <v>1.3303388911427938E-11</v>
      </c>
      <c r="CC142" s="59">
        <f t="shared" si="119"/>
        <v>293.33333333334662</v>
      </c>
      <c r="CD142" s="59">
        <f ca="1">AVERAGE(OFFSET($CC$3,0,0,'Données projet'!$E$12+1,1))-AVERAGE(OFFSET($H$3,0,0,'Données projet'!$E$12+1,1))</f>
        <v>312.29056285877169</v>
      </c>
      <c r="CE142" s="59">
        <f t="shared" si="148"/>
        <v>233.85454224241693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163.54550148186769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163.54550148186769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5.1063034188034209</v>
      </c>
      <c r="CT142" s="12">
        <f>IF('Données projet'!$A$140&gt;35,CT141+CS142-DB141,IF(A142&lt;'Données projet'!$A$140,$CQ$205^A142,IF(A142='Données projet'!$A$140,'Données projet'!$B$140,CT141+CS142-DB141)))</f>
        <v>252.12286324786288</v>
      </c>
      <c r="CU142" s="17">
        <f>CT142*VLOOKUP('Données projet'!$B$13,Paramètres!$A$1:$I$89,3,0)*VLOOKUP('Données projet'!$B$13,Paramètres!$A$1:$I$89,5,0)</f>
        <v>287.11751666666623</v>
      </c>
      <c r="CV142" s="13">
        <f t="shared" si="149"/>
        <v>68.468940269592792</v>
      </c>
      <c r="CW142" s="20">
        <f t="shared" si="121"/>
        <v>619.31307916398441</v>
      </c>
      <c r="CX142" s="59">
        <f t="shared" si="122"/>
        <v>912.64641249731767</v>
      </c>
      <c r="CY142" s="59">
        <f ca="1">AVERAGE(OFFSET($CX$3,0,0,'Données projet'!$E$13+1,1))-AVERAGE(OFFSET($H$3,0,0,'Données projet'!$E$13+1,1))</f>
        <v>292.22737648725354</v>
      </c>
      <c r="CZ142" s="59">
        <f t="shared" si="150"/>
        <v>182.84038581199871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59.314836514115569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59.314836514115569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5.1063034188034209</v>
      </c>
      <c r="DO142" s="12">
        <f>IF('Données projet'!$A$166&gt;35,DO141+DN142-DW141,IF(A142&lt;'Données projet'!$A$166,$DL$205^A142,IF(A142='Données projet'!$A$166,'Données projet'!$B$166,DO141+DN142-DW141)))</f>
        <v>252.12286324786288</v>
      </c>
      <c r="DP142" s="17">
        <f>DO142*VLOOKUP('Données projet'!$B$14,Paramètres!$A$1:$I$89,3,0)*VLOOKUP('Données projet'!$B$14,Paramètres!$A$1:$I$89,5,0)</f>
        <v>275.31816666666623</v>
      </c>
      <c r="DQ142" s="13">
        <f t="shared" si="151"/>
        <v>65.976634023365563</v>
      </c>
      <c r="DR142" s="20">
        <f t="shared" si="124"/>
        <v>594.42177786847208</v>
      </c>
      <c r="DS142" s="59">
        <f t="shared" si="125"/>
        <v>887.75511120180545</v>
      </c>
      <c r="DT142" s="59">
        <f ca="1">AVERAGE(OFFSET($DS$3,0,0,'Données projet'!$E$14+1,1))-AVERAGE(OFFSET($H$3,0,0,'Données projet'!$E$14+1,1))</f>
        <v>276.52126514622455</v>
      </c>
      <c r="DU142" s="59">
        <f t="shared" si="152"/>
        <v>173.98404849503186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56.877240492987539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56.877240492987539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5.1063034188034209</v>
      </c>
      <c r="EJ142" s="12">
        <f>IF('Données projet'!$A$192&gt;35,EJ141+EI142-ER141,IF(A142&lt;'Données projet'!$A$192,$EG$205^A142,IF(A142='Données projet'!$A$192,'Données projet'!$B$192,EJ141+EI142-ER141)))</f>
        <v>252.12286324786288</v>
      </c>
      <c r="EK142" s="17">
        <f>EJ142*VLOOKUP('Données projet'!$B$15,Paramètres!$A$1:$I$89,3,0)*VLOOKUP('Données projet'!$B$15,Paramètres!$A$1:$I$89,5,0)</f>
        <v>243.85323333333301</v>
      </c>
      <c r="EL142" s="13">
        <f t="shared" si="153"/>
        <v>59.267802329610895</v>
      </c>
      <c r="EM142" s="20">
        <f t="shared" si="127"/>
        <v>527.93580377962724</v>
      </c>
      <c r="EN142" s="59">
        <f t="shared" si="128"/>
        <v>821.26913711296061</v>
      </c>
      <c r="EO142" s="59">
        <f ca="1">AVERAGE(OFFSET($EN$3,0,0,'Données projet'!$E$15+1,1))-AVERAGE(OFFSET($H$3,0,0,'Données projet'!$E$15+1,1))</f>
        <v>234.56750794375012</v>
      </c>
      <c r="EP142" s="59">
        <f t="shared" si="154"/>
        <v>150.32420541314724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50.376984436646119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50.376984436646119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1.5961632016114892E-13</v>
      </c>
      <c r="P143" s="13">
        <f t="shared" si="141"/>
        <v>2.2708641912150958E-12</v>
      </c>
      <c r="Q143" s="20">
        <f t="shared" si="108"/>
        <v>4.2330868906469593E-12</v>
      </c>
      <c r="R143" s="59">
        <f t="shared" si="109"/>
        <v>293.33333333333752</v>
      </c>
      <c r="S143" s="59">
        <f ca="1">AVERAGE(OFFSET($R$3,0,0,'Données projet'!$E$9+1,1))-AVERAGE(OFFSET($H$3,0,0,'Données projet'!$E$9+1,1))</f>
        <v>198.17898804494365</v>
      </c>
      <c r="T143" s="59">
        <f t="shared" si="142"/>
        <v>186.24772922797723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87.610476520584612</v>
      </c>
      <c r="AA143" s="21">
        <f>EXP(-LN(2)/25)*AA142+(1-EXP(-LN(2)/25))/(LN(2)/25)*Calculateur!V143*Calculateur!X143*VLOOKUP('Données projet'!$B$9,Paramètres!$A$1:$I$89,3,0)*0.475*44/12</f>
        <v>16.643016763656565</v>
      </c>
      <c r="AB143" s="21">
        <f>EXP(-LN(2)/2)*AB142+(1-EXP(-LN(2)/2))/(LN(2)/2)*V143*Y143*VLOOKUP('Données projet'!$B$9,Paramètres!$A$1:$I$89,3,0)*0.475*44/12</f>
        <v>1.1969241695780511E-4</v>
      </c>
      <c r="AC143" s="22">
        <f t="shared" si="111"/>
        <v>104.25361297665813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278.21846622758881</v>
      </c>
      <c r="AO143" s="59">
        <f t="shared" si="144"/>
        <v>245.37578316242906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5.6843418860808015E-13</v>
      </c>
      <c r="BE143" s="13">
        <f>BD143*VLOOKUP('Données projet'!$B$11,Paramètres!$A$1:$I$89,3,0)*VLOOKUP('Données projet'!$B$11,Paramètres!$A$1:$I$89,5,0)</f>
        <v>5.1431925385259092E-13</v>
      </c>
      <c r="BF143" s="13">
        <f t="shared" si="145"/>
        <v>6.3855359115685756E-12</v>
      </c>
      <c r="BG143" s="20">
        <f t="shared" si="115"/>
        <v>1.2017247746441865E-11</v>
      </c>
      <c r="BH143" s="59">
        <f t="shared" si="116"/>
        <v>293.33333333334531</v>
      </c>
      <c r="BI143" s="59">
        <f ca="1">AVERAGE(OFFSET($BH$3,0,0,'Données projet'!$E$11+1,1))-AVERAGE(OFFSET($H$3,0,0,'Données projet'!$E$11+1,1))</f>
        <v>270.87836509222456</v>
      </c>
      <c r="BJ143" s="59">
        <f t="shared" si="146"/>
        <v>205.24998237949734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143.07125367909896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143.07125367909896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5.6843418860808015E-13</v>
      </c>
      <c r="BZ143" s="13">
        <f>BY143*VLOOKUP('Données projet'!$B$12,Paramètres!$A$1:$I$89,3,0)*VLOOKUP('Données projet'!$B$12,Paramètres!$A$1:$I$89,5,0)</f>
        <v>5.763922672485933E-13</v>
      </c>
      <c r="CA143" s="13">
        <f t="shared" si="147"/>
        <v>7.0619171555808457E-12</v>
      </c>
      <c r="CB143" s="20">
        <f t="shared" si="118"/>
        <v>1.3303388911427938E-11</v>
      </c>
      <c r="CC143" s="59">
        <f t="shared" si="119"/>
        <v>293.33333333334662</v>
      </c>
      <c r="CD143" s="59">
        <f ca="1">AVERAGE(OFFSET($CC$3,0,0,'Données projet'!$E$12+1,1))-AVERAGE(OFFSET($H$3,0,0,'Données projet'!$E$12+1,1))</f>
        <v>312.29056285877169</v>
      </c>
      <c r="CE143" s="59">
        <f t="shared" si="148"/>
        <v>233.85454224241693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160.33847395071439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160.33847395071439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5.1063034188034209</v>
      </c>
      <c r="CT143" s="12">
        <f>IF('Données projet'!$A$140&gt;35,CT142+CS143-DB142,IF(A143&lt;'Données projet'!$A$140,$CQ$205^A143,IF(A143='Données projet'!$A$140,'Données projet'!$B$140,CT142+CS143-DB142)))</f>
        <v>257.22916666666629</v>
      </c>
      <c r="CU143" s="17">
        <f>CT143*VLOOKUP('Données projet'!$B$13,Paramètres!$A$1:$I$89,3,0)*VLOOKUP('Données projet'!$B$13,Paramètres!$A$1:$I$89,5,0)</f>
        <v>292.93257499999953</v>
      </c>
      <c r="CV143" s="13">
        <f t="shared" si="149"/>
        <v>69.692810300927363</v>
      </c>
      <c r="CW143" s="20">
        <f t="shared" si="121"/>
        <v>631.57254606578101</v>
      </c>
      <c r="CX143" s="59">
        <f t="shared" si="122"/>
        <v>924.90587939911438</v>
      </c>
      <c r="CY143" s="59">
        <f ca="1">AVERAGE(OFFSET($CX$3,0,0,'Données projet'!$E$13+1,1))-AVERAGE(OFFSET($H$3,0,0,'Données projet'!$E$13+1,1))</f>
        <v>292.22737648725354</v>
      </c>
      <c r="CZ143" s="59">
        <f t="shared" si="150"/>
        <v>182.84038581199871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58.151708748551705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58.151708748551705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5.1063034188034209</v>
      </c>
      <c r="DO143" s="12">
        <f>IF('Données projet'!$A$166&gt;35,DO142+DN143-DW142,IF(A143&lt;'Données projet'!$A$166,$DL$205^A143,IF(A143='Données projet'!$A$166,'Données projet'!$B$166,DO142+DN143-DW142)))</f>
        <v>257.22916666666629</v>
      </c>
      <c r="DP143" s="17">
        <f>DO143*VLOOKUP('Données projet'!$B$14,Paramètres!$A$1:$I$89,3,0)*VLOOKUP('Données projet'!$B$14,Paramètres!$A$1:$I$89,5,0)</f>
        <v>280.89424999999954</v>
      </c>
      <c r="DQ143" s="13">
        <f t="shared" si="151"/>
        <v>67.155954527401249</v>
      </c>
      <c r="DR143" s="20">
        <f t="shared" si="124"/>
        <v>606.18743955188972</v>
      </c>
      <c r="DS143" s="59">
        <f t="shared" si="125"/>
        <v>899.5207728852231</v>
      </c>
      <c r="DT143" s="59">
        <f ca="1">AVERAGE(OFFSET($DS$3,0,0,'Données projet'!$E$14+1,1))-AVERAGE(OFFSET($H$3,0,0,'Données projet'!$E$14+1,1))</f>
        <v>276.52126514622455</v>
      </c>
      <c r="DU143" s="59">
        <f t="shared" si="152"/>
        <v>173.98404849503186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55.761912498611231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55.761912498611231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5.1063034188034209</v>
      </c>
      <c r="EJ143" s="12">
        <f>IF('Données projet'!$A$192&gt;35,EJ142+EI143-ER142,IF(A143&lt;'Données projet'!$A$192,$EG$205^A143,IF(A143='Données projet'!$A$192,'Données projet'!$B$192,EJ142+EI143-ER142)))</f>
        <v>257.22916666666629</v>
      </c>
      <c r="EK143" s="17">
        <f>EJ143*VLOOKUP('Données projet'!$B$15,Paramètres!$A$1:$I$89,3,0)*VLOOKUP('Données projet'!$B$15,Paramètres!$A$1:$I$89,5,0)</f>
        <v>248.79204999999965</v>
      </c>
      <c r="EL143" s="13">
        <f t="shared" si="153"/>
        <v>60.327203669965584</v>
      </c>
      <c r="EM143" s="20">
        <f t="shared" si="127"/>
        <v>538.38270014185616</v>
      </c>
      <c r="EN143" s="59">
        <f t="shared" si="128"/>
        <v>831.71603347518953</v>
      </c>
      <c r="EO143" s="59">
        <f ca="1">AVERAGE(OFFSET($EN$3,0,0,'Données projet'!$E$15+1,1))-AVERAGE(OFFSET($H$3,0,0,'Données projet'!$E$15+1,1))</f>
        <v>234.56750794375012</v>
      </c>
      <c r="EP143" s="59">
        <f t="shared" si="154"/>
        <v>150.32420541314724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49.389122498769964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49.389122498769964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1.5961632016114892E-13</v>
      </c>
      <c r="P144" s="13">
        <f t="shared" si="141"/>
        <v>2.2708641912150958E-12</v>
      </c>
      <c r="Q144" s="20">
        <f t="shared" si="108"/>
        <v>4.2330868906469593E-12</v>
      </c>
      <c r="R144" s="59">
        <f t="shared" si="109"/>
        <v>293.33333333333752</v>
      </c>
      <c r="S144" s="59">
        <f ca="1">AVERAGE(OFFSET($R$3,0,0,'Données projet'!$E$9+1,1))-AVERAGE(OFFSET($H$3,0,0,'Données projet'!$E$9+1,1))</f>
        <v>198.17898804494365</v>
      </c>
      <c r="T144" s="59">
        <f t="shared" si="142"/>
        <v>186.24772922797723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85.892488513130147</v>
      </c>
      <c r="AA144" s="21">
        <f>EXP(-LN(2)/25)*AA143+(1-EXP(-LN(2)/25))/(LN(2)/25)*Calculateur!V144*Calculateur!X144*VLOOKUP('Données projet'!$B$9,Paramètres!$A$1:$I$89,3,0)*0.475*44/12</f>
        <v>16.187912595036163</v>
      </c>
      <c r="AB144" s="21">
        <f>EXP(-LN(2)/2)*AB143+(1-EXP(-LN(2)/2))/(LN(2)/2)*V144*Y144*VLOOKUP('Données projet'!$B$9,Paramètres!$A$1:$I$89,3,0)*0.475*44/12</f>
        <v>8.4635319687471718E-5</v>
      </c>
      <c r="AC144" s="22">
        <f t="shared" si="111"/>
        <v>102.08048574348599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278.21846622758881</v>
      </c>
      <c r="AO144" s="59">
        <f t="shared" si="144"/>
        <v>245.37578316242906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5.6843418860808015E-13</v>
      </c>
      <c r="BE144" s="13">
        <f>BD144*VLOOKUP('Données projet'!$B$11,Paramètres!$A$1:$I$89,3,0)*VLOOKUP('Données projet'!$B$11,Paramètres!$A$1:$I$89,5,0)</f>
        <v>5.1431925385259092E-13</v>
      </c>
      <c r="BF144" s="13">
        <f t="shared" si="145"/>
        <v>6.3855359115685756E-12</v>
      </c>
      <c r="BG144" s="20">
        <f t="shared" si="115"/>
        <v>1.2017247746441865E-11</v>
      </c>
      <c r="BH144" s="59">
        <f t="shared" si="116"/>
        <v>293.33333333334531</v>
      </c>
      <c r="BI144" s="59">
        <f ca="1">AVERAGE(OFFSET($BH$3,0,0,'Données projet'!$E$11+1,1))-AVERAGE(OFFSET($H$3,0,0,'Données projet'!$E$11+1,1))</f>
        <v>270.87836509222456</v>
      </c>
      <c r="BJ144" s="59">
        <f t="shared" si="146"/>
        <v>205.24998237949734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140.26571365929988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140.26571365929988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5.6843418860808015E-13</v>
      </c>
      <c r="BZ144" s="13">
        <f>BY144*VLOOKUP('Données projet'!$B$12,Paramètres!$A$1:$I$89,3,0)*VLOOKUP('Données projet'!$B$12,Paramètres!$A$1:$I$89,5,0)</f>
        <v>5.763922672485933E-13</v>
      </c>
      <c r="CA144" s="13">
        <f t="shared" si="147"/>
        <v>7.0619171555808457E-12</v>
      </c>
      <c r="CB144" s="20">
        <f t="shared" si="118"/>
        <v>1.3303388911427938E-11</v>
      </c>
      <c r="CC144" s="59">
        <f t="shared" si="119"/>
        <v>293.33333333334662</v>
      </c>
      <c r="CD144" s="59">
        <f ca="1">AVERAGE(OFFSET($CC$3,0,0,'Données projet'!$E$12+1,1))-AVERAGE(OFFSET($H$3,0,0,'Données projet'!$E$12+1,1))</f>
        <v>312.29056285877169</v>
      </c>
      <c r="CE144" s="59">
        <f t="shared" si="148"/>
        <v>233.85454224241693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157.19433427335335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157.19433427335335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5.1063034188034209</v>
      </c>
      <c r="CT144" s="12">
        <f>IF('Données projet'!$A$140&gt;35,CT143+CS144-DB143,IF(A144&lt;'Données projet'!$A$140,$CQ$205^A144,IF(A144='Données projet'!$A$140,'Données projet'!$B$140,CT143+CS144-DB143)))</f>
        <v>262.33547008546969</v>
      </c>
      <c r="CU144" s="17">
        <f>CT144*VLOOKUP('Données projet'!$B$13,Paramètres!$A$1:$I$89,3,0)*VLOOKUP('Données projet'!$B$13,Paramètres!$A$1:$I$89,5,0)</f>
        <v>298.74763333333289</v>
      </c>
      <c r="CV144" s="13">
        <f t="shared" si="149"/>
        <v>70.913855431606862</v>
      </c>
      <c r="CW144" s="20">
        <f t="shared" si="121"/>
        <v>643.82709293227003</v>
      </c>
      <c r="CX144" s="59">
        <f t="shared" si="122"/>
        <v>937.16042626560329</v>
      </c>
      <c r="CY144" s="59">
        <f ca="1">AVERAGE(OFFSET($CX$3,0,0,'Données projet'!$E$13+1,1))-AVERAGE(OFFSET($H$3,0,0,'Données projet'!$E$13+1,1))</f>
        <v>292.22737648725354</v>
      </c>
      <c r="CZ144" s="59">
        <f t="shared" si="150"/>
        <v>182.84038581199871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57.011389209032664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57.011389209032664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5.1063034188034209</v>
      </c>
      <c r="DO144" s="12">
        <f>IF('Données projet'!$A$166&gt;35,DO143+DN144-DW143,IF(A144&lt;'Données projet'!$A$166,$DL$205^A144,IF(A144='Données projet'!$A$166,'Données projet'!$B$166,DO143+DN144-DW143)))</f>
        <v>262.33547008546969</v>
      </c>
      <c r="DP144" s="17">
        <f>DO144*VLOOKUP('Données projet'!$B$14,Paramètres!$A$1:$I$89,3,0)*VLOOKUP('Données projet'!$B$14,Paramètres!$A$1:$I$89,5,0)</f>
        <v>286.47033333333292</v>
      </c>
      <c r="DQ144" s="13">
        <f t="shared" si="151"/>
        <v>68.332552958684801</v>
      </c>
      <c r="DR144" s="20">
        <f t="shared" si="124"/>
        <v>617.94836029193084</v>
      </c>
      <c r="DS144" s="59">
        <f t="shared" si="125"/>
        <v>911.2816936252641</v>
      </c>
      <c r="DT144" s="59">
        <f ca="1">AVERAGE(OFFSET($DS$3,0,0,'Données projet'!$E$14+1,1))-AVERAGE(OFFSET($H$3,0,0,'Données projet'!$E$14+1,1))</f>
        <v>276.52126514622455</v>
      </c>
      <c r="DU144" s="59">
        <f t="shared" si="152"/>
        <v>173.98404849503186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54.66845540592174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54.66845540592174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5.1063034188034209</v>
      </c>
      <c r="EJ144" s="12">
        <f>IF('Données projet'!$A$192&gt;35,EJ143+EI144-ER143,IF(A144&lt;'Données projet'!$A$192,$EG$205^A144,IF(A144='Données projet'!$A$192,'Données projet'!$B$192,EJ143+EI144-ER143)))</f>
        <v>262.33547008546969</v>
      </c>
      <c r="EK144" s="17">
        <f>EJ144*VLOOKUP('Données projet'!$B$15,Paramètres!$A$1:$I$89,3,0)*VLOOKUP('Données projet'!$B$15,Paramètres!$A$1:$I$89,5,0)</f>
        <v>253.73086666666632</v>
      </c>
      <c r="EL144" s="13">
        <f t="shared" si="153"/>
        <v>61.38415973143946</v>
      </c>
      <c r="EM144" s="20">
        <f t="shared" si="127"/>
        <v>548.82533764336756</v>
      </c>
      <c r="EN144" s="59">
        <f t="shared" si="128"/>
        <v>842.15867097670093</v>
      </c>
      <c r="EO144" s="59">
        <f ca="1">AVERAGE(OFFSET($EN$3,0,0,'Données projet'!$E$15+1,1))-AVERAGE(OFFSET($H$3,0,0,'Données projet'!$E$15+1,1))</f>
        <v>234.56750794375012</v>
      </c>
      <c r="EP144" s="59">
        <f t="shared" si="154"/>
        <v>150.32420541314724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48.420631930959274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48.420631930959274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1.5961632016114892E-13</v>
      </c>
      <c r="P145" s="13">
        <f t="shared" si="141"/>
        <v>2.2708641912150958E-12</v>
      </c>
      <c r="Q145" s="20">
        <f t="shared" si="108"/>
        <v>4.2330868906469593E-12</v>
      </c>
      <c r="R145" s="59">
        <f t="shared" si="109"/>
        <v>293.33333333333752</v>
      </c>
      <c r="S145" s="59">
        <f ca="1">AVERAGE(OFFSET($R$3,0,0,'Données projet'!$E$9+1,1))-AVERAGE(OFFSET($H$3,0,0,'Données projet'!$E$9+1,1))</f>
        <v>198.17898804494365</v>
      </c>
      <c r="T145" s="59">
        <f t="shared" si="142"/>
        <v>186.24772922797723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84.208189202632653</v>
      </c>
      <c r="AA145" s="21">
        <f>EXP(-LN(2)/25)*AA144+(1-EXP(-LN(2)/25))/(LN(2)/25)*Calculateur!V145*Calculateur!X145*VLOOKUP('Données projet'!$B$9,Paramètres!$A$1:$I$89,3,0)*0.475*44/12</f>
        <v>15.745253273839573</v>
      </c>
      <c r="AB145" s="21">
        <f>EXP(-LN(2)/2)*AB144+(1-EXP(-LN(2)/2))/(LN(2)/2)*V145*Y145*VLOOKUP('Données projet'!$B$9,Paramètres!$A$1:$I$89,3,0)*0.475*44/12</f>
        <v>5.9846208478902567E-5</v>
      </c>
      <c r="AC145" s="22">
        <f t="shared" si="111"/>
        <v>99.953502322680691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278.21846622758881</v>
      </c>
      <c r="AO145" s="59">
        <f t="shared" si="144"/>
        <v>245.37578316242906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5.6843418860808015E-13</v>
      </c>
      <c r="BE145" s="13">
        <f>BD145*VLOOKUP('Données projet'!$B$11,Paramètres!$A$1:$I$89,3,0)*VLOOKUP('Données projet'!$B$11,Paramètres!$A$1:$I$89,5,0)</f>
        <v>5.1431925385259092E-13</v>
      </c>
      <c r="BF145" s="13">
        <f t="shared" si="145"/>
        <v>6.3855359115685756E-12</v>
      </c>
      <c r="BG145" s="20">
        <f t="shared" si="115"/>
        <v>1.2017247746441865E-11</v>
      </c>
      <c r="BH145" s="59">
        <f t="shared" si="116"/>
        <v>293.33333333334531</v>
      </c>
      <c r="BI145" s="59">
        <f ca="1">AVERAGE(OFFSET($BH$3,0,0,'Données projet'!$E$11+1,1))-AVERAGE(OFFSET($H$3,0,0,'Données projet'!$E$11+1,1))</f>
        <v>270.87836509222456</v>
      </c>
      <c r="BJ145" s="59">
        <f t="shared" si="146"/>
        <v>205.24998237949734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137.51518856807863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137.51518856807863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5.6843418860808015E-13</v>
      </c>
      <c r="BZ145" s="13">
        <f>BY145*VLOOKUP('Données projet'!$B$12,Paramètres!$A$1:$I$89,3,0)*VLOOKUP('Données projet'!$B$12,Paramètres!$A$1:$I$89,5,0)</f>
        <v>5.763922672485933E-13</v>
      </c>
      <c r="CA145" s="13">
        <f t="shared" si="147"/>
        <v>7.0619171555808457E-12</v>
      </c>
      <c r="CB145" s="20">
        <f t="shared" si="118"/>
        <v>1.3303388911427938E-11</v>
      </c>
      <c r="CC145" s="59">
        <f t="shared" si="119"/>
        <v>293.33333333334662</v>
      </c>
      <c r="CD145" s="59">
        <f ca="1">AVERAGE(OFFSET($CC$3,0,0,'Données projet'!$E$12+1,1))-AVERAGE(OFFSET($H$3,0,0,'Données projet'!$E$12+1,1))</f>
        <v>312.29056285877169</v>
      </c>
      <c r="CE145" s="59">
        <f t="shared" si="148"/>
        <v>233.85454224241693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154.11184925732951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154.11184925732951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5.1063034188034209</v>
      </c>
      <c r="CT145" s="12">
        <f>IF('Données projet'!$A$140&gt;35,CT144+CS145-DB144,IF(A145&lt;'Données projet'!$A$140,$CQ$205^A145,IF(A145='Données projet'!$A$140,'Données projet'!$B$140,CT144+CS145-DB144)))</f>
        <v>267.4417735042731</v>
      </c>
      <c r="CU145" s="17">
        <f>CT145*VLOOKUP('Données projet'!$B$13,Paramètres!$A$1:$I$89,3,0)*VLOOKUP('Données projet'!$B$13,Paramètres!$A$1:$I$89,5,0)</f>
        <v>304.56269166666618</v>
      </c>
      <c r="CV145" s="13">
        <f t="shared" si="149"/>
        <v>72.132136986418402</v>
      </c>
      <c r="CW145" s="20">
        <f t="shared" si="121"/>
        <v>656.07682657078897</v>
      </c>
      <c r="CX145" s="59">
        <f t="shared" si="122"/>
        <v>949.41015990412234</v>
      </c>
      <c r="CY145" s="59">
        <f ca="1">AVERAGE(OFFSET($CX$3,0,0,'Données projet'!$E$13+1,1))-AVERAGE(OFFSET($H$3,0,0,'Données projet'!$E$13+1,1))</f>
        <v>292.22737648725354</v>
      </c>
      <c r="CZ145" s="59">
        <f t="shared" si="150"/>
        <v>182.84038581199871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55.893430640157355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55.893430640157355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5.1063034188034209</v>
      </c>
      <c r="DO145" s="12">
        <f>IF('Données projet'!$A$166&gt;35,DO144+DN145-DW144,IF(A145&lt;'Données projet'!$A$166,$DL$205^A145,IF(A145='Données projet'!$A$166,'Données projet'!$B$166,DO144+DN145-DW144)))</f>
        <v>267.4417735042731</v>
      </c>
      <c r="DP145" s="17">
        <f>DO145*VLOOKUP('Données projet'!$B$14,Paramètres!$A$1:$I$89,3,0)*VLOOKUP('Données projet'!$B$14,Paramètres!$A$1:$I$89,5,0)</f>
        <v>292.04641666666623</v>
      </c>
      <c r="DQ145" s="13">
        <f t="shared" si="151"/>
        <v>69.506488409748258</v>
      </c>
      <c r="DR145" s="20">
        <f t="shared" si="124"/>
        <v>629.70464300808862</v>
      </c>
      <c r="DS145" s="59">
        <f t="shared" si="125"/>
        <v>923.03797634142188</v>
      </c>
      <c r="DT145" s="59">
        <f ca="1">AVERAGE(OFFSET($DS$3,0,0,'Données projet'!$E$14+1,1))-AVERAGE(OFFSET($H$3,0,0,'Données projet'!$E$14+1,1))</f>
        <v>276.52126514622455</v>
      </c>
      <c r="DU145" s="59">
        <f t="shared" si="152"/>
        <v>173.98404849503186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53.596440339876921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53.596440339876921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5.1063034188034209</v>
      </c>
      <c r="EJ145" s="12">
        <f>IF('Données projet'!$A$192&gt;35,EJ144+EI145-ER144,IF(A145&lt;'Données projet'!$A$192,$EG$205^A145,IF(A145='Données projet'!$A$192,'Données projet'!$B$192,EJ144+EI145-ER144)))</f>
        <v>267.4417735042731</v>
      </c>
      <c r="EK145" s="17">
        <f>EJ145*VLOOKUP('Données projet'!$B$15,Paramètres!$A$1:$I$89,3,0)*VLOOKUP('Données projet'!$B$15,Paramètres!$A$1:$I$89,5,0)</f>
        <v>258.66968333333296</v>
      </c>
      <c r="EL145" s="13">
        <f t="shared" si="153"/>
        <v>62.438723597742666</v>
      </c>
      <c r="EM145" s="20">
        <f t="shared" si="127"/>
        <v>559.26380873828998</v>
      </c>
      <c r="EN145" s="59">
        <f t="shared" si="128"/>
        <v>852.59714207162324</v>
      </c>
      <c r="EO145" s="59">
        <f ca="1">AVERAGE(OFFSET($EN$3,0,0,'Données projet'!$E$15+1,1))-AVERAGE(OFFSET($H$3,0,0,'Données projet'!$E$15+1,1))</f>
        <v>234.56750794375012</v>
      </c>
      <c r="EP145" s="59">
        <f t="shared" si="154"/>
        <v>150.32420541314724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47.471132872462434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47.471132872462434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1.5961632016114892E-13</v>
      </c>
      <c r="P146" s="13">
        <f t="shared" si="141"/>
        <v>2.2708641912150958E-12</v>
      </c>
      <c r="Q146" s="20">
        <f t="shared" si="108"/>
        <v>4.2330868906469593E-12</v>
      </c>
      <c r="R146" s="59">
        <f t="shared" si="109"/>
        <v>293.33333333333752</v>
      </c>
      <c r="S146" s="59">
        <f ca="1">AVERAGE(OFFSET($R$3,0,0,'Données projet'!$E$9+1,1))-AVERAGE(OFFSET($H$3,0,0,'Données projet'!$E$9+1,1))</f>
        <v>198.17898804494365</v>
      </c>
      <c r="T146" s="59">
        <f t="shared" si="142"/>
        <v>186.24772922797723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82.556917974292872</v>
      </c>
      <c r="AA146" s="21">
        <f>EXP(-LN(2)/25)*AA145+(1-EXP(-LN(2)/25))/(LN(2)/25)*Calculateur!V146*Calculateur!X146*VLOOKUP('Données projet'!$B$9,Paramètres!$A$1:$I$89,3,0)*0.475*44/12</f>
        <v>15.314698495059547</v>
      </c>
      <c r="AB146" s="21">
        <f>EXP(-LN(2)/2)*AB145+(1-EXP(-LN(2)/2))/(LN(2)/2)*V146*Y146*VLOOKUP('Données projet'!$B$9,Paramètres!$A$1:$I$89,3,0)*0.475*44/12</f>
        <v>4.2317659843735866E-5</v>
      </c>
      <c r="AC146" s="22">
        <f t="shared" si="111"/>
        <v>97.871658787012265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278.21846622758881</v>
      </c>
      <c r="AO146" s="59">
        <f t="shared" si="144"/>
        <v>245.37578316242906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5.6843418860808015E-13</v>
      </c>
      <c r="BE146" s="13">
        <f>BD146*VLOOKUP('Données projet'!$B$11,Paramètres!$A$1:$I$89,3,0)*VLOOKUP('Données projet'!$B$11,Paramètres!$A$1:$I$89,5,0)</f>
        <v>5.1431925385259092E-13</v>
      </c>
      <c r="BF146" s="13">
        <f t="shared" si="145"/>
        <v>6.3855359115685756E-12</v>
      </c>
      <c r="BG146" s="20">
        <f t="shared" si="115"/>
        <v>1.2017247746441865E-11</v>
      </c>
      <c r="BH146" s="59">
        <f t="shared" si="116"/>
        <v>293.33333333334531</v>
      </c>
      <c r="BI146" s="59">
        <f ca="1">AVERAGE(OFFSET($BH$3,0,0,'Données projet'!$E$11+1,1))-AVERAGE(OFFSET($H$3,0,0,'Données projet'!$E$11+1,1))</f>
        <v>270.87836509222456</v>
      </c>
      <c r="BJ146" s="59">
        <f t="shared" si="146"/>
        <v>205.24998237949734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134.81859959624157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134.81859959624157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5.6843418860808015E-13</v>
      </c>
      <c r="BZ146" s="13">
        <f>BY146*VLOOKUP('Données projet'!$B$12,Paramètres!$A$1:$I$89,3,0)*VLOOKUP('Données projet'!$B$12,Paramètres!$A$1:$I$89,5,0)</f>
        <v>5.763922672485933E-13</v>
      </c>
      <c r="CA146" s="13">
        <f t="shared" si="147"/>
        <v>7.0619171555808457E-12</v>
      </c>
      <c r="CB146" s="20">
        <f t="shared" si="118"/>
        <v>1.3303388911427938E-11</v>
      </c>
      <c r="CC146" s="59">
        <f t="shared" si="119"/>
        <v>293.33333333334662</v>
      </c>
      <c r="CD146" s="59">
        <f ca="1">AVERAGE(OFFSET($CC$3,0,0,'Données projet'!$E$12+1,1))-AVERAGE(OFFSET($H$3,0,0,'Données projet'!$E$12+1,1))</f>
        <v>312.29056285877169</v>
      </c>
      <c r="CE146" s="59">
        <f t="shared" si="148"/>
        <v>233.85454224241693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151.0898098923397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151.0898098923397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5.1063034188034209</v>
      </c>
      <c r="CT146" s="12">
        <f>IF('Données projet'!$A$140&gt;35,CT145+CS146-DB145,IF(A146&lt;'Données projet'!$A$140,$CQ$205^A146,IF(A146='Données projet'!$A$140,'Données projet'!$B$140,CT145+CS146-DB145)))</f>
        <v>272.54807692307651</v>
      </c>
      <c r="CU146" s="17">
        <f>CT146*VLOOKUP('Données projet'!$B$13,Paramètres!$A$1:$I$89,3,0)*VLOOKUP('Données projet'!$B$13,Paramètres!$A$1:$I$89,5,0)</f>
        <v>310.37774999999954</v>
      </c>
      <c r="CV146" s="13">
        <f t="shared" si="149"/>
        <v>73.347713814393742</v>
      </c>
      <c r="CW146" s="20">
        <f t="shared" si="121"/>
        <v>668.32184947673488</v>
      </c>
      <c r="CX146" s="59">
        <f t="shared" si="122"/>
        <v>961.65518281006825</v>
      </c>
      <c r="CY146" s="59">
        <f ca="1">AVERAGE(OFFSET($CX$3,0,0,'Données projet'!$E$13+1,1))-AVERAGE(OFFSET($H$3,0,0,'Données projet'!$E$13+1,1))</f>
        <v>292.22737648725354</v>
      </c>
      <c r="CZ146" s="59">
        <f t="shared" si="150"/>
        <v>182.84038581199871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54.797394556930293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54.797394556930293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5.1063034188034209</v>
      </c>
      <c r="DO146" s="12">
        <f>IF('Données projet'!$A$166&gt;35,DO145+DN146-DW145,IF(A146&lt;'Données projet'!$A$166,$DL$205^A146,IF(A146='Données projet'!$A$166,'Données projet'!$B$166,DO145+DN146-DW145)))</f>
        <v>272.54807692307651</v>
      </c>
      <c r="DP146" s="17">
        <f>DO146*VLOOKUP('Données projet'!$B$14,Paramètres!$A$1:$I$89,3,0)*VLOOKUP('Données projet'!$B$14,Paramètres!$A$1:$I$89,5,0)</f>
        <v>297.62249999999955</v>
      </c>
      <c r="DQ146" s="13">
        <f t="shared" si="151"/>
        <v>70.677817587486743</v>
      </c>
      <c r="DR146" s="20">
        <f t="shared" si="124"/>
        <v>641.45638646487191</v>
      </c>
      <c r="DS146" s="59">
        <f t="shared" si="125"/>
        <v>934.78971979820517</v>
      </c>
      <c r="DT146" s="59">
        <f ca="1">AVERAGE(OFFSET($DS$3,0,0,'Données projet'!$E$14+1,1))-AVERAGE(OFFSET($H$3,0,0,'Données projet'!$E$14+1,1))</f>
        <v>276.52126514622455</v>
      </c>
      <c r="DU146" s="59">
        <f t="shared" si="152"/>
        <v>173.98404849503186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52.545446835412612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52.545446835412612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5.1063034188034209</v>
      </c>
      <c r="EJ146" s="12">
        <f>IF('Données projet'!$A$192&gt;35,EJ145+EI146-ER145,IF(A146&lt;'Données projet'!$A$192,$EG$205^A146,IF(A146='Données projet'!$A$192,'Données projet'!$B$192,EJ145+EI146-ER145)))</f>
        <v>272.54807692307651</v>
      </c>
      <c r="EK146" s="17">
        <f>EJ146*VLOOKUP('Données projet'!$B$15,Paramètres!$A$1:$I$89,3,0)*VLOOKUP('Données projet'!$B$15,Paramètres!$A$1:$I$89,5,0)</f>
        <v>263.60849999999965</v>
      </c>
      <c r="EL146" s="13">
        <f t="shared" si="153"/>
        <v>63.490946209531685</v>
      </c>
      <c r="EM146" s="20">
        <f t="shared" si="127"/>
        <v>569.69820214826711</v>
      </c>
      <c r="EN146" s="59">
        <f t="shared" si="128"/>
        <v>863.03153548160049</v>
      </c>
      <c r="EO146" s="59">
        <f ca="1">AVERAGE(OFFSET($EN$3,0,0,'Données projet'!$E$15+1,1))-AVERAGE(OFFSET($H$3,0,0,'Données projet'!$E$15+1,1))</f>
        <v>234.56750794375012</v>
      </c>
      <c r="EP146" s="59">
        <f t="shared" si="154"/>
        <v>150.32420541314724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46.540252911365478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46.540252911365478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1.5961632016114892E-13</v>
      </c>
      <c r="P147" s="13">
        <f t="shared" si="141"/>
        <v>2.2708641912150958E-12</v>
      </c>
      <c r="Q147" s="20">
        <f t="shared" si="108"/>
        <v>4.2330868906469593E-12</v>
      </c>
      <c r="R147" s="59">
        <f t="shared" si="109"/>
        <v>293.33333333333752</v>
      </c>
      <c r="S147" s="59">
        <f ca="1">AVERAGE(OFFSET($R$3,0,0,'Données projet'!$E$9+1,1))-AVERAGE(OFFSET($H$3,0,0,'Données projet'!$E$9+1,1))</f>
        <v>198.17898804494365</v>
      </c>
      <c r="T147" s="59">
        <f t="shared" si="142"/>
        <v>186.24772922797723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80.93802716756484</v>
      </c>
      <c r="AA147" s="21">
        <f>EXP(-LN(2)/25)*AA146+(1-EXP(-LN(2)/25))/(LN(2)/25)*Calculateur!V147*Calculateur!X147*VLOOKUP('Données projet'!$B$9,Paramètres!$A$1:$I$89,3,0)*0.475*44/12</f>
        <v>14.895917259347152</v>
      </c>
      <c r="AB147" s="21">
        <f>EXP(-LN(2)/2)*AB146+(1-EXP(-LN(2)/2))/(LN(2)/2)*V147*Y147*VLOOKUP('Données projet'!$B$9,Paramètres!$A$1:$I$89,3,0)*0.475*44/12</f>
        <v>2.9923104239451287E-5</v>
      </c>
      <c r="AC147" s="22">
        <f t="shared" si="111"/>
        <v>95.833974350016234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278.21846622758881</v>
      </c>
      <c r="AO147" s="59">
        <f t="shared" si="144"/>
        <v>245.37578316242906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5.6843418860808015E-13</v>
      </c>
      <c r="BE147" s="13">
        <f>BD147*VLOOKUP('Données projet'!$B$11,Paramètres!$A$1:$I$89,3,0)*VLOOKUP('Données projet'!$B$11,Paramètres!$A$1:$I$89,5,0)</f>
        <v>5.1431925385259092E-13</v>
      </c>
      <c r="BF147" s="13">
        <f t="shared" si="145"/>
        <v>6.3855359115685756E-12</v>
      </c>
      <c r="BG147" s="20">
        <f t="shared" si="115"/>
        <v>1.2017247746441865E-11</v>
      </c>
      <c r="BH147" s="59">
        <f t="shared" si="116"/>
        <v>293.33333333334531</v>
      </c>
      <c r="BI147" s="59">
        <f ca="1">AVERAGE(OFFSET($BH$3,0,0,'Données projet'!$E$11+1,1))-AVERAGE(OFFSET($H$3,0,0,'Données projet'!$E$11+1,1))</f>
        <v>270.87836509222456</v>
      </c>
      <c r="BJ147" s="59">
        <f t="shared" si="146"/>
        <v>205.24998237949734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132.17488908938537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132.17488908938537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5.6843418860808015E-13</v>
      </c>
      <c r="BZ147" s="13">
        <f>BY147*VLOOKUP('Données projet'!$B$12,Paramètres!$A$1:$I$89,3,0)*VLOOKUP('Données projet'!$B$12,Paramètres!$A$1:$I$89,5,0)</f>
        <v>5.763922672485933E-13</v>
      </c>
      <c r="CA147" s="13">
        <f t="shared" si="147"/>
        <v>7.0619171555808457E-12</v>
      </c>
      <c r="CB147" s="20">
        <f t="shared" si="118"/>
        <v>1.3303388911427938E-11</v>
      </c>
      <c r="CC147" s="59">
        <f t="shared" si="119"/>
        <v>293.33333333334662</v>
      </c>
      <c r="CD147" s="59">
        <f ca="1">AVERAGE(OFFSET($CC$3,0,0,'Données projet'!$E$12+1,1))-AVERAGE(OFFSET($H$3,0,0,'Données projet'!$E$12+1,1))</f>
        <v>312.29056285877169</v>
      </c>
      <c r="CE147" s="59">
        <f t="shared" si="148"/>
        <v>233.85454224241693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148.12703087603535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148.12703087603535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5.1063034188034209</v>
      </c>
      <c r="CT147" s="12">
        <f>IF('Données projet'!$A$140&gt;35,CT146+CS147-DB146,IF(A147&lt;'Données projet'!$A$140,$CQ$205^A147,IF(A147='Données projet'!$A$140,'Données projet'!$B$140,CT146+CS147-DB146)))</f>
        <v>277.65438034187991</v>
      </c>
      <c r="CU147" s="17">
        <f>CT147*VLOOKUP('Données projet'!$B$13,Paramètres!$A$1:$I$89,3,0)*VLOOKUP('Données projet'!$B$13,Paramètres!$A$1:$I$89,5,0)</f>
        <v>316.19280833333283</v>
      </c>
      <c r="CV147" s="13">
        <f t="shared" si="149"/>
        <v>74.560642433237462</v>
      </c>
      <c r="CW147" s="20">
        <f t="shared" si="121"/>
        <v>680.56226008510987</v>
      </c>
      <c r="CX147" s="59">
        <f t="shared" si="122"/>
        <v>973.89559341844324</v>
      </c>
      <c r="CY147" s="59">
        <f ca="1">AVERAGE(OFFSET($CX$3,0,0,'Données projet'!$E$13+1,1))-AVERAGE(OFFSET($H$3,0,0,'Données projet'!$E$13+1,1))</f>
        <v>292.22737648725354</v>
      </c>
      <c r="CZ147" s="59">
        <f t="shared" si="150"/>
        <v>182.84038581199871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53.722851072779314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53.722851072779314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5.1063034188034209</v>
      </c>
      <c r="DO147" s="12">
        <f>IF('Données projet'!$A$166&gt;35,DO146+DN147-DW146,IF(A147&lt;'Données projet'!$A$166,$DL$205^A147,IF(A147='Données projet'!$A$166,'Données projet'!$B$166,DO146+DN147-DW146)))</f>
        <v>277.65438034187991</v>
      </c>
      <c r="DP147" s="17">
        <f>DO147*VLOOKUP('Données projet'!$B$14,Paramètres!$A$1:$I$89,3,0)*VLOOKUP('Données projet'!$B$14,Paramètres!$A$1:$I$89,5,0)</f>
        <v>303.19858333333286</v>
      </c>
      <c r="DQ147" s="13">
        <f t="shared" si="151"/>
        <v>71.846594952330207</v>
      </c>
      <c r="DR147" s="20">
        <f t="shared" si="124"/>
        <v>653.20368551419642</v>
      </c>
      <c r="DS147" s="59">
        <f t="shared" si="125"/>
        <v>946.53701884752968</v>
      </c>
      <c r="DT147" s="59">
        <f ca="1">AVERAGE(OFFSET($DS$3,0,0,'Données projet'!$E$14+1,1))-AVERAGE(OFFSET($H$3,0,0,'Données projet'!$E$14+1,1))</f>
        <v>276.52126514622455</v>
      </c>
      <c r="DU147" s="59">
        <f t="shared" si="152"/>
        <v>173.98404849503186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51.51506267252811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51.51506267252811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5.1063034188034209</v>
      </c>
      <c r="EJ147" s="12">
        <f>IF('Données projet'!$A$192&gt;35,EJ146+EI147-ER146,IF(A147&lt;'Données projet'!$A$192,$EG$205^A147,IF(A147='Données projet'!$A$192,'Données projet'!$B$192,EJ146+EI147-ER146)))</f>
        <v>277.65438034187991</v>
      </c>
      <c r="EK147" s="17">
        <f>EJ147*VLOOKUP('Données projet'!$B$15,Paramètres!$A$1:$I$89,3,0)*VLOOKUP('Données projet'!$B$15,Paramètres!$A$1:$I$89,5,0)</f>
        <v>268.54731666666623</v>
      </c>
      <c r="EL147" s="13">
        <f t="shared" si="153"/>
        <v>64.540876489429408</v>
      </c>
      <c r="EM147" s="20">
        <f t="shared" si="127"/>
        <v>580.12860308019992</v>
      </c>
      <c r="EN147" s="59">
        <f t="shared" si="128"/>
        <v>873.46193641353329</v>
      </c>
      <c r="EO147" s="59">
        <f ca="1">AVERAGE(OFFSET($EN$3,0,0,'Données projet'!$E$15+1,1))-AVERAGE(OFFSET($H$3,0,0,'Données projet'!$E$15+1,1))</f>
        <v>234.56750794375012</v>
      </c>
      <c r="EP147" s="59">
        <f t="shared" si="154"/>
        <v>150.32420541314724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45.627626938524919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45.627626938524919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1.5961632016114892E-13</v>
      </c>
      <c r="P148" s="13">
        <f t="shared" si="141"/>
        <v>2.2708641912150958E-12</v>
      </c>
      <c r="Q148" s="20">
        <f t="shared" si="108"/>
        <v>4.2330868906469593E-12</v>
      </c>
      <c r="R148" s="59">
        <f t="shared" si="109"/>
        <v>293.33333333333752</v>
      </c>
      <c r="S148" s="59">
        <f ca="1">AVERAGE(OFFSET($R$3,0,0,'Données projet'!$E$9+1,1))-AVERAGE(OFFSET($H$3,0,0,'Données projet'!$E$9+1,1))</f>
        <v>198.17898804494365</v>
      </c>
      <c r="T148" s="59">
        <f t="shared" si="142"/>
        <v>186.24772922797723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79.350881822130845</v>
      </c>
      <c r="AA148" s="21">
        <f>EXP(-LN(2)/25)*AA147+(1-EXP(-LN(2)/25))/(LN(2)/25)*Calculateur!V148*Calculateur!X148*VLOOKUP('Données projet'!$B$9,Paramètres!$A$1:$I$89,3,0)*0.475*44/12</f>
        <v>14.488587618548062</v>
      </c>
      <c r="AB148" s="21">
        <f>EXP(-LN(2)/2)*AB147+(1-EXP(-LN(2)/2))/(LN(2)/2)*V148*Y148*VLOOKUP('Données projet'!$B$9,Paramètres!$A$1:$I$89,3,0)*0.475*44/12</f>
        <v>2.1158829921867936E-5</v>
      </c>
      <c r="AC148" s="22">
        <f t="shared" si="111"/>
        <v>93.839490599508835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278.21846622758881</v>
      </c>
      <c r="AO148" s="59">
        <f t="shared" si="144"/>
        <v>245.37578316242906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5.6843418860808015E-13</v>
      </c>
      <c r="BE148" s="13">
        <f>BD148*VLOOKUP('Données projet'!$B$11,Paramètres!$A$1:$I$89,3,0)*VLOOKUP('Données projet'!$B$11,Paramètres!$A$1:$I$89,5,0)</f>
        <v>5.1431925385259092E-13</v>
      </c>
      <c r="BF148" s="13">
        <f t="shared" si="145"/>
        <v>6.3855359115685756E-12</v>
      </c>
      <c r="BG148" s="20">
        <f t="shared" si="115"/>
        <v>1.2017247746441865E-11</v>
      </c>
      <c r="BH148" s="59">
        <f t="shared" si="116"/>
        <v>293.33333333334531</v>
      </c>
      <c r="BI148" s="59">
        <f ca="1">AVERAGE(OFFSET($BH$3,0,0,'Données projet'!$E$11+1,1))-AVERAGE(OFFSET($H$3,0,0,'Données projet'!$E$11+1,1))</f>
        <v>270.87836509222456</v>
      </c>
      <c r="BJ148" s="59">
        <f t="shared" si="146"/>
        <v>205.24998237949734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129.58302013306442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129.58302013306442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5.6843418860808015E-13</v>
      </c>
      <c r="BZ148" s="13">
        <f>BY148*VLOOKUP('Données projet'!$B$12,Paramètres!$A$1:$I$89,3,0)*VLOOKUP('Données projet'!$B$12,Paramètres!$A$1:$I$89,5,0)</f>
        <v>5.763922672485933E-13</v>
      </c>
      <c r="CA148" s="13">
        <f t="shared" si="147"/>
        <v>7.0619171555808457E-12</v>
      </c>
      <c r="CB148" s="20">
        <f t="shared" si="118"/>
        <v>1.3303388911427938E-11</v>
      </c>
      <c r="CC148" s="59">
        <f t="shared" si="119"/>
        <v>293.33333333334662</v>
      </c>
      <c r="CD148" s="59">
        <f ca="1">AVERAGE(OFFSET($CC$3,0,0,'Données projet'!$E$12+1,1))-AVERAGE(OFFSET($H$3,0,0,'Données projet'!$E$12+1,1))</f>
        <v>312.29056285877169</v>
      </c>
      <c r="CE148" s="59">
        <f t="shared" si="148"/>
        <v>233.85454224241693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145.22235014912394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145.22235014912394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5.1063034188034209</v>
      </c>
      <c r="CT148" s="12">
        <f>IF('Données projet'!$A$140&gt;35,CT147+CS148-DB147,IF(A148&lt;'Données projet'!$A$140,$CQ$205^A148,IF(A148='Données projet'!$A$140,'Données projet'!$B$140,CT147+CS148-DB147)))</f>
        <v>282.76068376068332</v>
      </c>
      <c r="CU148" s="17">
        <f>CT148*VLOOKUP('Données projet'!$B$13,Paramètres!$A$1:$I$89,3,0)*VLOOKUP('Données projet'!$B$13,Paramètres!$A$1:$I$89,5,0)</f>
        <v>322.00786666666619</v>
      </c>
      <c r="CV148" s="13">
        <f t="shared" si="149"/>
        <v>75.770977162830064</v>
      </c>
      <c r="CW148" s="20">
        <f t="shared" si="121"/>
        <v>692.79815300303926</v>
      </c>
      <c r="CX148" s="59">
        <f t="shared" si="122"/>
        <v>986.13148633637252</v>
      </c>
      <c r="CY148" s="59">
        <f ca="1">AVERAGE(OFFSET($CX$3,0,0,'Données projet'!$E$13+1,1))-AVERAGE(OFFSET($H$3,0,0,'Données projet'!$E$13+1,1))</f>
        <v>292.22737648725354</v>
      </c>
      <c r="CZ148" s="59">
        <f t="shared" si="150"/>
        <v>182.84038581199871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52.669378730945724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52.669378730945724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5.1063034188034209</v>
      </c>
      <c r="DO148" s="12">
        <f>IF('Données projet'!$A$166&gt;35,DO147+DN148-DW147,IF(A148&lt;'Données projet'!$A$166,$DL$205^A148,IF(A148='Données projet'!$A$166,'Données projet'!$B$166,DO147+DN148-DW147)))</f>
        <v>282.76068376068332</v>
      </c>
      <c r="DP148" s="17">
        <f>DO148*VLOOKUP('Données projet'!$B$14,Paramètres!$A$1:$I$89,3,0)*VLOOKUP('Données projet'!$B$14,Paramètres!$A$1:$I$89,5,0)</f>
        <v>308.77466666666618</v>
      </c>
      <c r="DQ148" s="13">
        <f t="shared" si="151"/>
        <v>73.012872846886182</v>
      </c>
      <c r="DR148" s="20">
        <f t="shared" si="124"/>
        <v>664.94663131943696</v>
      </c>
      <c r="DS148" s="59">
        <f t="shared" si="125"/>
        <v>958.27996465277033</v>
      </c>
      <c r="DT148" s="59">
        <f ca="1">AVERAGE(OFFSET($DS$3,0,0,'Données projet'!$E$14+1,1))-AVERAGE(OFFSET($H$3,0,0,'Données projet'!$E$14+1,1))</f>
        <v>276.52126514622455</v>
      </c>
      <c r="DU148" s="59">
        <f t="shared" si="152"/>
        <v>173.98404849503186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50.504883714605491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50.504883714605491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5.1063034188034209</v>
      </c>
      <c r="EJ148" s="12">
        <f>IF('Données projet'!$A$192&gt;35,EJ147+EI148-ER147,IF(A148&lt;'Données projet'!$A$192,$EG$205^A148,IF(A148='Données projet'!$A$192,'Données projet'!$B$192,EJ147+EI148-ER147)))</f>
        <v>282.76068376068332</v>
      </c>
      <c r="EK148" s="17">
        <f>EJ148*VLOOKUP('Données projet'!$B$15,Paramètres!$A$1:$I$89,3,0)*VLOOKUP('Données projet'!$B$15,Paramètres!$A$1:$I$89,5,0)</f>
        <v>273.48613333333293</v>
      </c>
      <c r="EL148" s="13">
        <f t="shared" si="153"/>
        <v>65.58856145758736</v>
      </c>
      <c r="EM148" s="20">
        <f t="shared" si="127"/>
        <v>590.55509342751941</v>
      </c>
      <c r="EN148" s="59">
        <f t="shared" si="128"/>
        <v>883.88842676085278</v>
      </c>
      <c r="EO148" s="59">
        <f ca="1">AVERAGE(OFFSET($EN$3,0,0,'Données projet'!$E$15+1,1))-AVERAGE(OFFSET($H$3,0,0,'Données projet'!$E$15+1,1))</f>
        <v>234.56750794375012</v>
      </c>
      <c r="EP148" s="59">
        <f t="shared" si="154"/>
        <v>150.32420541314724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44.732897004364887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44.732897004364887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1.5961632016114892E-13</v>
      </c>
      <c r="P149" s="13">
        <f t="shared" si="141"/>
        <v>2.2708641912150958E-12</v>
      </c>
      <c r="Q149" s="20">
        <f t="shared" si="108"/>
        <v>4.2330868906469593E-12</v>
      </c>
      <c r="R149" s="59">
        <f t="shared" si="109"/>
        <v>293.33333333333752</v>
      </c>
      <c r="S149" s="59">
        <f ca="1">AVERAGE(OFFSET($R$3,0,0,'Données projet'!$E$9+1,1))-AVERAGE(OFFSET($H$3,0,0,'Données projet'!$E$9+1,1))</f>
        <v>198.17898804494365</v>
      </c>
      <c r="T149" s="59">
        <f t="shared" si="142"/>
        <v>186.24772922797723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77.794859428857734</v>
      </c>
      <c r="AA149" s="21">
        <f>EXP(-LN(2)/25)*AA148+(1-EXP(-LN(2)/25))/(LN(2)/25)*Calculateur!V149*Calculateur!X149*VLOOKUP('Données projet'!$B$9,Paramètres!$A$1:$I$89,3,0)*0.475*44/12</f>
        <v>14.092396428197157</v>
      </c>
      <c r="AB149" s="21">
        <f>EXP(-LN(2)/2)*AB148+(1-EXP(-LN(2)/2))/(LN(2)/2)*V149*Y149*VLOOKUP('Données projet'!$B$9,Paramètres!$A$1:$I$89,3,0)*0.475*44/12</f>
        <v>1.4961552119725647E-5</v>
      </c>
      <c r="AC149" s="22">
        <f t="shared" si="111"/>
        <v>91.887270818607021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278.21846622758881</v>
      </c>
      <c r="AO149" s="59">
        <f t="shared" si="144"/>
        <v>245.37578316242906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5.6843418860808015E-13</v>
      </c>
      <c r="BE149" s="13">
        <f>BD149*VLOOKUP('Données projet'!$B$11,Paramètres!$A$1:$I$89,3,0)*VLOOKUP('Données projet'!$B$11,Paramètres!$A$1:$I$89,5,0)</f>
        <v>5.1431925385259092E-13</v>
      </c>
      <c r="BF149" s="13">
        <f t="shared" si="145"/>
        <v>6.3855359115685756E-12</v>
      </c>
      <c r="BG149" s="20">
        <f t="shared" si="115"/>
        <v>1.2017247746441865E-11</v>
      </c>
      <c r="BH149" s="59">
        <f t="shared" si="116"/>
        <v>293.33333333334531</v>
      </c>
      <c r="BI149" s="59">
        <f ca="1">AVERAGE(OFFSET($BH$3,0,0,'Données projet'!$E$11+1,1))-AVERAGE(OFFSET($H$3,0,0,'Données projet'!$E$11+1,1))</f>
        <v>270.87836509222456</v>
      </c>
      <c r="BJ149" s="59">
        <f t="shared" si="146"/>
        <v>205.24998237949734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127.04197614609298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127.04197614609298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5.6843418860808015E-13</v>
      </c>
      <c r="BZ149" s="13">
        <f>BY149*VLOOKUP('Données projet'!$B$12,Paramètres!$A$1:$I$89,3,0)*VLOOKUP('Données projet'!$B$12,Paramètres!$A$1:$I$89,5,0)</f>
        <v>5.763922672485933E-13</v>
      </c>
      <c r="CA149" s="13">
        <f t="shared" si="147"/>
        <v>7.0619171555808457E-12</v>
      </c>
      <c r="CB149" s="20">
        <f t="shared" si="118"/>
        <v>1.3303388911427938E-11</v>
      </c>
      <c r="CC149" s="59">
        <f t="shared" si="119"/>
        <v>293.33333333334662</v>
      </c>
      <c r="CD149" s="59">
        <f ca="1">AVERAGE(OFFSET($CC$3,0,0,'Données projet'!$E$12+1,1))-AVERAGE(OFFSET($H$3,0,0,'Données projet'!$E$12+1,1))</f>
        <v>312.29056285877169</v>
      </c>
      <c r="CE149" s="59">
        <f t="shared" si="148"/>
        <v>233.85454224241693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142.37462843958696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142.37462843958696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5.1063034188034209</v>
      </c>
      <c r="CT149" s="12">
        <f>IF('Données projet'!$A$140&gt;35,CT148+CS149-DB148,IF(A149&lt;'Données projet'!$A$140,$CQ$205^A149,IF(A149='Données projet'!$A$140,'Données projet'!$B$140,CT148+CS149-DB148)))</f>
        <v>287.86698717948673</v>
      </c>
      <c r="CU149" s="17">
        <f>CT149*VLOOKUP('Données projet'!$B$13,Paramètres!$A$1:$I$89,3,0)*VLOOKUP('Données projet'!$B$13,Paramètres!$A$1:$I$89,5,0)</f>
        <v>327.82292499999949</v>
      </c>
      <c r="CV149" s="13">
        <f t="shared" si="149"/>
        <v>76.978770248814712</v>
      </c>
      <c r="CW149" s="20">
        <f t="shared" si="121"/>
        <v>705.029619225018</v>
      </c>
      <c r="CX149" s="59">
        <f t="shared" si="122"/>
        <v>998.36295255835125</v>
      </c>
      <c r="CY149" s="59">
        <f ca="1">AVERAGE(OFFSET($CX$3,0,0,'Données projet'!$E$13+1,1))-AVERAGE(OFFSET($H$3,0,0,'Données projet'!$E$13+1,1))</f>
        <v>292.22737648725354</v>
      </c>
      <c r="CZ149" s="59">
        <f t="shared" si="150"/>
        <v>182.84038581199871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51.636564339180808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51.636564339180808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5.1063034188034209</v>
      </c>
      <c r="DO149" s="12">
        <f>IF('Données projet'!$A$166&gt;35,DO148+DN149-DW148,IF(A149&lt;'Données projet'!$A$166,$DL$205^A149,IF(A149='Données projet'!$A$166,'Données projet'!$B$166,DO148+DN149-DW148)))</f>
        <v>287.86698717948673</v>
      </c>
      <c r="DP149" s="17">
        <f>DO149*VLOOKUP('Données projet'!$B$14,Paramètres!$A$1:$I$89,3,0)*VLOOKUP('Données projet'!$B$14,Paramètres!$A$1:$I$89,5,0)</f>
        <v>314.35074999999949</v>
      </c>
      <c r="DQ149" s="13">
        <f t="shared" si="151"/>
        <v>74.176701615028435</v>
      </c>
      <c r="DR149" s="20">
        <f t="shared" si="124"/>
        <v>676.68531156284018</v>
      </c>
      <c r="DS149" s="59">
        <f t="shared" si="125"/>
        <v>970.01864489617356</v>
      </c>
      <c r="DT149" s="59">
        <f ca="1">AVERAGE(OFFSET($DS$3,0,0,'Données projet'!$E$14+1,1))-AVERAGE(OFFSET($H$3,0,0,'Données projet'!$E$14+1,1))</f>
        <v>276.52126514622455</v>
      </c>
      <c r="DU149" s="59">
        <f t="shared" si="152"/>
        <v>173.98404849503186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49.514513749899407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49.514513749899407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5.1063034188034209</v>
      </c>
      <c r="EJ149" s="12">
        <f>IF('Données projet'!$A$192&gt;35,EJ148+EI149-ER148,IF(A149&lt;'Données projet'!$A$192,$EG$205^A149,IF(A149='Données projet'!$A$192,'Données projet'!$B$192,EJ148+EI149-ER148)))</f>
        <v>287.86698717948673</v>
      </c>
      <c r="EK149" s="17">
        <f>EJ149*VLOOKUP('Données projet'!$B$15,Paramètres!$A$1:$I$89,3,0)*VLOOKUP('Données projet'!$B$15,Paramètres!$A$1:$I$89,5,0)</f>
        <v>278.42494999999957</v>
      </c>
      <c r="EL149" s="13">
        <f t="shared" si="153"/>
        <v>66.634046338664206</v>
      </c>
      <c r="EM149" s="20">
        <f t="shared" si="127"/>
        <v>600.97775195650604</v>
      </c>
      <c r="EN149" s="59">
        <f t="shared" si="128"/>
        <v>894.31108528983941</v>
      </c>
      <c r="EO149" s="59">
        <f ca="1">AVERAGE(OFFSET($EN$3,0,0,'Données projet'!$E$15+1,1))-AVERAGE(OFFSET($H$3,0,0,'Données projet'!$E$15+1,1))</f>
        <v>234.56750794375012</v>
      </c>
      <c r="EP149" s="59">
        <f t="shared" si="154"/>
        <v>150.32420541314724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43.855712178482356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43.855712178482356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1.5961632016114892E-13</v>
      </c>
      <c r="P150" s="13">
        <f t="shared" si="141"/>
        <v>2.2708641912150958E-12</v>
      </c>
      <c r="Q150" s="20">
        <f t="shared" si="108"/>
        <v>4.2330868906469593E-12</v>
      </c>
      <c r="R150" s="59">
        <f t="shared" si="109"/>
        <v>293.33333333333752</v>
      </c>
      <c r="S150" s="59">
        <f ca="1">AVERAGE(OFFSET($R$3,0,0,'Données projet'!$E$9+1,1))-AVERAGE(OFFSET($H$3,0,0,'Données projet'!$E$9+1,1))</f>
        <v>198.17898804494365</v>
      </c>
      <c r="T150" s="59">
        <f t="shared" si="142"/>
        <v>186.24772922797723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76.269349685636769</v>
      </c>
      <c r="AA150" s="21">
        <f>EXP(-LN(2)/25)*AA149+(1-EXP(-LN(2)/25))/(LN(2)/25)*Calculateur!V150*Calculateur!X150*VLOOKUP('Données projet'!$B$9,Paramètres!$A$1:$I$89,3,0)*0.475*44/12</f>
        <v>13.707039106781187</v>
      </c>
      <c r="AB150" s="21">
        <f>EXP(-LN(2)/2)*AB149+(1-EXP(-LN(2)/2))/(LN(2)/2)*V150*Y150*VLOOKUP('Données projet'!$B$9,Paramètres!$A$1:$I$89,3,0)*0.475*44/12</f>
        <v>1.057941496093397E-5</v>
      </c>
      <c r="AC150" s="22">
        <f t="shared" si="111"/>
        <v>89.976399371832912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278.21846622758881</v>
      </c>
      <c r="AO150" s="59">
        <f t="shared" si="144"/>
        <v>245.37578316242906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5.6843418860808015E-13</v>
      </c>
      <c r="BE150" s="13">
        <f>BD150*VLOOKUP('Données projet'!$B$11,Paramètres!$A$1:$I$89,3,0)*VLOOKUP('Données projet'!$B$11,Paramètres!$A$1:$I$89,5,0)</f>
        <v>5.1431925385259092E-13</v>
      </c>
      <c r="BF150" s="13">
        <f t="shared" si="145"/>
        <v>6.3855359115685756E-12</v>
      </c>
      <c r="BG150" s="20">
        <f t="shared" si="115"/>
        <v>1.2017247746441865E-11</v>
      </c>
      <c r="BH150" s="59">
        <f t="shared" si="116"/>
        <v>293.33333333334531</v>
      </c>
      <c r="BI150" s="59">
        <f ca="1">AVERAGE(OFFSET($BH$3,0,0,'Données projet'!$E$11+1,1))-AVERAGE(OFFSET($H$3,0,0,'Données projet'!$E$11+1,1))</f>
        <v>270.87836509222456</v>
      </c>
      <c r="BJ150" s="59">
        <f t="shared" si="146"/>
        <v>205.24998237949734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124.55076048182224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124.55076048182224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5.6843418860808015E-13</v>
      </c>
      <c r="BZ150" s="13">
        <f>BY150*VLOOKUP('Données projet'!$B$12,Paramètres!$A$1:$I$89,3,0)*VLOOKUP('Données projet'!$B$12,Paramètres!$A$1:$I$89,5,0)</f>
        <v>5.763922672485933E-13</v>
      </c>
      <c r="CA150" s="13">
        <f t="shared" si="147"/>
        <v>7.0619171555808457E-12</v>
      </c>
      <c r="CB150" s="20">
        <f t="shared" si="118"/>
        <v>1.3303388911427938E-11</v>
      </c>
      <c r="CC150" s="59">
        <f t="shared" si="119"/>
        <v>293.33333333334662</v>
      </c>
      <c r="CD150" s="59">
        <f ca="1">AVERAGE(OFFSET($CC$3,0,0,'Données projet'!$E$12+1,1))-AVERAGE(OFFSET($H$3,0,0,'Données projet'!$E$12+1,1))</f>
        <v>312.29056285877169</v>
      </c>
      <c r="CE150" s="59">
        <f t="shared" si="148"/>
        <v>233.85454224241693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139.58274881583526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139.58274881583526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5.1063034188034209</v>
      </c>
      <c r="CT150" s="12">
        <f>IF('Données projet'!$A$140&gt;35,CT149+CS150-DB149,IF(A150&lt;'Données projet'!$A$140,$CQ$205^A150,IF(A150='Données projet'!$A$140,'Données projet'!$B$140,CT149+CS150-DB149)))</f>
        <v>292.97329059829013</v>
      </c>
      <c r="CU150" s="17">
        <f>CT150*VLOOKUP('Données projet'!$B$13,Paramètres!$A$1:$I$89,3,0)*VLOOKUP('Données projet'!$B$13,Paramètres!$A$1:$I$89,5,0)</f>
        <v>333.63798333333278</v>
      </c>
      <c r="CV150" s="13">
        <f t="shared" si="149"/>
        <v>78.18407197716688</v>
      </c>
      <c r="CW150" s="20">
        <f t="shared" si="121"/>
        <v>717.25674633245353</v>
      </c>
      <c r="CX150" s="59">
        <f t="shared" si="122"/>
        <v>1010.5900796657868</v>
      </c>
      <c r="CY150" s="59">
        <f ca="1">AVERAGE(OFFSET($CX$3,0,0,'Données projet'!$E$13+1,1))-AVERAGE(OFFSET($H$3,0,0,'Données projet'!$E$13+1,1))</f>
        <v>292.22737648725354</v>
      </c>
      <c r="CZ150" s="59">
        <f t="shared" si="150"/>
        <v>182.84038581199871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50.62400280768383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50.62400280768383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5.1063034188034209</v>
      </c>
      <c r="DO150" s="12">
        <f>IF('Données projet'!$A$166&gt;35,DO149+DN150-DW149,IF(A150&lt;'Données projet'!$A$166,$DL$205^A150,IF(A150='Données projet'!$A$166,'Données projet'!$B$166,DO149+DN150-DW149)))</f>
        <v>292.97329059829013</v>
      </c>
      <c r="DP150" s="17">
        <f>DO150*VLOOKUP('Données projet'!$B$14,Paramètres!$A$1:$I$89,3,0)*VLOOKUP('Données projet'!$B$14,Paramètres!$A$1:$I$89,5,0)</f>
        <v>319.92683333333281</v>
      </c>
      <c r="DQ150" s="13">
        <f t="shared" si="151"/>
        <v>75.338129712295725</v>
      </c>
      <c r="DR150" s="20">
        <f t="shared" si="124"/>
        <v>688.41981063780293</v>
      </c>
      <c r="DS150" s="59">
        <f t="shared" si="125"/>
        <v>981.7531439711363</v>
      </c>
      <c r="DT150" s="59">
        <f ca="1">AVERAGE(OFFSET($DS$3,0,0,'Données projet'!$E$14+1,1))-AVERAGE(OFFSET($H$3,0,0,'Données projet'!$E$14+1,1))</f>
        <v>276.52126514622455</v>
      </c>
      <c r="DU150" s="59">
        <f t="shared" si="152"/>
        <v>173.98404849503186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48.543564336135177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48.543564336135177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5.1063034188034209</v>
      </c>
      <c r="EJ150" s="12">
        <f>IF('Données projet'!$A$192&gt;35,EJ149+EI150-ER149,IF(A150&lt;'Données projet'!$A$192,$EG$205^A150,IF(A150='Données projet'!$A$192,'Données projet'!$B$192,EJ149+EI150-ER149)))</f>
        <v>292.97329059829013</v>
      </c>
      <c r="EK150" s="17">
        <f>EJ150*VLOOKUP('Données projet'!$B$15,Paramètres!$A$1:$I$89,3,0)*VLOOKUP('Données projet'!$B$15,Paramètres!$A$1:$I$89,5,0)</f>
        <v>283.36376666666621</v>
      </c>
      <c r="EL150" s="13">
        <f t="shared" si="153"/>
        <v>67.677374660998993</v>
      </c>
      <c r="EM150" s="20">
        <f t="shared" si="127"/>
        <v>611.39665447901677</v>
      </c>
      <c r="EN150" s="59">
        <f t="shared" si="128"/>
        <v>904.72998781235015</v>
      </c>
      <c r="EO150" s="59">
        <f ca="1">AVERAGE(OFFSET($EN$3,0,0,'Données projet'!$E$15+1,1))-AVERAGE(OFFSET($H$3,0,0,'Données projet'!$E$15+1,1))</f>
        <v>234.56750794375012</v>
      </c>
      <c r="EP150" s="59">
        <f t="shared" si="154"/>
        <v>150.32420541314724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42.995728412005469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42.995728412005469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1.5961632016114892E-13</v>
      </c>
      <c r="P151" s="13">
        <f t="shared" si="141"/>
        <v>2.2708641912150958E-12</v>
      </c>
      <c r="Q151" s="20">
        <f t="shared" si="108"/>
        <v>4.2330868906469593E-12</v>
      </c>
      <c r="R151" s="59">
        <f t="shared" si="109"/>
        <v>293.33333333333752</v>
      </c>
      <c r="S151" s="59">
        <f ca="1">AVERAGE(OFFSET($R$3,0,0,'Données projet'!$E$9+1,1))-AVERAGE(OFFSET($H$3,0,0,'Données projet'!$E$9+1,1))</f>
        <v>198.17898804494365</v>
      </c>
      <c r="T151" s="59">
        <f t="shared" si="142"/>
        <v>186.24772922797723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74.773754258011294</v>
      </c>
      <c r="AA151" s="21">
        <f>EXP(-LN(2)/25)*AA150+(1-EXP(-LN(2)/25))/(LN(2)/25)*Calculateur!V151*Calculateur!X151*VLOOKUP('Données projet'!$B$9,Paramètres!$A$1:$I$89,3,0)*0.475*44/12</f>
        <v>13.332219401584396</v>
      </c>
      <c r="AB151" s="21">
        <f>EXP(-LN(2)/2)*AB150+(1-EXP(-LN(2)/2))/(LN(2)/2)*V151*Y151*VLOOKUP('Données projet'!$B$9,Paramètres!$A$1:$I$89,3,0)*0.475*44/12</f>
        <v>7.4807760598628243E-6</v>
      </c>
      <c r="AC151" s="22">
        <f t="shared" si="111"/>
        <v>88.105981140371753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278.21846622758881</v>
      </c>
      <c r="AO151" s="59">
        <f t="shared" si="144"/>
        <v>245.37578316242906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5.6843418860808015E-13</v>
      </c>
      <c r="BE151" s="13">
        <f>BD151*VLOOKUP('Données projet'!$B$11,Paramètres!$A$1:$I$89,3,0)*VLOOKUP('Données projet'!$B$11,Paramètres!$A$1:$I$89,5,0)</f>
        <v>5.1431925385259092E-13</v>
      </c>
      <c r="BF151" s="13">
        <f t="shared" si="145"/>
        <v>6.3855359115685756E-12</v>
      </c>
      <c r="BG151" s="20">
        <f t="shared" si="115"/>
        <v>1.2017247746441865E-11</v>
      </c>
      <c r="BH151" s="59">
        <f t="shared" si="116"/>
        <v>293.33333333334531</v>
      </c>
      <c r="BI151" s="59">
        <f ca="1">AVERAGE(OFFSET($BH$3,0,0,'Données projet'!$E$11+1,1))-AVERAGE(OFFSET($H$3,0,0,'Données projet'!$E$11+1,1))</f>
        <v>270.87836509222456</v>
      </c>
      <c r="BJ151" s="59">
        <f t="shared" si="146"/>
        <v>205.24998237949734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122.10839603723633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122.10839603723633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5.6843418860808015E-13</v>
      </c>
      <c r="BZ151" s="13">
        <f>BY151*VLOOKUP('Données projet'!$B$12,Paramètres!$A$1:$I$89,3,0)*VLOOKUP('Données projet'!$B$12,Paramètres!$A$1:$I$89,5,0)</f>
        <v>5.763922672485933E-13</v>
      </c>
      <c r="CA151" s="13">
        <f t="shared" si="147"/>
        <v>7.0619171555808457E-12</v>
      </c>
      <c r="CB151" s="20">
        <f t="shared" si="118"/>
        <v>1.3303388911427938E-11</v>
      </c>
      <c r="CC151" s="59">
        <f t="shared" si="119"/>
        <v>293.33333333334662</v>
      </c>
      <c r="CD151" s="59">
        <f ca="1">AVERAGE(OFFSET($CC$3,0,0,'Données projet'!$E$12+1,1))-AVERAGE(OFFSET($H$3,0,0,'Données projet'!$E$12+1,1))</f>
        <v>312.29056285877169</v>
      </c>
      <c r="CE151" s="59">
        <f t="shared" si="148"/>
        <v>233.85454224241693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136.84561624862692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136.84561624862692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5.1063034188034209</v>
      </c>
      <c r="CT151" s="12">
        <f>IF('Données projet'!$A$140&gt;35,CT150+CS151-DB150,IF(A151&lt;'Données projet'!$A$140,$CQ$205^A151,IF(A151='Données projet'!$A$140,'Données projet'!$B$140,CT150+CS151-DB150)))</f>
        <v>298.07959401709354</v>
      </c>
      <c r="CU151" s="17">
        <f>CT151*VLOOKUP('Données projet'!$B$13,Paramètres!$A$1:$I$89,3,0)*VLOOKUP('Données projet'!$B$13,Paramètres!$A$1:$I$89,5,0)</f>
        <v>339.45304166666614</v>
      </c>
      <c r="CV151" s="13">
        <f t="shared" si="149"/>
        <v>79.386930780549761</v>
      </c>
      <c r="CW151" s="20">
        <f t="shared" si="121"/>
        <v>729.47961867890115</v>
      </c>
      <c r="CX151" s="59">
        <f t="shared" si="122"/>
        <v>1022.8129520122345</v>
      </c>
      <c r="CY151" s="59">
        <f ca="1">AVERAGE(OFFSET($CX$3,0,0,'Données projet'!$E$13+1,1))-AVERAGE(OFFSET($H$3,0,0,'Données projet'!$E$13+1,1))</f>
        <v>292.22737648725354</v>
      </c>
      <c r="CZ151" s="59">
        <f t="shared" si="150"/>
        <v>182.84038581199871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49.631296990217955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49.631296990217955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5.1063034188034209</v>
      </c>
      <c r="DO151" s="12">
        <f>IF('Données projet'!$A$166&gt;35,DO150+DN151-DW150,IF(A151&lt;'Données projet'!$A$166,$DL$205^A151,IF(A151='Données projet'!$A$166,'Données projet'!$B$166,DO150+DN151-DW150)))</f>
        <v>298.07959401709354</v>
      </c>
      <c r="DP151" s="17">
        <f>DO151*VLOOKUP('Données projet'!$B$14,Paramètres!$A$1:$I$89,3,0)*VLOOKUP('Données projet'!$B$14,Paramètres!$A$1:$I$89,5,0)</f>
        <v>325.50291666666618</v>
      </c>
      <c r="DQ151" s="13">
        <f t="shared" si="151"/>
        <v>76.497203808376327</v>
      </c>
      <c r="DR151" s="20">
        <f t="shared" si="124"/>
        <v>700.15020982736576</v>
      </c>
      <c r="DS151" s="59">
        <f t="shared" si="125"/>
        <v>993.48354316069913</v>
      </c>
      <c r="DT151" s="59">
        <f ca="1">AVERAGE(OFFSET($DS$3,0,0,'Données projet'!$E$14+1,1))-AVERAGE(OFFSET($H$3,0,0,'Données projet'!$E$14+1,1))</f>
        <v>276.52126514622455</v>
      </c>
      <c r="DU151" s="59">
        <f t="shared" si="152"/>
        <v>173.98404849503186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47.591654648154197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47.591654648154197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5.1063034188034209</v>
      </c>
      <c r="EJ151" s="12">
        <f>IF('Données projet'!$A$192&gt;35,EJ150+EI151-ER150,IF(A151&lt;'Données projet'!$A$192,$EG$205^A151,IF(A151='Données projet'!$A$192,'Données projet'!$B$192,EJ150+EI151-ER150)))</f>
        <v>298.07959401709354</v>
      </c>
      <c r="EK151" s="17">
        <f>EJ151*VLOOKUP('Données projet'!$B$15,Paramètres!$A$1:$I$89,3,0)*VLOOKUP('Données projet'!$B$15,Paramètres!$A$1:$I$89,5,0)</f>
        <v>288.3025833333329</v>
      </c>
      <c r="EL151" s="13">
        <f t="shared" si="153"/>
        <v>68.718588348674373</v>
      </c>
      <c r="EM151" s="20">
        <f t="shared" si="127"/>
        <v>621.81187401282932</v>
      </c>
      <c r="EN151" s="59">
        <f t="shared" si="128"/>
        <v>915.14520734616258</v>
      </c>
      <c r="EO151" s="59">
        <f ca="1">AVERAGE(OFFSET($EN$3,0,0,'Données projet'!$E$15+1,1))-AVERAGE(OFFSET($H$3,0,0,'Données projet'!$E$15+1,1))</f>
        <v>234.56750794375012</v>
      </c>
      <c r="EP151" s="59">
        <f t="shared" si="154"/>
        <v>150.32420541314724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42.152608402650891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42.152608402650891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1.5961632016114892E-13</v>
      </c>
      <c r="P152" s="13">
        <f t="shared" si="141"/>
        <v>2.2708641912150958E-12</v>
      </c>
      <c r="Q152" s="20">
        <f t="shared" si="108"/>
        <v>4.2330868906469593E-12</v>
      </c>
      <c r="R152" s="59">
        <f t="shared" si="109"/>
        <v>293.33333333333752</v>
      </c>
      <c r="S152" s="59">
        <f ca="1">AVERAGE(OFFSET($R$3,0,0,'Données projet'!$E$9+1,1))-AVERAGE(OFFSET($H$3,0,0,'Données projet'!$E$9+1,1))</f>
        <v>198.17898804494365</v>
      </c>
      <c r="T152" s="59">
        <f t="shared" si="142"/>
        <v>186.24772922797723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73.307486544498431</v>
      </c>
      <c r="AA152" s="21">
        <f>EXP(-LN(2)/25)*AA151+(1-EXP(-LN(2)/25))/(LN(2)/25)*Calculateur!V152*Calculateur!X152*VLOOKUP('Données projet'!$B$9,Paramètres!$A$1:$I$89,3,0)*0.475*44/12</f>
        <v>12.967649160937123</v>
      </c>
      <c r="AB152" s="21">
        <f>EXP(-LN(2)/2)*AB151+(1-EXP(-LN(2)/2))/(LN(2)/2)*V152*Y152*VLOOKUP('Données projet'!$B$9,Paramètres!$A$1:$I$89,3,0)*0.475*44/12</f>
        <v>5.2897074804669857E-6</v>
      </c>
      <c r="AC152" s="22">
        <f t="shared" si="111"/>
        <v>86.275140995143033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278.21846622758881</v>
      </c>
      <c r="AO152" s="59">
        <f t="shared" si="144"/>
        <v>245.37578316242906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5.6843418860808015E-13</v>
      </c>
      <c r="BE152" s="13">
        <f>BD152*VLOOKUP('Données projet'!$B$11,Paramètres!$A$1:$I$89,3,0)*VLOOKUP('Données projet'!$B$11,Paramètres!$A$1:$I$89,5,0)</f>
        <v>5.1431925385259092E-13</v>
      </c>
      <c r="BF152" s="13">
        <f t="shared" si="145"/>
        <v>6.3855359115685756E-12</v>
      </c>
      <c r="BG152" s="20">
        <f t="shared" si="115"/>
        <v>1.2017247746441865E-11</v>
      </c>
      <c r="BH152" s="59">
        <f t="shared" si="116"/>
        <v>293.33333333334531</v>
      </c>
      <c r="BI152" s="59">
        <f ca="1">AVERAGE(OFFSET($BH$3,0,0,'Données projet'!$E$11+1,1))-AVERAGE(OFFSET($H$3,0,0,'Données projet'!$E$11+1,1))</f>
        <v>270.87836509222456</v>
      </c>
      <c r="BJ152" s="59">
        <f t="shared" si="146"/>
        <v>205.24998237949734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119.71392486971354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119.71392486971354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5.6843418860808015E-13</v>
      </c>
      <c r="BZ152" s="13">
        <f>BY152*VLOOKUP('Données projet'!$B$12,Paramètres!$A$1:$I$89,3,0)*VLOOKUP('Données projet'!$B$12,Paramètres!$A$1:$I$89,5,0)</f>
        <v>5.763922672485933E-13</v>
      </c>
      <c r="CA152" s="13">
        <f t="shared" si="147"/>
        <v>7.0619171555808457E-12</v>
      </c>
      <c r="CB152" s="20">
        <f t="shared" si="118"/>
        <v>1.3303388911427938E-11</v>
      </c>
      <c r="CC152" s="59">
        <f t="shared" si="119"/>
        <v>293.33333333334662</v>
      </c>
      <c r="CD152" s="59">
        <f ca="1">AVERAGE(OFFSET($CC$3,0,0,'Données projet'!$E$12+1,1))-AVERAGE(OFFSET($H$3,0,0,'Données projet'!$E$12+1,1))</f>
        <v>312.29056285877169</v>
      </c>
      <c r="CE152" s="59">
        <f t="shared" si="148"/>
        <v>233.85454224241693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134.16215718157554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134.16215718157554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>
        <f>VLOOKUP(A152,'Données projet'!$A$139:$I$159,2,0)</f>
        <v>303.18589743589746</v>
      </c>
      <c r="CR152" s="12">
        <f>VLOOKUP(A152,'Données projet'!$A$139:$I$159,9,0)</f>
        <v>5.1063034188034209</v>
      </c>
      <c r="CS152" s="12">
        <f t="array" ref="CS152">INDEX(CR:CR,MIN(IF(ISNUMBER(CR152:CR348),ROW(CR152:CR348),"")))</f>
        <v>5.1063034188034209</v>
      </c>
      <c r="CT152" s="12">
        <f>IF('Données projet'!$A$140&gt;35,CT151+CS152-DB151,IF(A152&lt;'Données projet'!$A$140,$CQ$205^A152,IF(A152='Données projet'!$A$140,'Données projet'!$B$140,CT151+CS152-DB151)))</f>
        <v>303.18589743589695</v>
      </c>
      <c r="CU152" s="17">
        <f>CT152*VLOOKUP('Données projet'!$B$13,Paramètres!$A$1:$I$89,3,0)*VLOOKUP('Données projet'!$B$13,Paramètres!$A$1:$I$89,5,0)</f>
        <v>345.26809999999944</v>
      </c>
      <c r="CV152" s="13">
        <f t="shared" si="149"/>
        <v>80.587393337176223</v>
      </c>
      <c r="CW152" s="20">
        <f t="shared" si="121"/>
        <v>741.69831756224755</v>
      </c>
      <c r="CX152" s="59">
        <f t="shared" si="122"/>
        <v>1035.0316508955809</v>
      </c>
      <c r="CY152" s="59">
        <f ca="1">AVERAGE(OFFSET($CX$3,0,0,'Données projet'!$E$13+1,1))-AVERAGE(OFFSET($H$3,0,0,'Données projet'!$E$13+1,1))</f>
        <v>292.22737648725354</v>
      </c>
      <c r="CZ152" s="59">
        <f t="shared" si="150"/>
        <v>182.84038581199871</v>
      </c>
      <c r="DA152" s="15">
        <f>IF(ISNA(VLOOKUP(A152,'Données projet'!$A$139:$I$159,3,0)),0,VLOOKUP(A152,'Données projet'!$A$139:$I$159,3,0))</f>
        <v>12</v>
      </c>
      <c r="DB152" s="15">
        <f>IF(ISNA(VLOOKUP(A152,'Données projet'!$A$139:$I$159,4,0)),0,VLOOKUP(A152,'Données projet'!$A$139:$I$159,4,0))</f>
        <v>120.50641025641026</v>
      </c>
      <c r="DC152" s="16">
        <f>IF(ISNA(VLOOKUP(A152,'Données projet'!$A$139:$I$159,5,0)),0%,VLOOKUP(A152,'Données projet'!$A$139:$I$159,5,0)*VLOOKUP('Données projet'!$B$13,Paramètres!$A$1:$I$89,7,0))</f>
        <v>0.38700000000000001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107.36854460528112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107.36854460528112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>
        <f>VLOOKUP(A152,'Données projet'!$A$165:$I$185,2,0)</f>
        <v>303.18589743589746</v>
      </c>
      <c r="DM152" s="12">
        <f>VLOOKUP(A152,'Données projet'!$A$165:$I$185,9,0)</f>
        <v>5.1063034188034209</v>
      </c>
      <c r="DN152" s="12">
        <f t="array" ref="DN152">INDEX(DM:DM,MIN(IF(ISNUMBER(DM152:DM348),ROW(DM152:DM348),"")))</f>
        <v>5.1063034188034209</v>
      </c>
      <c r="DO152" s="12">
        <f>IF('Données projet'!$A$166&gt;35,DO151+DN152-DW151,IF(A152&lt;'Données projet'!$A$166,$DL$205^A152,IF(A152='Données projet'!$A$166,'Données projet'!$B$166,DO151+DN152-DW151)))</f>
        <v>303.18589743589695</v>
      </c>
      <c r="DP152" s="17">
        <f>DO152*VLOOKUP('Données projet'!$B$14,Paramètres!$A$1:$I$89,3,0)*VLOOKUP('Données projet'!$B$14,Paramètres!$A$1:$I$89,5,0)</f>
        <v>331.07899999999944</v>
      </c>
      <c r="DQ152" s="13">
        <f t="shared" si="151"/>
        <v>77.653968882371075</v>
      </c>
      <c r="DR152" s="20">
        <f t="shared" si="124"/>
        <v>711.87658747012858</v>
      </c>
      <c r="DS152" s="59">
        <f t="shared" si="125"/>
        <v>1005.209920803462</v>
      </c>
      <c r="DT152" s="59">
        <f ca="1">AVERAGE(OFFSET($DS$3,0,0,'Données projet'!$E$14+1,1))-AVERAGE(OFFSET($H$3,0,0,'Données projet'!$E$14+1,1))</f>
        <v>276.52126514622455</v>
      </c>
      <c r="DU152" s="59">
        <f t="shared" si="152"/>
        <v>173.98404849503186</v>
      </c>
      <c r="DV152" s="15">
        <f>IF(ISNA(VLOOKUP(A152,'Données projet'!$A$165:$I$185,3,0)),0,VLOOKUP(A152,'Données projet'!$A$165:$I$185,3,0))</f>
        <v>12</v>
      </c>
      <c r="DW152" s="15">
        <f>IF(ISNA(VLOOKUP(A152,'Données projet'!$A$165:$I$185,4,0)),0,VLOOKUP(A152,'Données projet'!$A$165:$I$185,4,0))</f>
        <v>120.50641025641026</v>
      </c>
      <c r="DX152" s="16">
        <f>IF(ISNA(VLOOKUP(A152,'Données projet'!$A$165:$I$185,5,0)),0%,VLOOKUP(A152,'Données projet'!$A$165:$I$185,5,0)*VLOOKUP('Données projet'!$B$14,Paramètres!$A$1:$I$89,7,0))</f>
        <v>0.38700000000000001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102.95613866259831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102.95613866259831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>
        <f>VLOOKUP(A152,'Données projet'!$A$191:$I$211,2,0)</f>
        <v>303.18589743589746</v>
      </c>
      <c r="EH152" s="12">
        <f>VLOOKUP(A152,'Données projet'!$A$191:$I$211,9,0)</f>
        <v>5.1063034188034209</v>
      </c>
      <c r="EI152" s="12">
        <f t="array" ref="EI152">INDEX(EH:EH,MIN(IF(ISNUMBER(EH152:EH348),ROW(EH152:EH348),"")))</f>
        <v>5.1063034188034209</v>
      </c>
      <c r="EJ152" s="12">
        <f>IF('Données projet'!$A$192&gt;35,EJ151+EI152-ER151,IF(A152&lt;'Données projet'!$A$192,$EG$205^A152,IF(A152='Données projet'!$A$192,'Données projet'!$B$192,EJ151+EI152-ER151)))</f>
        <v>303.18589743589695</v>
      </c>
      <c r="EK152" s="17">
        <f>EJ152*VLOOKUP('Données projet'!$B$15,Paramètres!$A$1:$I$89,3,0)*VLOOKUP('Données projet'!$B$15,Paramètres!$A$1:$I$89,5,0)</f>
        <v>293.24139999999954</v>
      </c>
      <c r="EL152" s="13">
        <f t="shared" si="153"/>
        <v>69.75772780709292</v>
      </c>
      <c r="EM152" s="20">
        <f t="shared" si="127"/>
        <v>632.22348093068604</v>
      </c>
      <c r="EN152" s="59">
        <f t="shared" si="128"/>
        <v>925.55681426401929</v>
      </c>
      <c r="EO152" s="59">
        <f ca="1">AVERAGE(OFFSET($EN$3,0,0,'Données projet'!$E$15+1,1))-AVERAGE(OFFSET($H$3,0,0,'Données projet'!$E$15+1,1))</f>
        <v>234.56750794375012</v>
      </c>
      <c r="EP152" s="59">
        <f t="shared" si="154"/>
        <v>150.32420541314724</v>
      </c>
      <c r="EQ152" s="15">
        <f>IF(ISNA(VLOOKUP(A152,'Données projet'!$A$191:$I$211,3,0)),0,VLOOKUP(A152,'Données projet'!$A$191:$I$211,3,0))</f>
        <v>12</v>
      </c>
      <c r="ER152" s="15">
        <f>IF(ISNA(VLOOKUP(A152,'Données projet'!$A$191:$I$211,4,0)),0,VLOOKUP(A152,'Données projet'!$A$191:$I$211,4,0))</f>
        <v>120.50641025641026</v>
      </c>
      <c r="ES152" s="16">
        <f>IF(ISNA(VLOOKUP(A152,'Données projet'!$A$191:$I$211,5,0)),0%,VLOOKUP(A152,'Données projet'!$A$191:$I$211,5,0)*VLOOKUP('Données projet'!$B$15,Paramètres!$A$1:$I$89,7,0))</f>
        <v>0.38700000000000001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91.18972281544427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91.18972281544427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1.5961632016114892E-13</v>
      </c>
      <c r="P153" s="13">
        <f t="shared" si="141"/>
        <v>2.2708641912150958E-12</v>
      </c>
      <c r="Q153" s="20">
        <f t="shared" si="108"/>
        <v>4.2330868906469593E-12</v>
      </c>
      <c r="R153" s="59">
        <f t="shared" si="109"/>
        <v>293.33333333333752</v>
      </c>
      <c r="S153" s="59">
        <f ca="1">AVERAGE(OFFSET($R$3,0,0,'Données projet'!$E$9+1,1))-AVERAGE(OFFSET($H$3,0,0,'Données projet'!$E$9+1,1))</f>
        <v>198.17898804494365</v>
      </c>
      <c r="T153" s="59">
        <f t="shared" si="142"/>
        <v>186.24772922797723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71.869971446512551</v>
      </c>
      <c r="AA153" s="21">
        <f>EXP(-LN(2)/25)*AA152+(1-EXP(-LN(2)/25))/(LN(2)/25)*Calculateur!V153*Calculateur!X153*VLOOKUP('Données projet'!$B$9,Paramètres!$A$1:$I$89,3,0)*0.475*44/12</f>
        <v>12.613048112692265</v>
      </c>
      <c r="AB153" s="21">
        <f>EXP(-LN(2)/2)*AB152+(1-EXP(-LN(2)/2))/(LN(2)/2)*V153*Y153*VLOOKUP('Données projet'!$B$9,Paramètres!$A$1:$I$89,3,0)*0.475*44/12</f>
        <v>3.7403880299314126E-6</v>
      </c>
      <c r="AC153" s="22">
        <f t="shared" si="111"/>
        <v>84.483023299592844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278.21846622758881</v>
      </c>
      <c r="AO153" s="59">
        <f t="shared" si="144"/>
        <v>245.37578316242906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5.6843418860808015E-13</v>
      </c>
      <c r="BE153" s="13">
        <f>BD153*VLOOKUP('Données projet'!$B$11,Paramètres!$A$1:$I$89,3,0)*VLOOKUP('Données projet'!$B$11,Paramètres!$A$1:$I$89,5,0)</f>
        <v>5.1431925385259092E-13</v>
      </c>
      <c r="BF153" s="13">
        <f t="shared" si="145"/>
        <v>6.3855359115685756E-12</v>
      </c>
      <c r="BG153" s="20">
        <f t="shared" si="115"/>
        <v>1.2017247746441865E-11</v>
      </c>
      <c r="BH153" s="59">
        <f t="shared" si="116"/>
        <v>293.33333333334531</v>
      </c>
      <c r="BI153" s="59">
        <f ca="1">AVERAGE(OFFSET($BH$3,0,0,'Données projet'!$E$11+1,1))-AVERAGE(OFFSET($H$3,0,0,'Données projet'!$E$11+1,1))</f>
        <v>270.87836509222456</v>
      </c>
      <c r="BJ153" s="59">
        <f t="shared" si="146"/>
        <v>205.24998237949734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117.36640782130267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117.36640782130267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5.6843418860808015E-13</v>
      </c>
      <c r="BZ153" s="13">
        <f>BY153*VLOOKUP('Données projet'!$B$12,Paramètres!$A$1:$I$89,3,0)*VLOOKUP('Données projet'!$B$12,Paramètres!$A$1:$I$89,5,0)</f>
        <v>5.763922672485933E-13</v>
      </c>
      <c r="CA153" s="13">
        <f t="shared" si="147"/>
        <v>7.0619171555808457E-12</v>
      </c>
      <c r="CB153" s="20">
        <f t="shared" si="118"/>
        <v>1.3303388911427938E-11</v>
      </c>
      <c r="CC153" s="59">
        <f t="shared" si="119"/>
        <v>293.33333333334662</v>
      </c>
      <c r="CD153" s="59">
        <f ca="1">AVERAGE(OFFSET($CC$3,0,0,'Données projet'!$E$12+1,1))-AVERAGE(OFFSET($H$3,0,0,'Données projet'!$E$12+1,1))</f>
        <v>312.29056285877169</v>
      </c>
      <c r="CE153" s="59">
        <f t="shared" si="148"/>
        <v>233.85454224241693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131.5313191100806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131.5313191100806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3.0945512820512704</v>
      </c>
      <c r="CT153" s="12">
        <f>IF('Données projet'!$A$140&gt;35,CT152+CS153-DB152,IF(A153&lt;'Données projet'!$A$140,$CQ$205^A153,IF(A153='Données projet'!$A$140,'Données projet'!$B$140,CT152+CS153-DB152)))</f>
        <v>185.77403846153794</v>
      </c>
      <c r="CU153" s="17">
        <f>CT153*VLOOKUP('Données projet'!$B$13,Paramètres!$A$1:$I$89,3,0)*VLOOKUP('Données projet'!$B$13,Paramètres!$A$1:$I$89,5,0)</f>
        <v>211.55947499999942</v>
      </c>
      <c r="CV153" s="13">
        <f t="shared" si="149"/>
        <v>52.276223340881586</v>
      </c>
      <c r="CW153" s="20">
        <f t="shared" si="121"/>
        <v>459.51384127703432</v>
      </c>
      <c r="CX153" s="59">
        <f t="shared" si="122"/>
        <v>752.84717461036757</v>
      </c>
      <c r="CY153" s="59">
        <f ca="1">AVERAGE(OFFSET($CX$3,0,0,'Données projet'!$E$13+1,1))-AVERAGE(OFFSET($H$3,0,0,'Données projet'!$E$13+1,1))</f>
        <v>292.22737648725354</v>
      </c>
      <c r="CZ153" s="59">
        <f t="shared" si="150"/>
        <v>182.84038581199871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105.26311293391733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105.26311293391733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3.0945512820512704</v>
      </c>
      <c r="DO153" s="12">
        <f>IF('Données projet'!$A$166&gt;35,DO152+DN153-DW152,IF(A153&lt;'Données projet'!$A$166,$DL$205^A153,IF(A153='Données projet'!$A$166,'Données projet'!$B$166,DO152+DN153-DW152)))</f>
        <v>185.77403846153794</v>
      </c>
      <c r="DP153" s="17">
        <f>DO153*VLOOKUP('Données projet'!$B$14,Paramètres!$A$1:$I$89,3,0)*VLOOKUP('Données projet'!$B$14,Paramètres!$A$1:$I$89,5,0)</f>
        <v>202.86524999999941</v>
      </c>
      <c r="DQ153" s="13">
        <f t="shared" si="151"/>
        <v>50.373340698786514</v>
      </c>
      <c r="DR153" s="20">
        <f t="shared" si="124"/>
        <v>441.05721213371879</v>
      </c>
      <c r="DS153" s="59">
        <f t="shared" si="125"/>
        <v>734.39054546705211</v>
      </c>
      <c r="DT153" s="59">
        <f ca="1">AVERAGE(OFFSET($DS$3,0,0,'Données projet'!$E$14+1,1))-AVERAGE(OFFSET($H$3,0,0,'Données projet'!$E$14+1,1))</f>
        <v>276.52126514622455</v>
      </c>
      <c r="DU153" s="59">
        <f t="shared" si="152"/>
        <v>173.98404849503186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100.93723158046865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100.93723158046865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3.0945512820512704</v>
      </c>
      <c r="EJ153" s="12">
        <f>IF('Données projet'!$A$192&gt;35,EJ152+EI153-ER152,IF(A153&lt;'Données projet'!$A$192,$EG$205^A153,IF(A153='Données projet'!$A$192,'Données projet'!$B$192,EJ152+EI153-ER152)))</f>
        <v>185.77403846153794</v>
      </c>
      <c r="EK153" s="17">
        <f>EJ153*VLOOKUP('Données projet'!$B$15,Paramètres!$A$1:$I$89,3,0)*VLOOKUP('Données projet'!$B$15,Paramètres!$A$1:$I$89,5,0)</f>
        <v>179.6806499999995</v>
      </c>
      <c r="EL153" s="13">
        <f t="shared" si="153"/>
        <v>45.251129334068551</v>
      </c>
      <c r="EM153" s="20">
        <f t="shared" si="127"/>
        <v>391.75618234016855</v>
      </c>
      <c r="EN153" s="59">
        <f t="shared" si="128"/>
        <v>685.08951567350186</v>
      </c>
      <c r="EO153" s="59">
        <f ca="1">AVERAGE(OFFSET($EN$3,0,0,'Données projet'!$E$15+1,1))-AVERAGE(OFFSET($H$3,0,0,'Données projet'!$E$15+1,1))</f>
        <v>234.56750794375012</v>
      </c>
      <c r="EP153" s="59">
        <f t="shared" si="154"/>
        <v>150.32420541314724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89.401547971272279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89.401547971272279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1.5961632016114892E-13</v>
      </c>
      <c r="P154" s="13">
        <f t="shared" si="141"/>
        <v>2.2708641912150958E-12</v>
      </c>
      <c r="Q154" s="20">
        <f t="shared" ref="Q154:Q203" si="162">(O154+P154)*0.475*44/12</f>
        <v>4.2330868906469593E-12</v>
      </c>
      <c r="R154" s="59">
        <f t="shared" si="109"/>
        <v>293.33333333333752</v>
      </c>
      <c r="S154" s="59">
        <f ca="1">AVERAGE(OFFSET($R$3,0,0,'Données projet'!$E$9+1,1))-AVERAGE(OFFSET($H$3,0,0,'Données projet'!$E$9+1,1))</f>
        <v>198.17898804494365</v>
      </c>
      <c r="T154" s="59">
        <f t="shared" si="142"/>
        <v>186.24772922797723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70.460645142800544</v>
      </c>
      <c r="AA154" s="21">
        <f>EXP(-LN(2)/25)*AA153+(1-EXP(-LN(2)/25))/(LN(2)/25)*Calculateur!V154*Calculateur!X154*VLOOKUP('Données projet'!$B$9,Paramètres!$A$1:$I$89,3,0)*0.475*44/12</f>
        <v>12.268143648759322</v>
      </c>
      <c r="AB154" s="21">
        <f>EXP(-LN(2)/2)*AB153+(1-EXP(-LN(2)/2))/(LN(2)/2)*V154*Y154*VLOOKUP('Données projet'!$B$9,Paramètres!$A$1:$I$89,3,0)*0.475*44/12</f>
        <v>2.6448537402334933E-6</v>
      </c>
      <c r="AC154" s="22">
        <f t="shared" ref="AC154:AC203" si="163">SUM(Z154:AB154)</f>
        <v>82.728791436413601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278.21846622758881</v>
      </c>
      <c r="AO154" s="59">
        <f t="shared" si="144"/>
        <v>245.37578316242906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5.6843418860808015E-13</v>
      </c>
      <c r="BE154" s="13">
        <f>BD154*VLOOKUP('Données projet'!$B$11,Paramètres!$A$1:$I$89,3,0)*VLOOKUP('Données projet'!$B$11,Paramètres!$A$1:$I$89,5,0)</f>
        <v>5.1431925385259092E-13</v>
      </c>
      <c r="BF154" s="13">
        <f t="shared" ref="BF154:BF203" si="167">EXP(-1.0587+0.8836*LN(BE154)+0.284)</f>
        <v>6.3855359115685756E-12</v>
      </c>
      <c r="BG154" s="20">
        <f t="shared" ref="BG154:BG203" si="168">(BE154+BF154)*0.475*44/12</f>
        <v>1.2017247746441865E-11</v>
      </c>
      <c r="BH154" s="59">
        <f t="shared" si="116"/>
        <v>293.33333333334531</v>
      </c>
      <c r="BI154" s="59">
        <f ca="1">AVERAGE(OFFSET($BH$3,0,0,'Données projet'!$E$11+1,1))-AVERAGE(OFFSET($H$3,0,0,'Données projet'!$E$11+1,1))</f>
        <v>270.87836509222456</v>
      </c>
      <c r="BJ154" s="59">
        <f t="shared" si="146"/>
        <v>205.24998237949734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115.06492415036712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115.06492415036712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5.6843418860808015E-13</v>
      </c>
      <c r="BZ154" s="13">
        <f>BY154*VLOOKUP('Données projet'!$B$12,Paramètres!$A$1:$I$89,3,0)*VLOOKUP('Données projet'!$B$12,Paramètres!$A$1:$I$89,5,0)</f>
        <v>5.763922672485933E-13</v>
      </c>
      <c r="CA154" s="13">
        <f t="shared" ref="CA154:CA203" si="170">EXP(-1.0587+0.8836*LN(BZ154)+0.284)</f>
        <v>7.0619171555808457E-12</v>
      </c>
      <c r="CB154" s="20">
        <f t="shared" ref="CB154:CB203" si="171">(BZ154+CA154)*0.475*44/12</f>
        <v>1.3303388911427938E-11</v>
      </c>
      <c r="CC154" s="59">
        <f t="shared" si="119"/>
        <v>293.33333333334662</v>
      </c>
      <c r="CD154" s="59">
        <f ca="1">AVERAGE(OFFSET($CC$3,0,0,'Données projet'!$E$12+1,1))-AVERAGE(OFFSET($H$3,0,0,'Données projet'!$E$12+1,1))</f>
        <v>312.29056285877169</v>
      </c>
      <c r="CE154" s="59">
        <f t="shared" si="148"/>
        <v>233.85454224241693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128.95207016851489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128.95207016851489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3.0945512820512704</v>
      </c>
      <c r="CT154" s="12">
        <f>IF('Données projet'!$A$140&gt;35,CT153+CS154-DB153,IF(A154&lt;'Données projet'!$A$140,$CQ$205^A154,IF(A154='Données projet'!$A$140,'Données projet'!$B$140,CT153+CS154-DB153)))</f>
        <v>188.86858974358921</v>
      </c>
      <c r="CU154" s="17">
        <f>CT154*VLOOKUP('Données projet'!$B$13,Paramètres!$A$1:$I$89,3,0)*VLOOKUP('Données projet'!$B$13,Paramètres!$A$1:$I$89,5,0)</f>
        <v>215.08354999999938</v>
      </c>
      <c r="CV154" s="13">
        <f t="shared" ref="CV154:CV203" si="173">EXP(-1.0587+0.8836*LN(CU154)+0.284)</f>
        <v>53.044918104503857</v>
      </c>
      <c r="CW154" s="20">
        <f t="shared" ref="CW154:CW203" si="174">(CU154+CV154)*0.475*44/12</f>
        <v>466.99041528200974</v>
      </c>
      <c r="CX154" s="59">
        <f t="shared" si="122"/>
        <v>760.32374861534299</v>
      </c>
      <c r="CY154" s="59">
        <f ca="1">AVERAGE(OFFSET($CX$3,0,0,'Données projet'!$E$13+1,1))-AVERAGE(OFFSET($H$3,0,0,'Données projet'!$E$13+1,1))</f>
        <v>292.22737648725354</v>
      </c>
      <c r="CZ154" s="59">
        <f t="shared" si="150"/>
        <v>182.84038581199871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103.19896749344247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103.19896749344247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3.0945512820512704</v>
      </c>
      <c r="DO154" s="12">
        <f>IF('Données projet'!$A$166&gt;35,DO153+DN154-DW153,IF(A154&lt;'Données projet'!$A$166,$DL$205^A154,IF(A154='Données projet'!$A$166,'Données projet'!$B$166,DO153+DN154-DW153)))</f>
        <v>188.86858974358921</v>
      </c>
      <c r="DP154" s="17">
        <f>DO154*VLOOKUP('Données projet'!$B$14,Paramètres!$A$1:$I$89,3,0)*VLOOKUP('Données projet'!$B$14,Paramètres!$A$1:$I$89,5,0)</f>
        <v>206.24449999999942</v>
      </c>
      <c r="DQ154" s="13">
        <f t="shared" ref="DQ154:DQ203" si="176">EXP(-1.0587+0.8836*LN(DP154)+0.284)</f>
        <v>51.114054559633388</v>
      </c>
      <c r="DR154" s="20">
        <f t="shared" ref="DR154:DR203" si="177">(DP154+DQ154)*0.475*44/12</f>
        <v>448.23281585802715</v>
      </c>
      <c r="DS154" s="59">
        <f t="shared" si="125"/>
        <v>741.56614919136041</v>
      </c>
      <c r="DT154" s="59">
        <f ca="1">AVERAGE(OFFSET($DS$3,0,0,'Données projet'!$E$14+1,1))-AVERAGE(OFFSET($H$3,0,0,'Données projet'!$E$14+1,1))</f>
        <v>276.52126514622455</v>
      </c>
      <c r="DU154" s="59">
        <f t="shared" si="152"/>
        <v>173.98404849503186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98.957914034807814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98.957914034807814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3.0945512820512704</v>
      </c>
      <c r="EJ154" s="12">
        <f>IF('Données projet'!$A$192&gt;35,EJ153+EI154-ER153,IF(A154&lt;'Données projet'!$A$192,$EG$205^A154,IF(A154='Données projet'!$A$192,'Données projet'!$B$192,EJ153+EI154-ER153)))</f>
        <v>188.86858974358921</v>
      </c>
      <c r="EK154" s="17">
        <f>EJ154*VLOOKUP('Données projet'!$B$15,Paramètres!$A$1:$I$89,3,0)*VLOOKUP('Données projet'!$B$15,Paramètres!$A$1:$I$89,5,0)</f>
        <v>182.67369999999949</v>
      </c>
      <c r="EL154" s="13">
        <f t="shared" ref="EL154:EL203" si="179">EXP(-1.0587+0.8836*LN(EK154)+0.284)</f>
        <v>45.916523732211509</v>
      </c>
      <c r="EM154" s="20">
        <f t="shared" ref="EM154:EM203" si="180">(EK154+EL154)*0.475*44/12</f>
        <v>398.12797300026745</v>
      </c>
      <c r="EN154" s="59">
        <f t="shared" si="128"/>
        <v>691.46130633360076</v>
      </c>
      <c r="EO154" s="59">
        <f ca="1">AVERAGE(OFFSET($EN$3,0,0,'Données projet'!$E$15+1,1))-AVERAGE(OFFSET($H$3,0,0,'Données projet'!$E$15+1,1))</f>
        <v>234.56750794375012</v>
      </c>
      <c r="EP154" s="59">
        <f t="shared" si="154"/>
        <v>150.32420541314724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87.648438145115549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87.648438145115549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1.5961632016114892E-13</v>
      </c>
      <c r="P155" s="13">
        <f t="shared" si="141"/>
        <v>2.2708641912150958E-12</v>
      </c>
      <c r="Q155" s="20">
        <f t="shared" si="162"/>
        <v>4.2330868906469593E-12</v>
      </c>
      <c r="R155" s="59">
        <f t="shared" si="109"/>
        <v>293.33333333333752</v>
      </c>
      <c r="S155" s="59">
        <f ca="1">AVERAGE(OFFSET($R$3,0,0,'Données projet'!$E$9+1,1))-AVERAGE(OFFSET($H$3,0,0,'Données projet'!$E$9+1,1))</f>
        <v>198.17898804494365</v>
      </c>
      <c r="T155" s="59">
        <f t="shared" si="142"/>
        <v>186.24772922797723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69.078954868300158</v>
      </c>
      <c r="AA155" s="21">
        <f>EXP(-LN(2)/25)*AA154+(1-EXP(-LN(2)/25))/(LN(2)/25)*Calculateur!V155*Calculateur!X155*VLOOKUP('Données projet'!$B$9,Paramètres!$A$1:$I$89,3,0)*0.475*44/12</f>
        <v>11.932670615530363</v>
      </c>
      <c r="AB155" s="21">
        <f>EXP(-LN(2)/2)*AB154+(1-EXP(-LN(2)/2))/(LN(2)/2)*V155*Y155*VLOOKUP('Données projet'!$B$9,Paramètres!$A$1:$I$89,3,0)*0.475*44/12</f>
        <v>1.8701940149657067E-6</v>
      </c>
      <c r="AC155" s="22">
        <f t="shared" si="163"/>
        <v>81.01162735402454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278.21846622758881</v>
      </c>
      <c r="AO155" s="59">
        <f t="shared" si="144"/>
        <v>245.37578316242906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5.6843418860808015E-13</v>
      </c>
      <c r="BE155" s="13">
        <f>BD155*VLOOKUP('Données projet'!$B$11,Paramètres!$A$1:$I$89,3,0)*VLOOKUP('Données projet'!$B$11,Paramètres!$A$1:$I$89,5,0)</f>
        <v>5.1431925385259092E-13</v>
      </c>
      <c r="BF155" s="13">
        <f t="shared" si="167"/>
        <v>6.3855359115685756E-12</v>
      </c>
      <c r="BG155" s="20">
        <f t="shared" si="168"/>
        <v>1.2017247746441865E-11</v>
      </c>
      <c r="BH155" s="59">
        <f t="shared" si="116"/>
        <v>293.33333333334531</v>
      </c>
      <c r="BI155" s="59">
        <f ca="1">AVERAGE(OFFSET($BH$3,0,0,'Données projet'!$E$11+1,1))-AVERAGE(OFFSET($H$3,0,0,'Données projet'!$E$11+1,1))</f>
        <v>270.87836509222456</v>
      </c>
      <c r="BJ155" s="59">
        <f t="shared" si="146"/>
        <v>205.24998237949734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112.80857117045218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112.80857117045218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5.6843418860808015E-13</v>
      </c>
      <c r="BZ155" s="13">
        <f>BY155*VLOOKUP('Données projet'!$B$12,Paramètres!$A$1:$I$89,3,0)*VLOOKUP('Données projet'!$B$12,Paramètres!$A$1:$I$89,5,0)</f>
        <v>5.763922672485933E-13</v>
      </c>
      <c r="CA155" s="13">
        <f t="shared" si="170"/>
        <v>7.0619171555808457E-12</v>
      </c>
      <c r="CB155" s="20">
        <f t="shared" si="171"/>
        <v>1.3303388911427938E-11</v>
      </c>
      <c r="CC155" s="59">
        <f t="shared" si="119"/>
        <v>293.33333333334662</v>
      </c>
      <c r="CD155" s="59">
        <f ca="1">AVERAGE(OFFSET($CC$3,0,0,'Données projet'!$E$12+1,1))-AVERAGE(OFFSET($H$3,0,0,'Données projet'!$E$12+1,1))</f>
        <v>312.29056285877169</v>
      </c>
      <c r="CE155" s="59">
        <f t="shared" si="148"/>
        <v>233.85454224241693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126.42339872550679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126.42339872550679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3.0945512820512704</v>
      </c>
      <c r="CT155" s="12">
        <f>IF('Données projet'!$A$140&gt;35,CT154+CS155-DB154,IF(A155&lt;'Données projet'!$A$140,$CQ$205^A155,IF(A155='Données projet'!$A$140,'Données projet'!$B$140,CT154+CS155-DB154)))</f>
        <v>191.96314102564048</v>
      </c>
      <c r="CU155" s="17">
        <f>CT155*VLOOKUP('Données projet'!$B$13,Paramètres!$A$1:$I$89,3,0)*VLOOKUP('Données projet'!$B$13,Paramètres!$A$1:$I$89,5,0)</f>
        <v>218.60762499999939</v>
      </c>
      <c r="CV155" s="13">
        <f t="shared" si="173"/>
        <v>53.812148159221017</v>
      </c>
      <c r="CW155" s="20">
        <f t="shared" si="174"/>
        <v>474.46443825230887</v>
      </c>
      <c r="CX155" s="59">
        <f t="shared" si="122"/>
        <v>767.79777158564218</v>
      </c>
      <c r="CY155" s="59">
        <f ca="1">AVERAGE(OFFSET($CX$3,0,0,'Données projet'!$E$13+1,1))-AVERAGE(OFFSET($H$3,0,0,'Données projet'!$E$13+1,1))</f>
        <v>292.22737648725354</v>
      </c>
      <c r="CZ155" s="59">
        <f t="shared" si="150"/>
        <v>182.84038581199871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101.17529868605091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101.17529868605091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3.0945512820512704</v>
      </c>
      <c r="DO155" s="12">
        <f>IF('Données projet'!$A$166&gt;35,DO154+DN155-DW154,IF(A155&lt;'Données projet'!$A$166,$DL$205^A155,IF(A155='Données projet'!$A$166,'Données projet'!$B$166,DO154+DN155-DW154)))</f>
        <v>191.96314102564048</v>
      </c>
      <c r="DP155" s="17">
        <f>DO155*VLOOKUP('Données projet'!$B$14,Paramètres!$A$1:$I$89,3,0)*VLOOKUP('Données projet'!$B$14,Paramètres!$A$1:$I$89,5,0)</f>
        <v>209.6237499999994</v>
      </c>
      <c r="DQ155" s="13">
        <f t="shared" si="176"/>
        <v>51.853357027766968</v>
      </c>
      <c r="DR155" s="20">
        <f t="shared" si="177"/>
        <v>455.40596140669305</v>
      </c>
      <c r="DS155" s="59">
        <f t="shared" si="125"/>
        <v>748.73929474002637</v>
      </c>
      <c r="DT155" s="59">
        <f ca="1">AVERAGE(OFFSET($DS$3,0,0,'Données projet'!$E$14+1,1))-AVERAGE(OFFSET($H$3,0,0,'Données projet'!$E$14+1,1))</f>
        <v>276.52126514622455</v>
      </c>
      <c r="DU155" s="59">
        <f t="shared" si="152"/>
        <v>173.98404849503186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97.017409698952903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97.017409698952903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3.0945512820512704</v>
      </c>
      <c r="EJ155" s="12">
        <f>IF('Données projet'!$A$192&gt;35,EJ154+EI155-ER154,IF(A155&lt;'Données projet'!$A$192,$EG$205^A155,IF(A155='Données projet'!$A$192,'Données projet'!$B$192,EJ154+EI155-ER154)))</f>
        <v>191.96314102564048</v>
      </c>
      <c r="EK155" s="17">
        <f>EJ155*VLOOKUP('Données projet'!$B$15,Paramètres!$A$1:$I$89,3,0)*VLOOKUP('Données projet'!$B$15,Paramètres!$A$1:$I$89,5,0)</f>
        <v>185.6667499999995</v>
      </c>
      <c r="EL155" s="13">
        <f t="shared" si="179"/>
        <v>46.580650255059233</v>
      </c>
      <c r="EM155" s="20">
        <f t="shared" si="180"/>
        <v>404.49755544422732</v>
      </c>
      <c r="EN155" s="59">
        <f t="shared" si="128"/>
        <v>697.83088877756063</v>
      </c>
      <c r="EO155" s="59">
        <f ca="1">AVERAGE(OFFSET($EN$3,0,0,'Données projet'!$E$15+1,1))-AVERAGE(OFFSET($H$3,0,0,'Données projet'!$E$15+1,1))</f>
        <v>234.56750794375012</v>
      </c>
      <c r="EP155" s="59">
        <f t="shared" si="154"/>
        <v>150.32420541314724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85.929705733358333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85.929705733358333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1.5961632016114892E-13</v>
      </c>
      <c r="P156" s="13">
        <f t="shared" si="141"/>
        <v>2.2708641912150958E-12</v>
      </c>
      <c r="Q156" s="20">
        <f t="shared" si="162"/>
        <v>4.2330868906469593E-12</v>
      </c>
      <c r="R156" s="59">
        <f t="shared" si="109"/>
        <v>293.33333333333752</v>
      </c>
      <c r="S156" s="59">
        <f ca="1">AVERAGE(OFFSET($R$3,0,0,'Données projet'!$E$9+1,1))-AVERAGE(OFFSET($H$3,0,0,'Données projet'!$E$9+1,1))</f>
        <v>198.17898804494365</v>
      </c>
      <c r="T156" s="59">
        <f t="shared" si="142"/>
        <v>186.24772922797723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67.724358697334878</v>
      </c>
      <c r="AA156" s="21">
        <f>EXP(-LN(2)/25)*AA155+(1-EXP(-LN(2)/25))/(LN(2)/25)*Calculateur!V156*Calculateur!X156*VLOOKUP('Données projet'!$B$9,Paramètres!$A$1:$I$89,3,0)*0.475*44/12</f>
        <v>11.606371110036809</v>
      </c>
      <c r="AB156" s="21">
        <f>EXP(-LN(2)/2)*AB155+(1-EXP(-LN(2)/2))/(LN(2)/2)*V156*Y156*VLOOKUP('Données projet'!$B$9,Paramètres!$A$1:$I$89,3,0)*0.475*44/12</f>
        <v>1.3224268701167469E-6</v>
      </c>
      <c r="AC156" s="22">
        <f t="shared" si="163"/>
        <v>79.330731129798551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278.21846622758881</v>
      </c>
      <c r="AO156" s="59">
        <f t="shared" si="144"/>
        <v>245.37578316242906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5.6843418860808015E-13</v>
      </c>
      <c r="BE156" s="13">
        <f>BD156*VLOOKUP('Données projet'!$B$11,Paramètres!$A$1:$I$89,3,0)*VLOOKUP('Données projet'!$B$11,Paramètres!$A$1:$I$89,5,0)</f>
        <v>5.1431925385259092E-13</v>
      </c>
      <c r="BF156" s="13">
        <f t="shared" si="167"/>
        <v>6.3855359115685756E-12</v>
      </c>
      <c r="BG156" s="20">
        <f t="shared" si="168"/>
        <v>1.2017247746441865E-11</v>
      </c>
      <c r="BH156" s="59">
        <f t="shared" si="116"/>
        <v>293.33333333334531</v>
      </c>
      <c r="BI156" s="59">
        <f ca="1">AVERAGE(OFFSET($BH$3,0,0,'Données projet'!$E$11+1,1))-AVERAGE(OFFSET($H$3,0,0,'Données projet'!$E$11+1,1))</f>
        <v>270.87836509222456</v>
      </c>
      <c r="BJ156" s="59">
        <f t="shared" si="146"/>
        <v>205.24998237949734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110.59646389623396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110.59646389623396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5.6843418860808015E-13</v>
      </c>
      <c r="BZ156" s="13">
        <f>BY156*VLOOKUP('Données projet'!$B$12,Paramètres!$A$1:$I$89,3,0)*VLOOKUP('Données projet'!$B$12,Paramètres!$A$1:$I$89,5,0)</f>
        <v>5.763922672485933E-13</v>
      </c>
      <c r="CA156" s="13">
        <f t="shared" si="170"/>
        <v>7.0619171555808457E-12</v>
      </c>
      <c r="CB156" s="20">
        <f t="shared" si="171"/>
        <v>1.3303388911427938E-11</v>
      </c>
      <c r="CC156" s="59">
        <f t="shared" si="119"/>
        <v>293.33333333334662</v>
      </c>
      <c r="CD156" s="59">
        <f ca="1">AVERAGE(OFFSET($CC$3,0,0,'Données projet'!$E$12+1,1))-AVERAGE(OFFSET($H$3,0,0,'Données projet'!$E$12+1,1))</f>
        <v>312.29056285877169</v>
      </c>
      <c r="CE156" s="59">
        <f t="shared" si="148"/>
        <v>233.85454224241693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123.94431298715878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123.94431298715878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195.05769230769226</v>
      </c>
      <c r="CR156" s="12">
        <f>VLOOKUP(A156,'Données projet'!$A$139:$I$159,9,0)</f>
        <v>3.0945512820512704</v>
      </c>
      <c r="CS156" s="12">
        <f t="array" ref="CS156">INDEX(CR:CR,MIN(IF(ISNUMBER(CR156:CR352),ROW(CR156:CR352),"")))</f>
        <v>3.0945512820512704</v>
      </c>
      <c r="CT156" s="12">
        <f>IF('Données projet'!$A$140&gt;35,CT155+CS156-DB155,IF(A156&lt;'Données projet'!$A$140,$CQ$205^A156,IF(A156='Données projet'!$A$140,'Données projet'!$B$140,CT155+CS156-DB155)))</f>
        <v>195.05769230769175</v>
      </c>
      <c r="CU156" s="17">
        <f>CT156*VLOOKUP('Données projet'!$B$13,Paramètres!$A$1:$I$89,3,0)*VLOOKUP('Données projet'!$B$13,Paramètres!$A$1:$I$89,5,0)</f>
        <v>222.13169999999937</v>
      </c>
      <c r="CV156" s="13">
        <f t="shared" si="173"/>
        <v>54.577939842953796</v>
      </c>
      <c r="CW156" s="20">
        <f t="shared" si="174"/>
        <v>481.93595605981005</v>
      </c>
      <c r="CX156" s="59">
        <f t="shared" si="122"/>
        <v>775.26928939314337</v>
      </c>
      <c r="CY156" s="59">
        <f ca="1">AVERAGE(OFFSET($CX$3,0,0,'Données projet'!$E$13+1,1))-AVERAGE(OFFSET($H$3,0,0,'Données projet'!$E$13+1,1))</f>
        <v>292.22737648725354</v>
      </c>
      <c r="CZ156" s="59">
        <f t="shared" si="150"/>
        <v>182.84038581199871</v>
      </c>
      <c r="DA156" s="15">
        <f>IF(ISNA(VLOOKUP(A156,'Données projet'!$A$139:$I$159,3,0)),0,VLOOKUP(A156,'Données projet'!$A$139:$I$159,3,0))</f>
        <v>13</v>
      </c>
      <c r="DB156" s="15">
        <f>IF(ISNA(VLOOKUP(A156,'Données projet'!$A$139:$I$159,4,0)),0,VLOOKUP(A156,'Données projet'!$A$139:$I$159,4,0))</f>
        <v>70.115384615384613</v>
      </c>
      <c r="DC156" s="16">
        <f>IF(ISNA(VLOOKUP(A156,'Données projet'!$A$139:$I$159,5,0)),0%,VLOOKUP(A156,'Données projet'!$A$139:$I$159,5,0)*VLOOKUP('Données projet'!$B$13,Paramètres!$A$1:$I$89,7,0))</f>
        <v>0.38700000000000001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133.35139086016858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133.35139086016858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195.05769230769226</v>
      </c>
      <c r="DM156" s="12">
        <f>VLOOKUP(A156,'Données projet'!$A$165:$I$185,9,0)</f>
        <v>3.0945512820512704</v>
      </c>
      <c r="DN156" s="12">
        <f t="array" ref="DN156">INDEX(DM:DM,MIN(IF(ISNUMBER(DM156:DM352),ROW(DM156:DM352),"")))</f>
        <v>3.0945512820512704</v>
      </c>
      <c r="DO156" s="12">
        <f>IF('Données projet'!$A$166&gt;35,DO155+DN156-DW155,IF(A156&lt;'Données projet'!$A$166,$DL$205^A156,IF(A156='Données projet'!$A$166,'Données projet'!$B$166,DO155+DN156-DW155)))</f>
        <v>195.05769230769175</v>
      </c>
      <c r="DP156" s="17">
        <f>DO156*VLOOKUP('Données projet'!$B$14,Paramètres!$A$1:$I$89,3,0)*VLOOKUP('Données projet'!$B$14,Paramètres!$A$1:$I$89,5,0)</f>
        <v>213.00299999999939</v>
      </c>
      <c r="DQ156" s="13">
        <f t="shared" si="176"/>
        <v>52.591273482393511</v>
      </c>
      <c r="DR156" s="20">
        <f t="shared" si="177"/>
        <v>462.57669298183436</v>
      </c>
      <c r="DS156" s="59">
        <f t="shared" si="125"/>
        <v>755.91002631516767</v>
      </c>
      <c r="DT156" s="59">
        <f ca="1">AVERAGE(OFFSET($DS$3,0,0,'Données projet'!$E$14+1,1))-AVERAGE(OFFSET($H$3,0,0,'Données projet'!$E$14+1,1))</f>
        <v>276.52126514622455</v>
      </c>
      <c r="DU156" s="59">
        <f t="shared" si="152"/>
        <v>173.98404849503186</v>
      </c>
      <c r="DV156" s="15">
        <f>IF(ISNA(VLOOKUP(A156,'Données projet'!$A$165:$I$185,3,0)),0,VLOOKUP(A156,'Données projet'!$A$165:$I$185,3,0))</f>
        <v>13</v>
      </c>
      <c r="DW156" s="15">
        <f>IF(ISNA(VLOOKUP(A156,'Données projet'!$A$165:$I$185,4,0)),0,VLOOKUP(A156,'Données projet'!$A$165:$I$185,4,0))</f>
        <v>70.115384615384613</v>
      </c>
      <c r="DX156" s="16">
        <f>IF(ISNA(VLOOKUP(A156,'Données projet'!$A$165:$I$185,5,0)),0%,VLOOKUP(A156,'Données projet'!$A$165:$I$185,5,0)*VLOOKUP('Données projet'!$B$14,Paramètres!$A$1:$I$89,7,0))</f>
        <v>0.38700000000000001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127.8711967152301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127.8711967152301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projet'!$A$191:$I$211,2,0)</f>
        <v>195.05769230769226</v>
      </c>
      <c r="EH156" s="12">
        <f>VLOOKUP(A156,'Données projet'!$A$191:$I$211,9,0)</f>
        <v>3.0945512820512704</v>
      </c>
      <c r="EI156" s="12">
        <f t="array" ref="EI156">INDEX(EH:EH,MIN(IF(ISNUMBER(EH156:EH352),ROW(EH156:EH352),"")))</f>
        <v>3.0945512820512704</v>
      </c>
      <c r="EJ156" s="12">
        <f>IF('Données projet'!$A$192&gt;35,EJ155+EI156-ER155,IF(A156&lt;'Données projet'!$A$192,$EG$205^A156,IF(A156='Données projet'!$A$192,'Données projet'!$B$192,EJ155+EI156-ER155)))</f>
        <v>195.05769230769175</v>
      </c>
      <c r="EK156" s="17">
        <f>EJ156*VLOOKUP('Données projet'!$B$15,Paramètres!$A$1:$I$89,3,0)*VLOOKUP('Données projet'!$B$15,Paramètres!$A$1:$I$89,5,0)</f>
        <v>188.65979999999948</v>
      </c>
      <c r="EL156" s="13">
        <f t="shared" si="179"/>
        <v>47.243531701134245</v>
      </c>
      <c r="EM156" s="20">
        <f t="shared" si="180"/>
        <v>410.86496937947453</v>
      </c>
      <c r="EN156" s="59">
        <f t="shared" si="128"/>
        <v>704.19830271280784</v>
      </c>
      <c r="EO156" s="59">
        <f ca="1">AVERAGE(OFFSET($EN$3,0,0,'Données projet'!$E$15+1,1))-AVERAGE(OFFSET($H$3,0,0,'Données projet'!$E$15+1,1))</f>
        <v>234.56750794375012</v>
      </c>
      <c r="EP156" s="59">
        <f t="shared" si="154"/>
        <v>150.32420541314724</v>
      </c>
      <c r="EQ156" s="15">
        <f>IF(ISNA(VLOOKUP(A156,'Données projet'!$A$191:$I$211,3,0)),0,VLOOKUP(A156,'Données projet'!$A$191:$I$211,3,0))</f>
        <v>13</v>
      </c>
      <c r="ER156" s="15">
        <f>IF(ISNA(VLOOKUP(A156,'Données projet'!$A$191:$I$211,4,0)),0,VLOOKUP(A156,'Données projet'!$A$191:$I$211,4,0))</f>
        <v>70.115384615384613</v>
      </c>
      <c r="ES156" s="16">
        <f>IF(ISNA(VLOOKUP(A156,'Données projet'!$A$191:$I$211,5,0)),0%,VLOOKUP(A156,'Données projet'!$A$191:$I$211,5,0)*VLOOKUP('Données projet'!$B$15,Paramètres!$A$1:$I$89,7,0))</f>
        <v>0.38700000000000001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113.257345662061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113.257345662061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1.5961632016114892E-13</v>
      </c>
      <c r="P157" s="13">
        <f t="shared" si="141"/>
        <v>2.2708641912150958E-12</v>
      </c>
      <c r="Q157" s="20">
        <f t="shared" si="162"/>
        <v>4.2330868906469593E-12</v>
      </c>
      <c r="R157" s="59">
        <f t="shared" si="109"/>
        <v>293.33333333333752</v>
      </c>
      <c r="S157" s="59">
        <f ca="1">AVERAGE(OFFSET($R$3,0,0,'Données projet'!$E$9+1,1))-AVERAGE(OFFSET($H$3,0,0,'Données projet'!$E$9+1,1))</f>
        <v>198.17898804494365</v>
      </c>
      <c r="T157" s="59">
        <f t="shared" si="142"/>
        <v>186.24772922797723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66.39632533106014</v>
      </c>
      <c r="AA157" s="21">
        <f>EXP(-LN(2)/25)*AA156+(1-EXP(-LN(2)/25))/(LN(2)/25)*Calculateur!V157*Calculateur!X157*VLOOKUP('Données projet'!$B$9,Paramètres!$A$1:$I$89,3,0)*0.475*44/12</f>
        <v>11.288994281680322</v>
      </c>
      <c r="AB157" s="21">
        <f>EXP(-LN(2)/2)*AB156+(1-EXP(-LN(2)/2))/(LN(2)/2)*V157*Y157*VLOOKUP('Données projet'!$B$9,Paramètres!$A$1:$I$89,3,0)*0.475*44/12</f>
        <v>9.3509700748285346E-7</v>
      </c>
      <c r="AC157" s="22">
        <f t="shared" si="163"/>
        <v>77.685320547837463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278.21846622758881</v>
      </c>
      <c r="AO157" s="59">
        <f t="shared" si="144"/>
        <v>245.37578316242906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5.6843418860808015E-13</v>
      </c>
      <c r="BE157" s="13">
        <f>BD157*VLOOKUP('Données projet'!$B$11,Paramètres!$A$1:$I$89,3,0)*VLOOKUP('Données projet'!$B$11,Paramètres!$A$1:$I$89,5,0)</f>
        <v>5.1431925385259092E-13</v>
      </c>
      <c r="BF157" s="13">
        <f t="shared" si="167"/>
        <v>6.3855359115685756E-12</v>
      </c>
      <c r="BG157" s="20">
        <f t="shared" si="168"/>
        <v>1.2017247746441865E-11</v>
      </c>
      <c r="BH157" s="59">
        <f t="shared" si="116"/>
        <v>293.33333333334531</v>
      </c>
      <c r="BI157" s="59">
        <f ca="1">AVERAGE(OFFSET($BH$3,0,0,'Données projet'!$E$11+1,1))-AVERAGE(OFFSET($H$3,0,0,'Données projet'!$E$11+1,1))</f>
        <v>270.87836509222456</v>
      </c>
      <c r="BJ157" s="59">
        <f t="shared" si="146"/>
        <v>205.24998237949734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108.42773469641094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108.42773469641094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5.6843418860808015E-13</v>
      </c>
      <c r="BZ157" s="13">
        <f>BY157*VLOOKUP('Données projet'!$B$12,Paramètres!$A$1:$I$89,3,0)*VLOOKUP('Données projet'!$B$12,Paramètres!$A$1:$I$89,5,0)</f>
        <v>5.763922672485933E-13</v>
      </c>
      <c r="CA157" s="13">
        <f t="shared" si="170"/>
        <v>7.0619171555808457E-12</v>
      </c>
      <c r="CB157" s="20">
        <f t="shared" si="171"/>
        <v>1.3303388911427938E-11</v>
      </c>
      <c r="CC157" s="59">
        <f t="shared" si="119"/>
        <v>293.33333333334662</v>
      </c>
      <c r="CD157" s="59">
        <f ca="1">AVERAGE(OFFSET($CC$3,0,0,'Données projet'!$E$12+1,1))-AVERAGE(OFFSET($H$3,0,0,'Données projet'!$E$12+1,1))</f>
        <v>312.29056285877169</v>
      </c>
      <c r="CE157" s="59">
        <f t="shared" si="148"/>
        <v>233.85454224241693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121.51384060804678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121.51384060804678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1.8717948717948829</v>
      </c>
      <c r="CT157" s="12">
        <f>IF('Données projet'!$A$140&gt;35,CT156+CS157-DB156,IF(A157&lt;'Données projet'!$A$140,$CQ$205^A157,IF(A157='Données projet'!$A$140,'Données projet'!$B$140,CT156+CS157-DB156)))</f>
        <v>126.81410256410203</v>
      </c>
      <c r="CU157" s="17">
        <f>CT157*VLOOKUP('Données projet'!$B$13,Paramètres!$A$1:$I$89,3,0)*VLOOKUP('Données projet'!$B$13,Paramètres!$A$1:$I$89,5,0)</f>
        <v>144.4158999999994</v>
      </c>
      <c r="CV157" s="13">
        <f t="shared" si="173"/>
        <v>37.306790530954785</v>
      </c>
      <c r="CW157" s="20">
        <f t="shared" si="174"/>
        <v>316.50035267474522</v>
      </c>
      <c r="CX157" s="59">
        <f t="shared" si="122"/>
        <v>609.83368600807853</v>
      </c>
      <c r="CY157" s="59">
        <f ca="1">AVERAGE(OFFSET($CX$3,0,0,'Données projet'!$E$13+1,1))-AVERAGE(OFFSET($H$3,0,0,'Données projet'!$E$13+1,1))</f>
        <v>292.22737648725354</v>
      </c>
      <c r="CZ157" s="59">
        <f t="shared" si="150"/>
        <v>182.84038581199871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130.73645142171782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130.73645142171782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1.8717948717948829</v>
      </c>
      <c r="DO157" s="12">
        <f>IF('Données projet'!$A$166&gt;35,DO156+DN157-DW156,IF(A157&lt;'Données projet'!$A$166,$DL$205^A157,IF(A157='Données projet'!$A$166,'Données projet'!$B$166,DO156+DN157-DW156)))</f>
        <v>126.81410256410203</v>
      </c>
      <c r="DP157" s="17">
        <f>DO157*VLOOKUP('Données projet'!$B$14,Paramètres!$A$1:$I$89,3,0)*VLOOKUP('Données projet'!$B$14,Paramètres!$A$1:$I$89,5,0)</f>
        <v>138.48099999999943</v>
      </c>
      <c r="DQ157" s="13">
        <f t="shared" si="176"/>
        <v>35.948803293224969</v>
      </c>
      <c r="DR157" s="20">
        <f t="shared" si="177"/>
        <v>303.79857406903244</v>
      </c>
      <c r="DS157" s="59">
        <f t="shared" si="125"/>
        <v>597.13190740236575</v>
      </c>
      <c r="DT157" s="59">
        <f ca="1">AVERAGE(OFFSET($DS$3,0,0,'Données projet'!$E$14+1,1))-AVERAGE(OFFSET($H$3,0,0,'Données projet'!$E$14+1,1))</f>
        <v>276.52126514622455</v>
      </c>
      <c r="DU157" s="59">
        <f t="shared" si="152"/>
        <v>173.98404849503186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125.3637205413732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125.3637205413732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1.8717948717948829</v>
      </c>
      <c r="EJ157" s="12">
        <f>IF('Données projet'!$A$192&gt;35,EJ156+EI157-ER156,IF(A157&lt;'Données projet'!$A$192,$EG$205^A157,IF(A157='Données projet'!$A$192,'Données projet'!$B$192,EJ156+EI157-ER156)))</f>
        <v>126.81410256410203</v>
      </c>
      <c r="EK157" s="17">
        <f>EJ157*VLOOKUP('Données projet'!$B$15,Paramètres!$A$1:$I$89,3,0)*VLOOKUP('Données projet'!$B$15,Paramètres!$A$1:$I$89,5,0)</f>
        <v>122.65459999999949</v>
      </c>
      <c r="EL157" s="13">
        <f t="shared" si="179"/>
        <v>32.293350503670261</v>
      </c>
      <c r="EM157" s="20">
        <f t="shared" si="180"/>
        <v>269.86768046055812</v>
      </c>
      <c r="EN157" s="59">
        <f t="shared" si="128"/>
        <v>563.20101379389143</v>
      </c>
      <c r="EO157" s="59">
        <f ca="1">AVERAGE(OFFSET($EN$3,0,0,'Données projet'!$E$15+1,1))-AVERAGE(OFFSET($H$3,0,0,'Données projet'!$E$15+1,1))</f>
        <v>234.56750794375012</v>
      </c>
      <c r="EP157" s="59">
        <f t="shared" si="154"/>
        <v>150.32420541314724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111.03643819378773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111.03643819378773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1.5961632016114892E-13</v>
      </c>
      <c r="P158" s="13">
        <f t="shared" si="141"/>
        <v>2.2708641912150958E-12</v>
      </c>
      <c r="Q158" s="20">
        <f t="shared" si="162"/>
        <v>4.2330868906469593E-12</v>
      </c>
      <c r="R158" s="59">
        <f t="shared" si="109"/>
        <v>293.33333333333752</v>
      </c>
      <c r="S158" s="59">
        <f ca="1">AVERAGE(OFFSET($R$3,0,0,'Données projet'!$E$9+1,1))-AVERAGE(OFFSET($H$3,0,0,'Données projet'!$E$9+1,1))</f>
        <v>198.17898804494365</v>
      </c>
      <c r="T158" s="59">
        <f t="shared" si="142"/>
        <v>186.24772922797723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65.094333889077674</v>
      </c>
      <c r="AA158" s="21">
        <f>EXP(-LN(2)/25)*AA157+(1-EXP(-LN(2)/25))/(LN(2)/25)*Calculateur!V158*Calculateur!X158*VLOOKUP('Données projet'!$B$9,Paramètres!$A$1:$I$89,3,0)*0.475*44/12</f>
        <v>10.980296139385366</v>
      </c>
      <c r="AB158" s="21">
        <f>EXP(-LN(2)/2)*AB157+(1-EXP(-LN(2)/2))/(LN(2)/2)*V158*Y158*VLOOKUP('Données projet'!$B$9,Paramètres!$A$1:$I$89,3,0)*0.475*44/12</f>
        <v>6.6121343505837354E-7</v>
      </c>
      <c r="AC158" s="22">
        <f t="shared" si="163"/>
        <v>76.074630689676482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278.21846622758881</v>
      </c>
      <c r="AO158" s="59">
        <f t="shared" si="144"/>
        <v>245.37578316242906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5.6843418860808015E-13</v>
      </c>
      <c r="BE158" s="13">
        <f>BD158*VLOOKUP('Données projet'!$B$11,Paramètres!$A$1:$I$89,3,0)*VLOOKUP('Données projet'!$B$11,Paramètres!$A$1:$I$89,5,0)</f>
        <v>5.1431925385259092E-13</v>
      </c>
      <c r="BF158" s="13">
        <f t="shared" si="167"/>
        <v>6.3855359115685756E-12</v>
      </c>
      <c r="BG158" s="20">
        <f t="shared" si="168"/>
        <v>1.2017247746441865E-11</v>
      </c>
      <c r="BH158" s="59">
        <f t="shared" si="116"/>
        <v>293.33333333334531</v>
      </c>
      <c r="BI158" s="59">
        <f ca="1">AVERAGE(OFFSET($BH$3,0,0,'Données projet'!$E$11+1,1))-AVERAGE(OFFSET($H$3,0,0,'Données projet'!$E$11+1,1))</f>
        <v>270.87836509222456</v>
      </c>
      <c r="BJ158" s="59">
        <f t="shared" si="146"/>
        <v>205.24998237949734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106.30153295340226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106.30153295340226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5.6843418860808015E-13</v>
      </c>
      <c r="BZ158" s="13">
        <f>BY158*VLOOKUP('Données projet'!$B$12,Paramètres!$A$1:$I$89,3,0)*VLOOKUP('Données projet'!$B$12,Paramètres!$A$1:$I$89,5,0)</f>
        <v>5.763922672485933E-13</v>
      </c>
      <c r="CA158" s="13">
        <f t="shared" si="170"/>
        <v>7.0619171555808457E-12</v>
      </c>
      <c r="CB158" s="20">
        <f t="shared" si="171"/>
        <v>1.3303388911427938E-11</v>
      </c>
      <c r="CC158" s="59">
        <f t="shared" si="119"/>
        <v>293.33333333334662</v>
      </c>
      <c r="CD158" s="59">
        <f ca="1">AVERAGE(OFFSET($CC$3,0,0,'Données projet'!$E$12+1,1))-AVERAGE(OFFSET($H$3,0,0,'Données projet'!$E$12+1,1))</f>
        <v>312.29056285877169</v>
      </c>
      <c r="CE158" s="59">
        <f t="shared" si="148"/>
        <v>233.85454224241693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119.13102830984739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119.13102830984739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1.8717948717948829</v>
      </c>
      <c r="CT158" s="12">
        <f>IF('Données projet'!$A$140&gt;35,CT157+CS158-DB157,IF(A158&lt;'Données projet'!$A$140,$CQ$205^A158,IF(A158='Données projet'!$A$140,'Données projet'!$B$140,CT157+CS158-DB157)))</f>
        <v>128.68589743589692</v>
      </c>
      <c r="CU158" s="17">
        <f>CT158*VLOOKUP('Données projet'!$B$13,Paramètres!$A$1:$I$89,3,0)*VLOOKUP('Données projet'!$B$13,Paramètres!$A$1:$I$89,5,0)</f>
        <v>146.54749999999942</v>
      </c>
      <c r="CV158" s="13">
        <f t="shared" si="173"/>
        <v>37.792932476289721</v>
      </c>
      <c r="CW158" s="20">
        <f t="shared" si="174"/>
        <v>321.05958656287027</v>
      </c>
      <c r="CX158" s="59">
        <f t="shared" si="122"/>
        <v>614.39291989620358</v>
      </c>
      <c r="CY158" s="59">
        <f ca="1">AVERAGE(OFFSET($CX$3,0,0,'Données projet'!$E$13+1,1))-AVERAGE(OFFSET($H$3,0,0,'Données projet'!$E$13+1,1))</f>
        <v>292.22737648725354</v>
      </c>
      <c r="CZ158" s="59">
        <f t="shared" si="150"/>
        <v>182.84038581199871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128.1727893506995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128.1727893506995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1.8717948717948829</v>
      </c>
      <c r="DO158" s="12">
        <f>IF('Données projet'!$A$166&gt;35,DO157+DN158-DW157,IF(A158&lt;'Données projet'!$A$166,$DL$205^A158,IF(A158='Données projet'!$A$166,'Données projet'!$B$166,DO157+DN158-DW157)))</f>
        <v>128.68589743589692</v>
      </c>
      <c r="DP158" s="17">
        <f>DO158*VLOOKUP('Données projet'!$B$14,Paramètres!$A$1:$I$89,3,0)*VLOOKUP('Données projet'!$B$14,Paramètres!$A$1:$I$89,5,0)</f>
        <v>140.52499999999944</v>
      </c>
      <c r="DQ158" s="13">
        <f t="shared" si="176"/>
        <v>36.417249410318107</v>
      </c>
      <c r="DR158" s="20">
        <f t="shared" si="177"/>
        <v>308.17441772296968</v>
      </c>
      <c r="DS158" s="59">
        <f t="shared" si="125"/>
        <v>601.50775105630305</v>
      </c>
      <c r="DT158" s="59">
        <f ca="1">AVERAGE(OFFSET($DS$3,0,0,'Données projet'!$E$14+1,1))-AVERAGE(OFFSET($H$3,0,0,'Données projet'!$E$14+1,1))</f>
        <v>276.52126514622455</v>
      </c>
      <c r="DU158" s="59">
        <f t="shared" si="152"/>
        <v>173.98404849503186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122.90541444587618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122.90541444587618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1.8717948717948829</v>
      </c>
      <c r="EJ158" s="12">
        <f>IF('Données projet'!$A$192&gt;35,EJ157+EI158-ER157,IF(A158&lt;'Données projet'!$A$192,$EG$205^A158,IF(A158='Données projet'!$A$192,'Données projet'!$B$192,EJ157+EI158-ER157)))</f>
        <v>128.68589743589692</v>
      </c>
      <c r="EK158" s="17">
        <f>EJ158*VLOOKUP('Données projet'!$B$15,Paramètres!$A$1:$I$89,3,0)*VLOOKUP('Données projet'!$B$15,Paramètres!$A$1:$I$89,5,0)</f>
        <v>124.46499999999952</v>
      </c>
      <c r="EL158" s="13">
        <f t="shared" si="179"/>
        <v>32.714162693939279</v>
      </c>
      <c r="EM158" s="20">
        <f t="shared" si="180"/>
        <v>273.75370835861008</v>
      </c>
      <c r="EN158" s="59">
        <f t="shared" si="128"/>
        <v>567.08704169194334</v>
      </c>
      <c r="EO158" s="59">
        <f ca="1">AVERAGE(OFFSET($EN$3,0,0,'Données projet'!$E$15+1,1))-AVERAGE(OFFSET($H$3,0,0,'Données projet'!$E$15+1,1))</f>
        <v>234.56750794375012</v>
      </c>
      <c r="EP158" s="59">
        <f t="shared" si="154"/>
        <v>150.32420541314724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108.85908136634751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108.85908136634751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1.5961632016114892E-13</v>
      </c>
      <c r="P159" s="13">
        <f t="shared" si="141"/>
        <v>2.2708641912150958E-12</v>
      </c>
      <c r="Q159" s="20">
        <f t="shared" si="162"/>
        <v>4.2330868906469593E-12</v>
      </c>
      <c r="R159" s="59">
        <f t="shared" si="109"/>
        <v>293.33333333333752</v>
      </c>
      <c r="S159" s="59">
        <f ca="1">AVERAGE(OFFSET($R$3,0,0,'Données projet'!$E$9+1,1))-AVERAGE(OFFSET($H$3,0,0,'Données projet'!$E$9+1,1))</f>
        <v>198.17898804494365</v>
      </c>
      <c r="T159" s="59">
        <f t="shared" si="142"/>
        <v>186.24772922797723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63.81787370513613</v>
      </c>
      <c r="AA159" s="21">
        <f>EXP(-LN(2)/25)*AA158+(1-EXP(-LN(2)/25))/(LN(2)/25)*Calculateur!V159*Calculateur!X159*VLOOKUP('Données projet'!$B$9,Paramètres!$A$1:$I$89,3,0)*0.475*44/12</f>
        <v>10.680039364025195</v>
      </c>
      <c r="AB159" s="21">
        <f>EXP(-LN(2)/2)*AB158+(1-EXP(-LN(2)/2))/(LN(2)/2)*V159*Y159*VLOOKUP('Données projet'!$B$9,Paramètres!$A$1:$I$89,3,0)*0.475*44/12</f>
        <v>4.6754850374142684E-7</v>
      </c>
      <c r="AC159" s="22">
        <f t="shared" si="163"/>
        <v>74.497913536709831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278.21846622758881</v>
      </c>
      <c r="AO159" s="59">
        <f t="shared" si="144"/>
        <v>245.37578316242906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5.6843418860808015E-13</v>
      </c>
      <c r="BE159" s="13">
        <f>BD159*VLOOKUP('Données projet'!$B$11,Paramètres!$A$1:$I$89,3,0)*VLOOKUP('Données projet'!$B$11,Paramètres!$A$1:$I$89,5,0)</f>
        <v>5.1431925385259092E-13</v>
      </c>
      <c r="BF159" s="13">
        <f t="shared" si="167"/>
        <v>6.3855359115685756E-12</v>
      </c>
      <c r="BG159" s="20">
        <f t="shared" si="168"/>
        <v>1.2017247746441865E-11</v>
      </c>
      <c r="BH159" s="59">
        <f t="shared" si="116"/>
        <v>293.33333333334531</v>
      </c>
      <c r="BI159" s="59">
        <f ca="1">AVERAGE(OFFSET($BH$3,0,0,'Données projet'!$E$11+1,1))-AVERAGE(OFFSET($H$3,0,0,'Données projet'!$E$11+1,1))</f>
        <v>270.87836509222456</v>
      </c>
      <c r="BJ159" s="59">
        <f t="shared" si="146"/>
        <v>205.24998237949734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104.21702472971897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104.21702472971897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5.6843418860808015E-13</v>
      </c>
      <c r="BZ159" s="13">
        <f>BY159*VLOOKUP('Données projet'!$B$12,Paramètres!$A$1:$I$89,3,0)*VLOOKUP('Données projet'!$B$12,Paramètres!$A$1:$I$89,5,0)</f>
        <v>5.763922672485933E-13</v>
      </c>
      <c r="CA159" s="13">
        <f t="shared" si="170"/>
        <v>7.0619171555808457E-12</v>
      </c>
      <c r="CB159" s="20">
        <f t="shared" si="171"/>
        <v>1.3303388911427938E-11</v>
      </c>
      <c r="CC159" s="59">
        <f t="shared" si="119"/>
        <v>293.33333333334662</v>
      </c>
      <c r="CD159" s="59">
        <f ca="1">AVERAGE(OFFSET($CC$3,0,0,'Données projet'!$E$12+1,1))-AVERAGE(OFFSET($H$3,0,0,'Données projet'!$E$12+1,1))</f>
        <v>312.29056285877169</v>
      </c>
      <c r="CE159" s="59">
        <f t="shared" si="148"/>
        <v>233.85454224241693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116.79494150744371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116.79494150744371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1.8717948717948829</v>
      </c>
      <c r="CT159" s="12">
        <f>IF('Données projet'!$A$140&gt;35,CT158+CS159-DB158,IF(A159&lt;'Données projet'!$A$140,$CQ$205^A159,IF(A159='Données projet'!$A$140,'Données projet'!$B$140,CT158+CS159-DB158)))</f>
        <v>130.55769230769181</v>
      </c>
      <c r="CU159" s="17">
        <f>CT159*VLOOKUP('Données projet'!$B$13,Paramètres!$A$1:$I$89,3,0)*VLOOKUP('Données projet'!$B$13,Paramètres!$A$1:$I$89,5,0)</f>
        <v>148.67909999999944</v>
      </c>
      <c r="CV159" s="13">
        <f t="shared" si="173"/>
        <v>38.278252004837029</v>
      </c>
      <c r="CW159" s="20">
        <f t="shared" si="174"/>
        <v>325.61738807509016</v>
      </c>
      <c r="CX159" s="59">
        <f t="shared" si="122"/>
        <v>618.95072140842353</v>
      </c>
      <c r="CY159" s="59">
        <f ca="1">AVERAGE(OFFSET($CX$3,0,0,'Données projet'!$E$13+1,1))-AVERAGE(OFFSET($H$3,0,0,'Données projet'!$E$13+1,1))</f>
        <v>292.22737648725354</v>
      </c>
      <c r="CZ159" s="59">
        <f t="shared" si="150"/>
        <v>182.84038581199871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125.65939912921438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125.65939912921438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1.8717948717948829</v>
      </c>
      <c r="DO159" s="12">
        <f>IF('Données projet'!$A$166&gt;35,DO158+DN159-DW158,IF(A159&lt;'Données projet'!$A$166,$DL$205^A159,IF(A159='Données projet'!$A$166,'Données projet'!$B$166,DO158+DN159-DW158)))</f>
        <v>130.55769230769181</v>
      </c>
      <c r="DP159" s="17">
        <f>DO159*VLOOKUP('Données projet'!$B$14,Paramètres!$A$1:$I$89,3,0)*VLOOKUP('Données projet'!$B$14,Paramètres!$A$1:$I$89,5,0)</f>
        <v>142.56899999999945</v>
      </c>
      <c r="DQ159" s="13">
        <f t="shared" si="176"/>
        <v>36.884903047036914</v>
      </c>
      <c r="DR159" s="20">
        <f t="shared" si="177"/>
        <v>312.54888114025499</v>
      </c>
      <c r="DS159" s="59">
        <f t="shared" si="125"/>
        <v>605.88221447358831</v>
      </c>
      <c r="DT159" s="59">
        <f ca="1">AVERAGE(OFFSET($DS$3,0,0,'Données projet'!$E$14+1,1))-AVERAGE(OFFSET($H$3,0,0,'Données projet'!$E$14+1,1))</f>
        <v>276.52126514622455</v>
      </c>
      <c r="DU159" s="59">
        <f t="shared" si="152"/>
        <v>173.98404849503186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120.49531423349319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120.49531423349319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1.8717948717948829</v>
      </c>
      <c r="EJ159" s="12">
        <f>IF('Données projet'!$A$192&gt;35,EJ158+EI159-ER158,IF(A159&lt;'Données projet'!$A$192,$EG$205^A159,IF(A159='Données projet'!$A$192,'Données projet'!$B$192,EJ158+EI159-ER158)))</f>
        <v>130.55769230769181</v>
      </c>
      <c r="EK159" s="17">
        <f>EJ159*VLOOKUP('Données projet'!$B$15,Paramètres!$A$1:$I$89,3,0)*VLOOKUP('Données projet'!$B$15,Paramètres!$A$1:$I$89,5,0)</f>
        <v>126.27539999999952</v>
      </c>
      <c r="EL159" s="13">
        <f t="shared" si="179"/>
        <v>33.134262987172754</v>
      </c>
      <c r="EM159" s="20">
        <f t="shared" si="180"/>
        <v>277.63849636932508</v>
      </c>
      <c r="EN159" s="59">
        <f t="shared" si="128"/>
        <v>570.9718297026584</v>
      </c>
      <c r="EO159" s="59">
        <f ca="1">AVERAGE(OFFSET($EN$3,0,0,'Données projet'!$E$15+1,1))-AVERAGE(OFFSET($H$3,0,0,'Données projet'!$E$15+1,1))</f>
        <v>234.56750794375012</v>
      </c>
      <c r="EP159" s="59">
        <f t="shared" si="154"/>
        <v>150.32420541314724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106.72442117823687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106.72442117823687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1.5961632016114892E-13</v>
      </c>
      <c r="P160" s="13">
        <f t="shared" si="141"/>
        <v>2.2708641912150958E-12</v>
      </c>
      <c r="Q160" s="20">
        <f t="shared" si="162"/>
        <v>4.2330868906469593E-12</v>
      </c>
      <c r="R160" s="59">
        <f t="shared" si="109"/>
        <v>293.33333333333752</v>
      </c>
      <c r="S160" s="59">
        <f ca="1">AVERAGE(OFFSET($R$3,0,0,'Données projet'!$E$9+1,1))-AVERAGE(OFFSET($H$3,0,0,'Données projet'!$E$9+1,1))</f>
        <v>198.17898804494365</v>
      </c>
      <c r="T160" s="59">
        <f t="shared" si="142"/>
        <v>186.24772922797723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62.566444126837837</v>
      </c>
      <c r="AA160" s="21">
        <f>EXP(-LN(2)/25)*AA159+(1-EXP(-LN(2)/25))/(LN(2)/25)*Calculateur!V160*Calculateur!X160*VLOOKUP('Données projet'!$B$9,Paramètres!$A$1:$I$89,3,0)*0.475*44/12</f>
        <v>10.387993125977065</v>
      </c>
      <c r="AB160" s="21">
        <f>EXP(-LN(2)/2)*AB159+(1-EXP(-LN(2)/2))/(LN(2)/2)*V160*Y160*VLOOKUP('Données projet'!$B$9,Paramètres!$A$1:$I$89,3,0)*0.475*44/12</f>
        <v>3.3060671752918682E-7</v>
      </c>
      <c r="AC160" s="22">
        <f t="shared" si="163"/>
        <v>72.954437583421623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278.21846622758881</v>
      </c>
      <c r="AO160" s="59">
        <f t="shared" si="144"/>
        <v>245.37578316242906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5.6843418860808015E-13</v>
      </c>
      <c r="BE160" s="13">
        <f>BD160*VLOOKUP('Données projet'!$B$11,Paramètres!$A$1:$I$89,3,0)*VLOOKUP('Données projet'!$B$11,Paramètres!$A$1:$I$89,5,0)</f>
        <v>5.1431925385259092E-13</v>
      </c>
      <c r="BF160" s="13">
        <f t="shared" si="167"/>
        <v>6.3855359115685756E-12</v>
      </c>
      <c r="BG160" s="20">
        <f t="shared" si="168"/>
        <v>1.2017247746441865E-11</v>
      </c>
      <c r="BH160" s="59">
        <f t="shared" si="116"/>
        <v>293.33333333334531</v>
      </c>
      <c r="BI160" s="59">
        <f ca="1">AVERAGE(OFFSET($BH$3,0,0,'Données projet'!$E$11+1,1))-AVERAGE(OFFSET($H$3,0,0,'Données projet'!$E$11+1,1))</f>
        <v>270.87836509222456</v>
      </c>
      <c r="BJ160" s="59">
        <f t="shared" si="146"/>
        <v>205.24998237949734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102.17339244087763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102.17339244087763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5.6843418860808015E-13</v>
      </c>
      <c r="BZ160" s="13">
        <f>BY160*VLOOKUP('Données projet'!$B$12,Paramètres!$A$1:$I$89,3,0)*VLOOKUP('Données projet'!$B$12,Paramètres!$A$1:$I$89,5,0)</f>
        <v>5.763922672485933E-13</v>
      </c>
      <c r="CA160" s="13">
        <f t="shared" si="170"/>
        <v>7.0619171555808457E-12</v>
      </c>
      <c r="CB160" s="20">
        <f t="shared" si="171"/>
        <v>1.3303388911427938E-11</v>
      </c>
      <c r="CC160" s="59">
        <f t="shared" si="119"/>
        <v>293.33333333334662</v>
      </c>
      <c r="CD160" s="59">
        <f ca="1">AVERAGE(OFFSET($CC$3,0,0,'Données projet'!$E$12+1,1))-AVERAGE(OFFSET($H$3,0,0,'Données projet'!$E$12+1,1))</f>
        <v>312.29056285877169</v>
      </c>
      <c r="CE160" s="59">
        <f t="shared" si="148"/>
        <v>233.85454224241693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114.5046639423629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114.5046639423629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>
        <f>VLOOKUP(A160,'Données projet'!$A$139:$I$159,2,0)</f>
        <v>132.42948717948718</v>
      </c>
      <c r="CR160" s="12">
        <f>VLOOKUP(A160,'Données projet'!$A$139:$I$159,9,0)</f>
        <v>1.8717948717948829</v>
      </c>
      <c r="CS160" s="12">
        <f t="array" ref="CS160">INDEX(CR:CR,MIN(IF(ISNUMBER(CR160:CR356),ROW(CR160:CR356),"")))</f>
        <v>1.8717948717948829</v>
      </c>
      <c r="CT160" s="12">
        <f>IF('Données projet'!$A$140&gt;35,CT159+CS160-DB159,IF(A160&lt;'Données projet'!$A$140,$CQ$205^A160,IF(A160='Données projet'!$A$140,'Données projet'!$B$140,CT159+CS160-DB159)))</f>
        <v>132.4294871794867</v>
      </c>
      <c r="CU160" s="17">
        <f>CT160*VLOOKUP('Données projet'!$B$13,Paramètres!$A$1:$I$89,3,0)*VLOOKUP('Données projet'!$B$13,Paramètres!$A$1:$I$89,5,0)</f>
        <v>150.81069999999946</v>
      </c>
      <c r="CV160" s="13">
        <f t="shared" si="173"/>
        <v>38.762762269911093</v>
      </c>
      <c r="CW160" s="20">
        <f t="shared" si="174"/>
        <v>330.17378012009414</v>
      </c>
      <c r="CX160" s="59">
        <f t="shared" si="122"/>
        <v>623.50711345342745</v>
      </c>
      <c r="CY160" s="59">
        <f ca="1">AVERAGE(OFFSET($CX$3,0,0,'Données projet'!$E$13+1,1))-AVERAGE(OFFSET($H$3,0,0,'Données projet'!$E$13+1,1))</f>
        <v>292.22737648725354</v>
      </c>
      <c r="CZ160" s="59">
        <f t="shared" si="150"/>
        <v>182.84038581199871</v>
      </c>
      <c r="DA160" s="15">
        <f>IF(ISNA(VLOOKUP(A160,'Données projet'!$A$139:$I$159,3,0)),0,VLOOKUP(A160,'Données projet'!$A$139:$I$159,3,0))</f>
        <v>14</v>
      </c>
      <c r="DB160" s="15">
        <f>IF(ISNA(VLOOKUP(A160,'Données projet'!$A$139:$I$159,4,0)),0,VLOOKUP(A160,'Données projet'!$A$139:$I$159,4,0))</f>
        <v>45.71153846153846</v>
      </c>
      <c r="DC160" s="16">
        <f>IF(ISNA(VLOOKUP(A160,'Données projet'!$A$139:$I$159,5,0)),0%,VLOOKUP(A160,'Données projet'!$A$139:$I$159,5,0)*VLOOKUP('Données projet'!$B$13,Paramètres!$A$1:$I$89,7,0))</f>
        <v>0.38700000000000001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145.46586697385331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145.46586697385331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>
        <f>VLOOKUP(A160,'Données projet'!$A$165:$I$185,2,0)</f>
        <v>132.42948717948718</v>
      </c>
      <c r="DM160" s="12">
        <f>VLOOKUP(A160,'Données projet'!$A$165:$I$185,9,0)</f>
        <v>1.8717948717948829</v>
      </c>
      <c r="DN160" s="12">
        <f t="array" ref="DN160">INDEX(DM:DM,MIN(IF(ISNUMBER(DM160:DM356),ROW(DM160:DM356),"")))</f>
        <v>1.8717948717948829</v>
      </c>
      <c r="DO160" s="12">
        <f>IF('Données projet'!$A$166&gt;35,DO159+DN160-DW159,IF(A160&lt;'Données projet'!$A$166,$DL$205^A160,IF(A160='Données projet'!$A$166,'Données projet'!$B$166,DO159+DN160-DW159)))</f>
        <v>132.4294871794867</v>
      </c>
      <c r="DP160" s="17">
        <f>DO160*VLOOKUP('Données projet'!$B$14,Paramètres!$A$1:$I$89,3,0)*VLOOKUP('Données projet'!$B$14,Paramètres!$A$1:$I$89,5,0)</f>
        <v>144.61299999999946</v>
      </c>
      <c r="DQ160" s="13">
        <f t="shared" si="176"/>
        <v>37.351776877908065</v>
      </c>
      <c r="DR160" s="20">
        <f t="shared" si="177"/>
        <v>316.92198639568892</v>
      </c>
      <c r="DS160" s="59">
        <f t="shared" si="125"/>
        <v>610.25531972902218</v>
      </c>
      <c r="DT160" s="59">
        <f ca="1">AVERAGE(OFFSET($DS$3,0,0,'Données projet'!$E$14+1,1))-AVERAGE(OFFSET($H$3,0,0,'Données projet'!$E$14+1,1))</f>
        <v>276.52126514622455</v>
      </c>
      <c r="DU160" s="59">
        <f t="shared" si="152"/>
        <v>173.98404849503186</v>
      </c>
      <c r="DV160" s="15">
        <f>IF(ISNA(VLOOKUP(A160,'Données projet'!$A$165:$I$185,3,0)),0,VLOOKUP(A160,'Données projet'!$A$165:$I$185,3,0))</f>
        <v>14</v>
      </c>
      <c r="DW160" s="15">
        <f>IF(ISNA(VLOOKUP(A160,'Données projet'!$A$165:$I$185,4,0)),0,VLOOKUP(A160,'Données projet'!$A$165:$I$185,4,0))</f>
        <v>45.71153846153846</v>
      </c>
      <c r="DX160" s="16">
        <f>IF(ISNA(VLOOKUP(A160,'Données projet'!$A$165:$I$185,5,0)),0%,VLOOKUP(A160,'Données projet'!$A$165:$I$185,5,0)*VLOOKUP('Données projet'!$B$14,Paramètres!$A$1:$I$89,7,0))</f>
        <v>0.38700000000000001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139.48781764616066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139.48781764616066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>
        <f>VLOOKUP(A160,'Données projet'!$A$191:$I$211,2,0)</f>
        <v>132.42948717948718</v>
      </c>
      <c r="EH160" s="12">
        <f>VLOOKUP(A160,'Données projet'!$A$191:$I$211,9,0)</f>
        <v>1.8717948717948829</v>
      </c>
      <c r="EI160" s="12">
        <f t="array" ref="EI160">INDEX(EH:EH,MIN(IF(ISNUMBER(EH160:EH356),ROW(EH160:EH356),"")))</f>
        <v>1.8717948717948829</v>
      </c>
      <c r="EJ160" s="12">
        <f>IF('Données projet'!$A$192&gt;35,EJ159+EI160-ER159,IF(A160&lt;'Données projet'!$A$192,$EG$205^A160,IF(A160='Données projet'!$A$192,'Données projet'!$B$192,EJ159+EI160-ER159)))</f>
        <v>132.4294871794867</v>
      </c>
      <c r="EK160" s="17">
        <f>EJ160*VLOOKUP('Données projet'!$B$15,Paramètres!$A$1:$I$89,3,0)*VLOOKUP('Données projet'!$B$15,Paramètres!$A$1:$I$89,5,0)</f>
        <v>128.08579999999955</v>
      </c>
      <c r="EL160" s="13">
        <f t="shared" si="179"/>
        <v>33.553662769088618</v>
      </c>
      <c r="EM160" s="20">
        <f t="shared" si="180"/>
        <v>281.5220643228285</v>
      </c>
      <c r="EN160" s="59">
        <f t="shared" si="128"/>
        <v>574.85539765616181</v>
      </c>
      <c r="EO160" s="59">
        <f ca="1">AVERAGE(OFFSET($EN$3,0,0,'Données projet'!$E$15+1,1))-AVERAGE(OFFSET($H$3,0,0,'Données projet'!$E$15+1,1))</f>
        <v>234.56750794375012</v>
      </c>
      <c r="EP160" s="59">
        <f t="shared" si="154"/>
        <v>150.32420541314724</v>
      </c>
      <c r="EQ160" s="15">
        <f>IF(ISNA(VLOOKUP(A160,'Données projet'!$A$191:$I$211,3,0)),0,VLOOKUP(A160,'Données projet'!$A$191:$I$211,3,0))</f>
        <v>14</v>
      </c>
      <c r="ER160" s="15">
        <f>IF(ISNA(VLOOKUP(A160,'Données projet'!$A$191:$I$211,4,0)),0,VLOOKUP(A160,'Données projet'!$A$191:$I$211,4,0))</f>
        <v>45.71153846153846</v>
      </c>
      <c r="ES160" s="16">
        <f>IF(ISNA(VLOOKUP(A160,'Données projet'!$A$191:$I$211,5,0)),0%,VLOOKUP(A160,'Données projet'!$A$191:$I$211,5,0)*VLOOKUP('Données projet'!$B$15,Paramètres!$A$1:$I$89,7,0))</f>
        <v>0.38700000000000001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123.54635277231377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123.54635277231377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1.5961632016114892E-13</v>
      </c>
      <c r="P161" s="13">
        <f t="shared" si="141"/>
        <v>2.2708641912150958E-12</v>
      </c>
      <c r="Q161" s="20">
        <f t="shared" si="162"/>
        <v>4.2330868906469593E-12</v>
      </c>
      <c r="R161" s="59">
        <f t="shared" si="109"/>
        <v>293.33333333333752</v>
      </c>
      <c r="S161" s="59">
        <f ca="1">AVERAGE(OFFSET($R$3,0,0,'Données projet'!$E$9+1,1))-AVERAGE(OFFSET($H$3,0,0,'Données projet'!$E$9+1,1))</f>
        <v>198.17898804494365</v>
      </c>
      <c r="T161" s="59">
        <f t="shared" si="142"/>
        <v>186.24772922797723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61.339554319273304</v>
      </c>
      <c r="AA161" s="21">
        <f>EXP(-LN(2)/25)*AA160+(1-EXP(-LN(2)/25))/(LN(2)/25)*Calculateur!V161*Calculateur!X161*VLOOKUP('Données projet'!$B$9,Paramètres!$A$1:$I$89,3,0)*0.475*44/12</f>
        <v>10.103932907666406</v>
      </c>
      <c r="AB161" s="21">
        <f>EXP(-LN(2)/2)*AB160+(1-EXP(-LN(2)/2))/(LN(2)/2)*V161*Y161*VLOOKUP('Données projet'!$B$9,Paramètres!$A$1:$I$89,3,0)*0.475*44/12</f>
        <v>2.3377425187071344E-7</v>
      </c>
      <c r="AC161" s="22">
        <f t="shared" si="163"/>
        <v>71.443487460713968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278.21846622758881</v>
      </c>
      <c r="AO161" s="59">
        <f t="shared" si="144"/>
        <v>245.37578316242906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5.6843418860808015E-13</v>
      </c>
      <c r="BE161" s="13">
        <f>BD161*VLOOKUP('Données projet'!$B$11,Paramètres!$A$1:$I$89,3,0)*VLOOKUP('Données projet'!$B$11,Paramètres!$A$1:$I$89,5,0)</f>
        <v>5.1431925385259092E-13</v>
      </c>
      <c r="BF161" s="13">
        <f t="shared" si="167"/>
        <v>6.3855359115685756E-12</v>
      </c>
      <c r="BG161" s="20">
        <f t="shared" si="168"/>
        <v>1.2017247746441865E-11</v>
      </c>
      <c r="BH161" s="59">
        <f t="shared" si="116"/>
        <v>293.33333333334531</v>
      </c>
      <c r="BI161" s="59">
        <f ca="1">AVERAGE(OFFSET($BH$3,0,0,'Données projet'!$E$11+1,1))-AVERAGE(OFFSET($H$3,0,0,'Données projet'!$E$11+1,1))</f>
        <v>270.87836509222456</v>
      </c>
      <c r="BJ161" s="59">
        <f t="shared" si="146"/>
        <v>205.24998237949734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100.16983453472787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100.16983453472787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5.6843418860808015E-13</v>
      </c>
      <c r="BZ161" s="13">
        <f>BY161*VLOOKUP('Données projet'!$B$12,Paramètres!$A$1:$I$89,3,0)*VLOOKUP('Données projet'!$B$12,Paramètres!$A$1:$I$89,5,0)</f>
        <v>5.763922672485933E-13</v>
      </c>
      <c r="CA161" s="13">
        <f t="shared" si="170"/>
        <v>7.0619171555808457E-12</v>
      </c>
      <c r="CB161" s="20">
        <f t="shared" si="171"/>
        <v>1.3303388911427938E-11</v>
      </c>
      <c r="CC161" s="59">
        <f t="shared" si="119"/>
        <v>293.33333333334662</v>
      </c>
      <c r="CD161" s="59">
        <f ca="1">AVERAGE(OFFSET($CC$3,0,0,'Données projet'!$E$12+1,1))-AVERAGE(OFFSET($H$3,0,0,'Données projet'!$E$12+1,1))</f>
        <v>312.29056285877169</v>
      </c>
      <c r="CE161" s="59">
        <f t="shared" si="148"/>
        <v>233.85454224241693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112.25929732340194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112.25929732340194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1.1618589743589709</v>
      </c>
      <c r="CT161" s="12">
        <f>IF('Données projet'!$A$140&gt;35,CT160+CS161-DB160,IF(A161&lt;'Données projet'!$A$140,$CQ$205^A161,IF(A161='Données projet'!$A$140,'Données projet'!$B$140,CT160+CS161-DB160)))</f>
        <v>87.879807692307224</v>
      </c>
      <c r="CU161" s="17">
        <f>CT161*VLOOKUP('Données projet'!$B$13,Paramètres!$A$1:$I$89,3,0)*VLOOKUP('Données projet'!$B$13,Paramètres!$A$1:$I$89,5,0)</f>
        <v>100.07752499999945</v>
      </c>
      <c r="CV161" s="13">
        <f t="shared" si="173"/>
        <v>26.980465977472768</v>
      </c>
      <c r="CW161" s="20">
        <f t="shared" si="174"/>
        <v>221.29266761909744</v>
      </c>
      <c r="CX161" s="59">
        <f t="shared" si="122"/>
        <v>514.62600095243079</v>
      </c>
      <c r="CY161" s="59">
        <f ca="1">AVERAGE(OFFSET($CX$3,0,0,'Données projet'!$E$13+1,1))-AVERAGE(OFFSET($H$3,0,0,'Données projet'!$E$13+1,1))</f>
        <v>292.22737648725354</v>
      </c>
      <c r="CZ161" s="59">
        <f t="shared" si="150"/>
        <v>182.84038581199871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142.613370047914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142.613370047914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1.1618589743589709</v>
      </c>
      <c r="DO161" s="12">
        <f>IF('Données projet'!$A$166&gt;35,DO160+DN161-DW160,IF(A161&lt;'Données projet'!$A$166,$DL$205^A161,IF(A161='Données projet'!$A$166,'Données projet'!$B$166,DO160+DN161-DW160)))</f>
        <v>87.879807692307224</v>
      </c>
      <c r="DP161" s="17">
        <f>DO161*VLOOKUP('Données projet'!$B$14,Paramètres!$A$1:$I$89,3,0)*VLOOKUP('Données projet'!$B$14,Paramètres!$A$1:$I$89,5,0)</f>
        <v>95.964749999999484</v>
      </c>
      <c r="DQ161" s="13">
        <f t="shared" si="176"/>
        <v>25.998362506657966</v>
      </c>
      <c r="DR161" s="20">
        <f t="shared" si="177"/>
        <v>212.4190876157617</v>
      </c>
      <c r="DS161" s="59">
        <f t="shared" si="125"/>
        <v>505.75242094909504</v>
      </c>
      <c r="DT161" s="59">
        <f ca="1">AVERAGE(OFFSET($DS$3,0,0,'Données projet'!$E$14+1,1))-AVERAGE(OFFSET($H$3,0,0,'Données projet'!$E$14+1,1))</f>
        <v>276.52126514622455</v>
      </c>
      <c r="DU161" s="59">
        <f t="shared" si="152"/>
        <v>173.98404849503186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136.75254662128734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136.75254662128734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1.1618589743589709</v>
      </c>
      <c r="EJ161" s="12">
        <f>IF('Données projet'!$A$192&gt;35,EJ160+EI161-ER160,IF(A161&lt;'Données projet'!$A$192,$EG$205^A161,IF(A161='Données projet'!$A$192,'Données projet'!$B$192,EJ160+EI161-ER160)))</f>
        <v>87.879807692307224</v>
      </c>
      <c r="EK161" s="17">
        <f>EJ161*VLOOKUP('Données projet'!$B$15,Paramètres!$A$1:$I$89,3,0)*VLOOKUP('Données projet'!$B$15,Paramètres!$A$1:$I$89,5,0)</f>
        <v>84.997349999999543</v>
      </c>
      <c r="EL161" s="13">
        <f t="shared" si="179"/>
        <v>23.354719936037892</v>
      </c>
      <c r="EM161" s="20">
        <f t="shared" si="180"/>
        <v>188.71318847193186</v>
      </c>
      <c r="EN161" s="59">
        <f t="shared" si="128"/>
        <v>482.04652180526517</v>
      </c>
      <c r="EO161" s="59">
        <f ca="1">AVERAGE(OFFSET($EN$3,0,0,'Données projet'!$E$15+1,1))-AVERAGE(OFFSET($H$3,0,0,'Données projet'!$E$15+1,1))</f>
        <v>234.56750794375012</v>
      </c>
      <c r="EP161" s="59">
        <f t="shared" si="154"/>
        <v>150.32420541314724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121.12368415028311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121.12368415028311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1.5961632016114892E-13</v>
      </c>
      <c r="P162" s="13">
        <f t="shared" si="141"/>
        <v>2.2708641912150958E-12</v>
      </c>
      <c r="Q162" s="20">
        <f t="shared" si="162"/>
        <v>4.2330868906469593E-12</v>
      </c>
      <c r="R162" s="59">
        <f t="shared" si="109"/>
        <v>293.33333333333752</v>
      </c>
      <c r="S162" s="59">
        <f ca="1">AVERAGE(OFFSET($R$3,0,0,'Données projet'!$E$9+1,1))-AVERAGE(OFFSET($H$3,0,0,'Données projet'!$E$9+1,1))</f>
        <v>198.17898804494365</v>
      </c>
      <c r="T162" s="59">
        <f t="shared" si="142"/>
        <v>186.24772922797723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60.136723072506221</v>
      </c>
      <c r="AA162" s="21">
        <f>EXP(-LN(2)/25)*AA161+(1-EXP(-LN(2)/25))/(LN(2)/25)*Calculateur!V162*Calculateur!X162*VLOOKUP('Données projet'!$B$9,Paramètres!$A$1:$I$89,3,0)*0.475*44/12</f>
        <v>9.8276403309635292</v>
      </c>
      <c r="AB162" s="21">
        <f>EXP(-LN(2)/2)*AB161+(1-EXP(-LN(2)/2))/(LN(2)/2)*V162*Y162*VLOOKUP('Données projet'!$B$9,Paramètres!$A$1:$I$89,3,0)*0.475*44/12</f>
        <v>1.6530335876459344E-7</v>
      </c>
      <c r="AC162" s="22">
        <f t="shared" si="163"/>
        <v>69.964363568773109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278.21846622758881</v>
      </c>
      <c r="AO162" s="59">
        <f t="shared" si="144"/>
        <v>245.37578316242906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5.6843418860808015E-13</v>
      </c>
      <c r="BE162" s="13">
        <f>BD162*VLOOKUP('Données projet'!$B$11,Paramètres!$A$1:$I$89,3,0)*VLOOKUP('Données projet'!$B$11,Paramètres!$A$1:$I$89,5,0)</f>
        <v>5.1431925385259092E-13</v>
      </c>
      <c r="BF162" s="13">
        <f t="shared" si="167"/>
        <v>6.3855359115685756E-12</v>
      </c>
      <c r="BG162" s="20">
        <f t="shared" si="168"/>
        <v>1.2017247746441865E-11</v>
      </c>
      <c r="BH162" s="59">
        <f t="shared" si="116"/>
        <v>293.33333333334531</v>
      </c>
      <c r="BI162" s="59">
        <f ca="1">AVERAGE(OFFSET($BH$3,0,0,'Données projet'!$E$11+1,1))-AVERAGE(OFFSET($H$3,0,0,'Données projet'!$E$11+1,1))</f>
        <v>270.87836509222456</v>
      </c>
      <c r="BJ162" s="59">
        <f t="shared" si="146"/>
        <v>205.24998237949734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98.205565177068038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98.205565177068038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5.6843418860808015E-13</v>
      </c>
      <c r="BZ162" s="13">
        <f>BY162*VLOOKUP('Données projet'!$B$12,Paramètres!$A$1:$I$89,3,0)*VLOOKUP('Données projet'!$B$12,Paramètres!$A$1:$I$89,5,0)</f>
        <v>5.763922672485933E-13</v>
      </c>
      <c r="CA162" s="13">
        <f t="shared" si="170"/>
        <v>7.0619171555808457E-12</v>
      </c>
      <c r="CB162" s="20">
        <f t="shared" si="171"/>
        <v>1.3303388911427938E-11</v>
      </c>
      <c r="CC162" s="59">
        <f t="shared" si="119"/>
        <v>293.33333333334662</v>
      </c>
      <c r="CD162" s="59">
        <f ca="1">AVERAGE(OFFSET($CC$3,0,0,'Données projet'!$E$12+1,1))-AVERAGE(OFFSET($H$3,0,0,'Données projet'!$E$12+1,1))</f>
        <v>312.29056285877169</v>
      </c>
      <c r="CE162" s="59">
        <f t="shared" si="148"/>
        <v>233.85454224241693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110.0579609743004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110.0579609743004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1.1618589743589709</v>
      </c>
      <c r="CT162" s="12">
        <f>IF('Données projet'!$A$140&gt;35,CT161+CS162-DB161,IF(A162&lt;'Données projet'!$A$140,$CQ$205^A162,IF(A162='Données projet'!$A$140,'Données projet'!$B$140,CT161+CS162-DB161)))</f>
        <v>89.041666666666202</v>
      </c>
      <c r="CU162" s="17">
        <f>CT162*VLOOKUP('Données projet'!$B$13,Paramètres!$A$1:$I$89,3,0)*VLOOKUP('Données projet'!$B$13,Paramètres!$A$1:$I$89,5,0)</f>
        <v>101.40064999999947</v>
      </c>
      <c r="CV162" s="13">
        <f t="shared" si="173"/>
        <v>27.295412490536197</v>
      </c>
      <c r="CW162" s="20">
        <f t="shared" si="174"/>
        <v>224.14564217101625</v>
      </c>
      <c r="CX162" s="59">
        <f t="shared" si="122"/>
        <v>517.47897550434959</v>
      </c>
      <c r="CY162" s="59">
        <f ca="1">AVERAGE(OFFSET($CX$3,0,0,'Données projet'!$E$13+1,1))-AVERAGE(OFFSET($H$3,0,0,'Données projet'!$E$13+1,1))</f>
        <v>292.22737648725354</v>
      </c>
      <c r="CZ162" s="59">
        <f t="shared" si="150"/>
        <v>182.84038581199871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139.81680884684101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139.81680884684101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1.1618589743589709</v>
      </c>
      <c r="DO162" s="12">
        <f>IF('Données projet'!$A$166&gt;35,DO161+DN162-DW161,IF(A162&lt;'Données projet'!$A$166,$DL$205^A162,IF(A162='Données projet'!$A$166,'Données projet'!$B$166,DO161+DN162-DW161)))</f>
        <v>89.041666666666202</v>
      </c>
      <c r="DP162" s="17">
        <f>DO162*VLOOKUP('Données projet'!$B$14,Paramètres!$A$1:$I$89,3,0)*VLOOKUP('Données projet'!$B$14,Paramètres!$A$1:$I$89,5,0)</f>
        <v>97.233499999999495</v>
      </c>
      <c r="DQ162" s="13">
        <f t="shared" si="176"/>
        <v>26.301844797277688</v>
      </c>
      <c r="DR162" s="20">
        <f t="shared" si="177"/>
        <v>215.1573921885911</v>
      </c>
      <c r="DS162" s="59">
        <f t="shared" si="125"/>
        <v>508.49072552192445</v>
      </c>
      <c r="DT162" s="59">
        <f ca="1">AVERAGE(OFFSET($DS$3,0,0,'Données projet'!$E$14+1,1))-AVERAGE(OFFSET($H$3,0,0,'Données projet'!$E$14+1,1))</f>
        <v>276.52126514622455</v>
      </c>
      <c r="DU162" s="59">
        <f t="shared" si="152"/>
        <v>173.98404849503186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134.07091259286119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134.07091259286119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1.1618589743589709</v>
      </c>
      <c r="EJ162" s="12">
        <f>IF('Données projet'!$A$192&gt;35,EJ161+EI162-ER161,IF(A162&lt;'Données projet'!$A$192,$EG$205^A162,IF(A162='Données projet'!$A$192,'Données projet'!$B$192,EJ161+EI162-ER161)))</f>
        <v>89.041666666666202</v>
      </c>
      <c r="EK162" s="17">
        <f>EJ162*VLOOKUP('Données projet'!$B$15,Paramètres!$A$1:$I$89,3,0)*VLOOKUP('Données projet'!$B$15,Paramètres!$A$1:$I$89,5,0)</f>
        <v>86.121099999999558</v>
      </c>
      <c r="EL162" s="13">
        <f t="shared" si="179"/>
        <v>23.627342640685377</v>
      </c>
      <c r="EM162" s="20">
        <f t="shared" si="180"/>
        <v>191.14520426585958</v>
      </c>
      <c r="EN162" s="59">
        <f t="shared" si="128"/>
        <v>484.47853759919292</v>
      </c>
      <c r="EO162" s="59">
        <f ca="1">AVERAGE(OFFSET($EN$3,0,0,'Données projet'!$E$15+1,1))-AVERAGE(OFFSET($H$3,0,0,'Données projet'!$E$15+1,1))</f>
        <v>234.56750794375012</v>
      </c>
      <c r="EP162" s="59">
        <f t="shared" si="154"/>
        <v>150.32420541314724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118.74852258224853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118.74852258224853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1.5961632016114892E-13</v>
      </c>
      <c r="P163" s="13">
        <f t="shared" si="141"/>
        <v>2.2708641912150958E-12</v>
      </c>
      <c r="Q163" s="20">
        <f t="shared" si="162"/>
        <v>4.2330868906469593E-12</v>
      </c>
      <c r="R163" s="59">
        <f t="shared" si="109"/>
        <v>293.33333333333752</v>
      </c>
      <c r="S163" s="59">
        <f ca="1">AVERAGE(OFFSET($R$3,0,0,'Données projet'!$E$9+1,1))-AVERAGE(OFFSET($H$3,0,0,'Données projet'!$E$9+1,1))</f>
        <v>198.17898804494365</v>
      </c>
      <c r="T163" s="59">
        <f t="shared" si="142"/>
        <v>186.24772922797723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58.957478612833619</v>
      </c>
      <c r="AA163" s="21">
        <f>EXP(-LN(2)/25)*AA162+(1-EXP(-LN(2)/25))/(LN(2)/25)*Calculateur!V163*Calculateur!X163*VLOOKUP('Données projet'!$B$9,Paramètres!$A$1:$I$89,3,0)*0.475*44/12</f>
        <v>9.5589029893001882</v>
      </c>
      <c r="AB163" s="21">
        <f>EXP(-LN(2)/2)*AB162+(1-EXP(-LN(2)/2))/(LN(2)/2)*V163*Y163*VLOOKUP('Données projet'!$B$9,Paramètres!$A$1:$I$89,3,0)*0.475*44/12</f>
        <v>1.1688712593535675E-7</v>
      </c>
      <c r="AC163" s="22">
        <f t="shared" si="163"/>
        <v>68.516381719020927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278.21846622758881</v>
      </c>
      <c r="AO163" s="59">
        <f t="shared" si="144"/>
        <v>245.37578316242906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5.6843418860808015E-13</v>
      </c>
      <c r="BE163" s="13">
        <f>BD163*VLOOKUP('Données projet'!$B$11,Paramètres!$A$1:$I$89,3,0)*VLOOKUP('Données projet'!$B$11,Paramètres!$A$1:$I$89,5,0)</f>
        <v>5.1431925385259092E-13</v>
      </c>
      <c r="BF163" s="13">
        <f t="shared" si="167"/>
        <v>6.3855359115685756E-12</v>
      </c>
      <c r="BG163" s="20">
        <f t="shared" si="168"/>
        <v>1.2017247746441865E-11</v>
      </c>
      <c r="BH163" s="59">
        <f t="shared" si="116"/>
        <v>293.33333333334531</v>
      </c>
      <c r="BI163" s="59">
        <f ca="1">AVERAGE(OFFSET($BH$3,0,0,'Données projet'!$E$11+1,1))-AVERAGE(OFFSET($H$3,0,0,'Données projet'!$E$11+1,1))</f>
        <v>270.87836509222456</v>
      </c>
      <c r="BJ163" s="59">
        <f t="shared" si="146"/>
        <v>205.24998237949734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96.279813943425907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96.279813943425907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5.6843418860808015E-13</v>
      </c>
      <c r="BZ163" s="13">
        <f>BY163*VLOOKUP('Données projet'!$B$12,Paramètres!$A$1:$I$89,3,0)*VLOOKUP('Données projet'!$B$12,Paramètres!$A$1:$I$89,5,0)</f>
        <v>5.763922672485933E-13</v>
      </c>
      <c r="CA163" s="13">
        <f t="shared" si="170"/>
        <v>7.0619171555808457E-12</v>
      </c>
      <c r="CB163" s="20">
        <f t="shared" si="171"/>
        <v>1.3303388911427938E-11</v>
      </c>
      <c r="CC163" s="59">
        <f t="shared" si="119"/>
        <v>293.33333333334662</v>
      </c>
      <c r="CD163" s="59">
        <f ca="1">AVERAGE(OFFSET($CC$3,0,0,'Données projet'!$E$12+1,1))-AVERAGE(OFFSET($H$3,0,0,'Données projet'!$E$12+1,1))</f>
        <v>312.29056285877169</v>
      </c>
      <c r="CE163" s="59">
        <f t="shared" si="148"/>
        <v>233.85454224241693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107.89979148832215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107.89979148832215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1.1618589743589709</v>
      </c>
      <c r="CT163" s="12">
        <f>IF('Données projet'!$A$140&gt;35,CT162+CS163-DB162,IF(A163&lt;'Données projet'!$A$140,$CQ$205^A163,IF(A163='Données projet'!$A$140,'Données projet'!$B$140,CT162+CS163-DB162)))</f>
        <v>90.20352564102518</v>
      </c>
      <c r="CU163" s="17">
        <f>CT163*VLOOKUP('Données projet'!$B$13,Paramètres!$A$1:$I$89,3,0)*VLOOKUP('Données projet'!$B$13,Paramètres!$A$1:$I$89,5,0)</f>
        <v>102.72377499999948</v>
      </c>
      <c r="CV163" s="13">
        <f t="shared" si="173"/>
        <v>27.609880997781968</v>
      </c>
      <c r="CW163" s="20">
        <f t="shared" si="174"/>
        <v>226.997784196136</v>
      </c>
      <c r="CX163" s="59">
        <f t="shared" si="122"/>
        <v>520.33111752946934</v>
      </c>
      <c r="CY163" s="59">
        <f ca="1">AVERAGE(OFFSET($CX$3,0,0,'Données projet'!$E$13+1,1))-AVERAGE(OFFSET($H$3,0,0,'Données projet'!$E$13+1,1))</f>
        <v>292.22737648725354</v>
      </c>
      <c r="CZ163" s="59">
        <f t="shared" si="150"/>
        <v>182.84038581199871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137.07508650518719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137.07508650518719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1.1618589743589709</v>
      </c>
      <c r="DO163" s="12">
        <f>IF('Données projet'!$A$166&gt;35,DO162+DN163-DW162,IF(A163&lt;'Données projet'!$A$166,$DL$205^A163,IF(A163='Données projet'!$A$166,'Données projet'!$B$166,DO162+DN163-DW162)))</f>
        <v>90.20352564102518</v>
      </c>
      <c r="DP163" s="17">
        <f>DO163*VLOOKUP('Données projet'!$B$14,Paramètres!$A$1:$I$89,3,0)*VLOOKUP('Données projet'!$B$14,Paramètres!$A$1:$I$89,5,0)</f>
        <v>98.502249999999492</v>
      </c>
      <c r="DQ163" s="13">
        <f t="shared" si="176"/>
        <v>26.604866481748569</v>
      </c>
      <c r="DR163" s="20">
        <f t="shared" si="177"/>
        <v>217.89489453904454</v>
      </c>
      <c r="DS163" s="59">
        <f t="shared" si="125"/>
        <v>511.22822787237783</v>
      </c>
      <c r="DT163" s="59">
        <f ca="1">AVERAGE(OFFSET($DS$3,0,0,'Données projet'!$E$14+1,1))-AVERAGE(OFFSET($H$3,0,0,'Données projet'!$E$14+1,1))</f>
        <v>276.52126514622455</v>
      </c>
      <c r="DU163" s="59">
        <f t="shared" si="152"/>
        <v>173.98404849503186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131.44186377209724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131.44186377209724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1.1618589743589709</v>
      </c>
      <c r="EJ163" s="12">
        <f>IF('Données projet'!$A$192&gt;35,EJ162+EI163-ER162,IF(A163&lt;'Données projet'!$A$192,$EG$205^A163,IF(A163='Données projet'!$A$192,'Données projet'!$B$192,EJ162+EI163-ER162)))</f>
        <v>90.20352564102518</v>
      </c>
      <c r="EK163" s="17">
        <f>EJ163*VLOOKUP('Données projet'!$B$15,Paramètres!$A$1:$I$89,3,0)*VLOOKUP('Données projet'!$B$15,Paramètres!$A$1:$I$89,5,0)</f>
        <v>87.244849999999559</v>
      </c>
      <c r="EL163" s="13">
        <f t="shared" si="179"/>
        <v>23.899551575903931</v>
      </c>
      <c r="EM163" s="20">
        <f t="shared" si="180"/>
        <v>193.57649941136523</v>
      </c>
      <c r="EN163" s="59">
        <f t="shared" si="128"/>
        <v>486.90983274469852</v>
      </c>
      <c r="EO163" s="59">
        <f ca="1">AVERAGE(OFFSET($EN$3,0,0,'Données projet'!$E$15+1,1))-AVERAGE(OFFSET($H$3,0,0,'Données projet'!$E$15+1,1))</f>
        <v>234.56750794375012</v>
      </c>
      <c r="EP163" s="59">
        <f t="shared" si="154"/>
        <v>150.32420541314724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116.4199364838576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116.4199364838576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1.5961632016114892E-13</v>
      </c>
      <c r="P164" s="13">
        <f t="shared" si="141"/>
        <v>2.2708641912150958E-12</v>
      </c>
      <c r="Q164" s="20">
        <f t="shared" si="162"/>
        <v>4.2330868906469593E-12</v>
      </c>
      <c r="R164" s="59">
        <f t="shared" si="109"/>
        <v>293.33333333333752</v>
      </c>
      <c r="S164" s="59">
        <f ca="1">AVERAGE(OFFSET($R$3,0,0,'Données projet'!$E$9+1,1))-AVERAGE(OFFSET($H$3,0,0,'Données projet'!$E$9+1,1))</f>
        <v>198.17898804494365</v>
      </c>
      <c r="T164" s="59">
        <f t="shared" si="142"/>
        <v>186.24772922797723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57.801358417747096</v>
      </c>
      <c r="AA164" s="21">
        <f>EXP(-LN(2)/25)*AA163+(1-EXP(-LN(2)/25))/(LN(2)/25)*Calculateur!V164*Calculateur!X164*VLOOKUP('Données projet'!$B$9,Paramètres!$A$1:$I$89,3,0)*0.475*44/12</f>
        <v>9.2975142843769127</v>
      </c>
      <c r="AB164" s="21">
        <f>EXP(-LN(2)/2)*AB163+(1-EXP(-LN(2)/2))/(LN(2)/2)*V164*Y164*VLOOKUP('Données projet'!$B$9,Paramètres!$A$1:$I$89,3,0)*0.475*44/12</f>
        <v>8.2651679382296732E-8</v>
      </c>
      <c r="AC164" s="22">
        <f t="shared" si="163"/>
        <v>67.098872784775693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278.21846622758881</v>
      </c>
      <c r="AO164" s="59">
        <f t="shared" si="144"/>
        <v>245.37578316242906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5.6843418860808015E-13</v>
      </c>
      <c r="BE164" s="13">
        <f>BD164*VLOOKUP('Données projet'!$B$11,Paramètres!$A$1:$I$89,3,0)*VLOOKUP('Données projet'!$B$11,Paramètres!$A$1:$I$89,5,0)</f>
        <v>5.1431925385259092E-13</v>
      </c>
      <c r="BF164" s="13">
        <f t="shared" si="167"/>
        <v>6.3855359115685756E-12</v>
      </c>
      <c r="BG164" s="20">
        <f t="shared" si="168"/>
        <v>1.2017247746441865E-11</v>
      </c>
      <c r="BH164" s="59">
        <f t="shared" si="116"/>
        <v>293.33333333334531</v>
      </c>
      <c r="BI164" s="59">
        <f ca="1">AVERAGE(OFFSET($BH$3,0,0,'Données projet'!$E$11+1,1))-AVERAGE(OFFSET($H$3,0,0,'Données projet'!$E$11+1,1))</f>
        <v>270.87836509222456</v>
      </c>
      <c r="BJ164" s="59">
        <f t="shared" si="146"/>
        <v>205.24998237949734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94.39182551688323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94.39182551688323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5.6843418860808015E-13</v>
      </c>
      <c r="BZ164" s="13">
        <f>BY164*VLOOKUP('Données projet'!$B$12,Paramètres!$A$1:$I$89,3,0)*VLOOKUP('Données projet'!$B$12,Paramètres!$A$1:$I$89,5,0)</f>
        <v>5.763922672485933E-13</v>
      </c>
      <c r="CA164" s="13">
        <f t="shared" si="170"/>
        <v>7.0619171555808457E-12</v>
      </c>
      <c r="CB164" s="20">
        <f t="shared" si="171"/>
        <v>1.3303388911427938E-11</v>
      </c>
      <c r="CC164" s="59">
        <f t="shared" si="119"/>
        <v>293.33333333334662</v>
      </c>
      <c r="CD164" s="59">
        <f ca="1">AVERAGE(OFFSET($CC$3,0,0,'Données projet'!$E$12+1,1))-AVERAGE(OFFSET($H$3,0,0,'Données projet'!$E$12+1,1))</f>
        <v>312.29056285877169</v>
      </c>
      <c r="CE164" s="59">
        <f t="shared" si="148"/>
        <v>233.85454224241693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105.78394238961053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105.78394238961053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>
        <f>VLOOKUP(A164,'Données projet'!$A$139:$I$159,2,0)</f>
        <v>91.365384615384613</v>
      </c>
      <c r="CR164" s="12">
        <f>VLOOKUP(A164,'Données projet'!$A$139:$I$159,9,0)</f>
        <v>1.1618589743589709</v>
      </c>
      <c r="CS164" s="12">
        <f t="array" ref="CS164">INDEX(CR:CR,MIN(IF(ISNUMBER(CR164:CR360),ROW(CR164:CR360),"")))</f>
        <v>1.1618589743589709</v>
      </c>
      <c r="CT164" s="12">
        <f>IF('Données projet'!$A$140&gt;35,CT163+CS164-DB163,IF(A164&lt;'Données projet'!$A$140,$CQ$205^A164,IF(A164='Données projet'!$A$140,'Données projet'!$B$140,CT163+CS164-DB163)))</f>
        <v>91.365384615384158</v>
      </c>
      <c r="CU164" s="17">
        <f>CT164*VLOOKUP('Données projet'!$B$13,Paramètres!$A$1:$I$89,3,0)*VLOOKUP('Données projet'!$B$13,Paramètres!$A$1:$I$89,5,0)</f>
        <v>104.04689999999947</v>
      </c>
      <c r="CV164" s="13">
        <f t="shared" si="173"/>
        <v>27.923878368020773</v>
      </c>
      <c r="CW164" s="20">
        <f t="shared" si="174"/>
        <v>229.84910565763525</v>
      </c>
      <c r="CX164" s="59">
        <f t="shared" si="122"/>
        <v>523.18243899096854</v>
      </c>
      <c r="CY164" s="59">
        <f ca="1">AVERAGE(OFFSET($CX$3,0,0,'Données projet'!$E$13+1,1))-AVERAGE(OFFSET($H$3,0,0,'Données projet'!$E$13+1,1))</f>
        <v>292.22737648725354</v>
      </c>
      <c r="CZ164" s="59">
        <f t="shared" si="150"/>
        <v>182.84038581199871</v>
      </c>
      <c r="DA164" s="15">
        <f>IF(ISNA(VLOOKUP(A164,'Données projet'!$A$139:$I$159,3,0)),0,VLOOKUP(A164,'Données projet'!$A$139:$I$159,3,0))</f>
        <v>15</v>
      </c>
      <c r="DB164" s="15">
        <f>IF(ISNA(VLOOKUP(A164,'Données projet'!$A$139:$I$159,4,0)),0,VLOOKUP(A164,'Données projet'!$A$139:$I$159,4,0))</f>
        <v>91.365384615384613</v>
      </c>
      <c r="DC164" s="16">
        <f>IF(ISNA(VLOOKUP(A164,'Données projet'!$A$139:$I$159,5,0)),0%,VLOOKUP(A164,'Données projet'!$A$139:$I$159,5,0)*VLOOKUP('Données projet'!$B$13,Paramètres!$A$1:$I$89,7,0))</f>
        <v>0.38700000000000001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178.90016412083946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178.90016412083946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>
        <f>VLOOKUP(A164,'Données projet'!$A$165:$I$185,2,0)</f>
        <v>91.365384615384613</v>
      </c>
      <c r="DM164" s="12">
        <f>VLOOKUP(A164,'Données projet'!$A$165:$I$185,9,0)</f>
        <v>1.1618589743589709</v>
      </c>
      <c r="DN164" s="12">
        <f t="array" ref="DN164">INDEX(DM:DM,MIN(IF(ISNUMBER(DM164:DM360),ROW(DM164:DM360),"")))</f>
        <v>1.1618589743589709</v>
      </c>
      <c r="DO164" s="12">
        <f>IF('Données projet'!$A$166&gt;35,DO163+DN164-DW163,IF(A164&lt;'Données projet'!$A$166,$DL$205^A164,IF(A164='Données projet'!$A$166,'Données projet'!$B$166,DO163+DN164-DW163)))</f>
        <v>91.365384615384158</v>
      </c>
      <c r="DP164" s="17">
        <f>DO164*VLOOKUP('Données projet'!$B$14,Paramètres!$A$1:$I$89,3,0)*VLOOKUP('Données projet'!$B$14,Paramètres!$A$1:$I$89,5,0)</f>
        <v>99.770999999999503</v>
      </c>
      <c r="DQ164" s="13">
        <f t="shared" si="176"/>
        <v>26.907434178852906</v>
      </c>
      <c r="DR164" s="20">
        <f t="shared" si="177"/>
        <v>220.6316061948346</v>
      </c>
      <c r="DS164" s="59">
        <f t="shared" si="125"/>
        <v>513.96493952816786</v>
      </c>
      <c r="DT164" s="59">
        <f ca="1">AVERAGE(OFFSET($DS$3,0,0,'Données projet'!$E$14+1,1))-AVERAGE(OFFSET($H$3,0,0,'Données projet'!$E$14+1,1))</f>
        <v>276.52126514622455</v>
      </c>
      <c r="DU164" s="59">
        <f t="shared" si="152"/>
        <v>173.98404849503186</v>
      </c>
      <c r="DV164" s="15">
        <f>IF(ISNA(VLOOKUP(A164,'Données projet'!$A$165:$I$185,3,0)),0,VLOOKUP(A164,'Données projet'!$A$165:$I$185,3,0))</f>
        <v>15</v>
      </c>
      <c r="DW164" s="15">
        <f>IF(ISNA(VLOOKUP(A164,'Données projet'!$A$165:$I$185,4,0)),0,VLOOKUP(A164,'Données projet'!$A$165:$I$185,4,0))</f>
        <v>91.365384615384613</v>
      </c>
      <c r="DX164" s="16">
        <f>IF(ISNA(VLOOKUP(A164,'Données projet'!$A$165:$I$185,5,0)),0%,VLOOKUP(A164,'Données projet'!$A$165:$I$185,5,0)*VLOOKUP('Données projet'!$B$14,Paramètres!$A$1:$I$89,7,0))</f>
        <v>0.38700000000000001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171.54810258162686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171.54810258162686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>
        <f>VLOOKUP(A164,'Données projet'!$A$191:$I$211,2,0)</f>
        <v>91.365384615384613</v>
      </c>
      <c r="EH164" s="12">
        <f>VLOOKUP(A164,'Données projet'!$A$191:$I$211,9,0)</f>
        <v>1.1618589743589709</v>
      </c>
      <c r="EI164" s="12">
        <f t="array" ref="EI164">INDEX(EH:EH,MIN(IF(ISNUMBER(EH164:EH360),ROW(EH164:EH360),"")))</f>
        <v>1.1618589743589709</v>
      </c>
      <c r="EJ164" s="12">
        <f>IF('Données projet'!$A$192&gt;35,EJ163+EI164-ER163,IF(A164&lt;'Données projet'!$A$192,$EG$205^A164,IF(A164='Données projet'!$A$192,'Données projet'!$B$192,EJ163+EI164-ER163)))</f>
        <v>91.365384615384158</v>
      </c>
      <c r="EK164" s="17">
        <f>EJ164*VLOOKUP('Données projet'!$B$15,Paramètres!$A$1:$I$89,3,0)*VLOOKUP('Données projet'!$B$15,Paramètres!$A$1:$I$89,5,0)</f>
        <v>88.36859999999956</v>
      </c>
      <c r="EL164" s="13">
        <f t="shared" si="179"/>
        <v>24.171352687445268</v>
      </c>
      <c r="EM164" s="20">
        <f t="shared" si="180"/>
        <v>196.00708426396639</v>
      </c>
      <c r="EN164" s="59">
        <f t="shared" si="128"/>
        <v>489.34041759729973</v>
      </c>
      <c r="EO164" s="59">
        <f ca="1">AVERAGE(OFFSET($EN$3,0,0,'Données projet'!$E$15+1,1))-AVERAGE(OFFSET($H$3,0,0,'Données projet'!$E$15+1,1))</f>
        <v>234.56750794375012</v>
      </c>
      <c r="EP164" s="59">
        <f t="shared" si="154"/>
        <v>150.32420541314724</v>
      </c>
      <c r="EQ164" s="15">
        <f>IF(ISNA(VLOOKUP(A164,'Données projet'!$A$191:$I$211,3,0)),0,VLOOKUP(A164,'Données projet'!$A$191:$I$211,3,0))</f>
        <v>15</v>
      </c>
      <c r="ER164" s="15">
        <f>IF(ISNA(VLOOKUP(A164,'Données projet'!$A$191:$I$211,4,0)),0,VLOOKUP(A164,'Données projet'!$A$191:$I$211,4,0))</f>
        <v>91.365384615384613</v>
      </c>
      <c r="ES164" s="16">
        <f>IF(ISNA(VLOOKUP(A164,'Données projet'!$A$191:$I$211,5,0)),0%,VLOOKUP(A164,'Données projet'!$A$191:$I$211,5,0)*VLOOKUP('Données projet'!$B$15,Paramètres!$A$1:$I$89,7,0))</f>
        <v>0.38700000000000001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151.94260514372667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151.94260514372667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1.5961632016114892E-13</v>
      </c>
      <c r="P165" s="13">
        <f t="shared" si="141"/>
        <v>2.2708641912150958E-12</v>
      </c>
      <c r="Q165" s="20">
        <f t="shared" si="162"/>
        <v>4.2330868906469593E-12</v>
      </c>
      <c r="R165" s="59">
        <f t="shared" si="109"/>
        <v>293.33333333333752</v>
      </c>
      <c r="S165" s="59">
        <f ca="1">AVERAGE(OFFSET($R$3,0,0,'Données projet'!$E$9+1,1))-AVERAGE(OFFSET($H$3,0,0,'Données projet'!$E$9+1,1))</f>
        <v>198.17898804494365</v>
      </c>
      <c r="T165" s="59">
        <f t="shared" si="142"/>
        <v>186.24772922797723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56.66790903452253</v>
      </c>
      <c r="AA165" s="21">
        <f>EXP(-LN(2)/25)*AA164+(1-EXP(-LN(2)/25))/(LN(2)/25)*Calculateur!V165*Calculateur!X165*VLOOKUP('Données projet'!$B$9,Paramètres!$A$1:$I$89,3,0)*0.475*44/12</f>
        <v>9.0432732673356</v>
      </c>
      <c r="AB165" s="21">
        <f>EXP(-LN(2)/2)*AB164+(1-EXP(-LN(2)/2))/(LN(2)/2)*V165*Y165*VLOOKUP('Données projet'!$B$9,Paramètres!$A$1:$I$89,3,0)*0.475*44/12</f>
        <v>5.8443562967678381E-8</v>
      </c>
      <c r="AC165" s="22">
        <f t="shared" si="163"/>
        <v>65.711182360301692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278.21846622758881</v>
      </c>
      <c r="AO165" s="59">
        <f t="shared" si="144"/>
        <v>245.37578316242906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5.6843418860808015E-13</v>
      </c>
      <c r="BE165" s="13">
        <f>BD165*VLOOKUP('Données projet'!$B$11,Paramètres!$A$1:$I$89,3,0)*VLOOKUP('Données projet'!$B$11,Paramètres!$A$1:$I$89,5,0)</f>
        <v>5.1431925385259092E-13</v>
      </c>
      <c r="BF165" s="13">
        <f t="shared" si="167"/>
        <v>6.3855359115685756E-12</v>
      </c>
      <c r="BG165" s="20">
        <f t="shared" si="168"/>
        <v>1.2017247746441865E-11</v>
      </c>
      <c r="BH165" s="59">
        <f t="shared" si="116"/>
        <v>293.33333333334531</v>
      </c>
      <c r="BI165" s="59">
        <f ca="1">AVERAGE(OFFSET($BH$3,0,0,'Données projet'!$E$11+1,1))-AVERAGE(OFFSET($H$3,0,0,'Données projet'!$E$11+1,1))</f>
        <v>270.87836509222456</v>
      </c>
      <c r="BJ165" s="59">
        <f t="shared" si="146"/>
        <v>205.24998237949734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92.540859391825819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92.540859391825819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5.6843418860808015E-13</v>
      </c>
      <c r="BZ165" s="13">
        <f>BY165*VLOOKUP('Données projet'!$B$12,Paramètres!$A$1:$I$89,3,0)*VLOOKUP('Données projet'!$B$12,Paramètres!$A$1:$I$89,5,0)</f>
        <v>5.763922672485933E-13</v>
      </c>
      <c r="CA165" s="13">
        <f t="shared" si="170"/>
        <v>7.0619171555808457E-12</v>
      </c>
      <c r="CB165" s="20">
        <f t="shared" si="171"/>
        <v>1.3303388911427938E-11</v>
      </c>
      <c r="CC165" s="59">
        <f t="shared" si="119"/>
        <v>293.33333333334662</v>
      </c>
      <c r="CD165" s="59">
        <f ca="1">AVERAGE(OFFSET($CC$3,0,0,'Données projet'!$E$12+1,1))-AVERAGE(OFFSET($H$3,0,0,'Données projet'!$E$12+1,1))</f>
        <v>312.29056285877169</v>
      </c>
      <c r="CE165" s="59">
        <f t="shared" si="148"/>
        <v>233.85454224241693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103.70958380118412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103.70958380118412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-4.5474735088646412E-13</v>
      </c>
      <c r="CU165" s="17">
        <f>CT165*VLOOKUP('Données projet'!$B$13,Paramètres!$A$1:$I$89,3,0)*VLOOKUP('Données projet'!$B$13,Paramètres!$A$1:$I$89,5,0)</f>
        <v>-5.1786628318950535E-13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292.22737648725354</v>
      </c>
      <c r="CZ165" s="59">
        <f t="shared" si="150"/>
        <v>182.84038581199871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175.39204102075539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175.39204102075539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-4.5474735088646412E-13</v>
      </c>
      <c r="DP165" s="17">
        <f>DO165*VLOOKUP('Données projet'!$B$14,Paramètres!$A$1:$I$89,3,0)*VLOOKUP('Données projet'!$B$14,Paramètres!$A$1:$I$89,5,0)</f>
        <v>-4.9658410716801875E-13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276.52126514622455</v>
      </c>
      <c r="DU165" s="59">
        <f t="shared" si="152"/>
        <v>173.98404849503186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168.18414892401199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168.18414892401199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-4.5474735088646412E-13</v>
      </c>
      <c r="EK165" s="17">
        <f>EJ165*VLOOKUP('Données projet'!$B$15,Paramètres!$A$1:$I$89,3,0)*VLOOKUP('Données projet'!$B$15,Paramètres!$A$1:$I$89,5,0)</f>
        <v>-4.3983163777738812E-13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234.56750794375012</v>
      </c>
      <c r="EP165" s="59">
        <f t="shared" si="154"/>
        <v>150.32420541314724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148.96310333269633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148.96310333269633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1.5961632016114892E-13</v>
      </c>
      <c r="P166" s="13">
        <f t="shared" si="141"/>
        <v>2.2708641912150958E-12</v>
      </c>
      <c r="Q166" s="20">
        <f t="shared" si="162"/>
        <v>4.2330868906469593E-12</v>
      </c>
      <c r="R166" s="59">
        <f t="shared" si="109"/>
        <v>293.33333333333752</v>
      </c>
      <c r="S166" s="59">
        <f ca="1">AVERAGE(OFFSET($R$3,0,0,'Données projet'!$E$9+1,1))-AVERAGE(OFFSET($H$3,0,0,'Données projet'!$E$9+1,1))</f>
        <v>198.17898804494365</v>
      </c>
      <c r="T166" s="59">
        <f t="shared" si="142"/>
        <v>186.24772922797723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55.556685902367143</v>
      </c>
      <c r="AA166" s="21">
        <f>EXP(-LN(2)/25)*AA165+(1-EXP(-LN(2)/25))/(LN(2)/25)*Calculateur!V166*Calculateur!X166*VLOOKUP('Données projet'!$B$9,Paramètres!$A$1:$I$89,3,0)*0.475*44/12</f>
        <v>8.7959844842752357</v>
      </c>
      <c r="AB166" s="21">
        <f>EXP(-LN(2)/2)*AB165+(1-EXP(-LN(2)/2))/(LN(2)/2)*V166*Y166*VLOOKUP('Données projet'!$B$9,Paramètres!$A$1:$I$89,3,0)*0.475*44/12</f>
        <v>4.1325839691148372E-8</v>
      </c>
      <c r="AC166" s="22">
        <f t="shared" si="163"/>
        <v>64.352670427968206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278.21846622758881</v>
      </c>
      <c r="AO166" s="59">
        <f t="shared" si="144"/>
        <v>245.37578316242906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5.6843418860808015E-13</v>
      </c>
      <c r="BE166" s="13">
        <f>BD166*VLOOKUP('Données projet'!$B$11,Paramètres!$A$1:$I$89,3,0)*VLOOKUP('Données projet'!$B$11,Paramètres!$A$1:$I$89,5,0)</f>
        <v>5.1431925385259092E-13</v>
      </c>
      <c r="BF166" s="13">
        <f t="shared" si="167"/>
        <v>6.3855359115685756E-12</v>
      </c>
      <c r="BG166" s="20">
        <f t="shared" si="168"/>
        <v>1.2017247746441865E-11</v>
      </c>
      <c r="BH166" s="59">
        <f t="shared" si="116"/>
        <v>293.33333333334531</v>
      </c>
      <c r="BI166" s="59">
        <f ca="1">AVERAGE(OFFSET($BH$3,0,0,'Données projet'!$E$11+1,1))-AVERAGE(OFFSET($H$3,0,0,'Données projet'!$E$11+1,1))</f>
        <v>270.87836509222456</v>
      </c>
      <c r="BJ166" s="59">
        <f t="shared" si="146"/>
        <v>205.24998237949734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90.726189583502929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90.726189583502929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5.6843418860808015E-13</v>
      </c>
      <c r="BZ166" s="13">
        <f>BY166*VLOOKUP('Données projet'!$B$12,Paramètres!$A$1:$I$89,3,0)*VLOOKUP('Données projet'!$B$12,Paramètres!$A$1:$I$89,5,0)</f>
        <v>5.763922672485933E-13</v>
      </c>
      <c r="CA166" s="13">
        <f t="shared" si="170"/>
        <v>7.0619171555808457E-12</v>
      </c>
      <c r="CB166" s="20">
        <f t="shared" si="171"/>
        <v>1.3303388911427938E-11</v>
      </c>
      <c r="CC166" s="59">
        <f t="shared" si="119"/>
        <v>293.33333333334662</v>
      </c>
      <c r="CD166" s="59">
        <f ca="1">AVERAGE(OFFSET($CC$3,0,0,'Données projet'!$E$12+1,1))-AVERAGE(OFFSET($H$3,0,0,'Données projet'!$E$12+1,1))</f>
        <v>312.29056285877169</v>
      </c>
      <c r="CE166" s="59">
        <f t="shared" si="148"/>
        <v>233.85454224241693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101.67590211944295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101.67590211944295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-4.5474735088646412E-13</v>
      </c>
      <c r="CU166" s="17">
        <f>CT166*VLOOKUP('Données projet'!$B$13,Paramètres!$A$1:$I$89,3,0)*VLOOKUP('Données projet'!$B$13,Paramètres!$A$1:$I$89,5,0)</f>
        <v>-5.1786628318950535E-13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292.22737648725354</v>
      </c>
      <c r="CZ166" s="59">
        <f t="shared" si="150"/>
        <v>182.84038581199871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171.95271007492013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171.95271007492013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-4.5474735088646412E-13</v>
      </c>
      <c r="DP166" s="17">
        <f>DO166*VLOOKUP('Données projet'!$B$14,Paramètres!$A$1:$I$89,3,0)*VLOOKUP('Données projet'!$B$14,Paramètres!$A$1:$I$89,5,0)</f>
        <v>-4.9658410716801875E-13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276.52126514622455</v>
      </c>
      <c r="DU166" s="59">
        <f t="shared" si="152"/>
        <v>173.98404849503186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164.88616034581381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164.88616034581381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-4.5474735088646412E-13</v>
      </c>
      <c r="EK166" s="17">
        <f>EJ166*VLOOKUP('Données projet'!$B$15,Paramètres!$A$1:$I$89,3,0)*VLOOKUP('Données projet'!$B$15,Paramètres!$A$1:$I$89,5,0)</f>
        <v>-4.3983163777738812E-13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234.56750794375012</v>
      </c>
      <c r="EP166" s="59">
        <f t="shared" si="154"/>
        <v>150.32420541314724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146.04202773486367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146.04202773486367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1.5961632016114892E-13</v>
      </c>
      <c r="P167" s="13">
        <f t="shared" si="141"/>
        <v>2.2708641912150958E-12</v>
      </c>
      <c r="Q167" s="20">
        <f t="shared" si="162"/>
        <v>4.2330868906469593E-12</v>
      </c>
      <c r="R167" s="59">
        <f t="shared" si="109"/>
        <v>293.33333333333752</v>
      </c>
      <c r="S167" s="59">
        <f ca="1">AVERAGE(OFFSET($R$3,0,0,'Données projet'!$E$9+1,1))-AVERAGE(OFFSET($H$3,0,0,'Données projet'!$E$9+1,1))</f>
        <v>198.17898804494365</v>
      </c>
      <c r="T167" s="59">
        <f t="shared" si="142"/>
        <v>186.24772922797723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54.467253178054136</v>
      </c>
      <c r="AA167" s="21">
        <f>EXP(-LN(2)/25)*AA166+(1-EXP(-LN(2)/25))/(LN(2)/25)*Calculateur!V167*Calculateur!X167*VLOOKUP('Données projet'!$B$9,Paramètres!$A$1:$I$89,3,0)*0.475*44/12</f>
        <v>8.5554578259920095</v>
      </c>
      <c r="AB167" s="21">
        <f>EXP(-LN(2)/2)*AB166+(1-EXP(-LN(2)/2))/(LN(2)/2)*V167*Y167*VLOOKUP('Données projet'!$B$9,Paramètres!$A$1:$I$89,3,0)*0.475*44/12</f>
        <v>2.9221781483839194E-8</v>
      </c>
      <c r="AC167" s="22">
        <f t="shared" si="163"/>
        <v>63.022711033267925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278.21846622758881</v>
      </c>
      <c r="AO167" s="59">
        <f t="shared" si="144"/>
        <v>245.37578316242906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5.6843418860808015E-13</v>
      </c>
      <c r="BE167" s="13">
        <f>BD167*VLOOKUP('Données projet'!$B$11,Paramètres!$A$1:$I$89,3,0)*VLOOKUP('Données projet'!$B$11,Paramètres!$A$1:$I$89,5,0)</f>
        <v>5.1431925385259092E-13</v>
      </c>
      <c r="BF167" s="13">
        <f t="shared" si="167"/>
        <v>6.3855359115685756E-12</v>
      </c>
      <c r="BG167" s="20">
        <f t="shared" si="168"/>
        <v>1.2017247746441865E-11</v>
      </c>
      <c r="BH167" s="59">
        <f t="shared" si="116"/>
        <v>293.33333333334531</v>
      </c>
      <c r="BI167" s="59">
        <f ca="1">AVERAGE(OFFSET($BH$3,0,0,'Données projet'!$E$11+1,1))-AVERAGE(OFFSET($H$3,0,0,'Données projet'!$E$11+1,1))</f>
        <v>270.87836509222456</v>
      </c>
      <c r="BJ167" s="59">
        <f t="shared" si="146"/>
        <v>205.24998237949734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88.947104343281964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88.947104343281964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5.6843418860808015E-13</v>
      </c>
      <c r="BZ167" s="13">
        <f>BY167*VLOOKUP('Données projet'!$B$12,Paramètres!$A$1:$I$89,3,0)*VLOOKUP('Données projet'!$B$12,Paramètres!$A$1:$I$89,5,0)</f>
        <v>5.763922672485933E-13</v>
      </c>
      <c r="CA167" s="13">
        <f t="shared" si="170"/>
        <v>7.0619171555808457E-12</v>
      </c>
      <c r="CB167" s="20">
        <f t="shared" si="171"/>
        <v>1.3303388911427938E-11</v>
      </c>
      <c r="CC167" s="59">
        <f t="shared" si="119"/>
        <v>293.33333333334662</v>
      </c>
      <c r="CD167" s="59">
        <f ca="1">AVERAGE(OFFSET($CC$3,0,0,'Données projet'!$E$12+1,1))-AVERAGE(OFFSET($H$3,0,0,'Données projet'!$E$12+1,1))</f>
        <v>312.29056285877169</v>
      </c>
      <c r="CE167" s="59">
        <f t="shared" si="148"/>
        <v>233.85454224241693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99.682099695057374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99.682099695057374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-4.5474735088646412E-13</v>
      </c>
      <c r="CU167" s="17">
        <f>CT167*VLOOKUP('Données projet'!$B$13,Paramètres!$A$1:$I$89,3,0)*VLOOKUP('Données projet'!$B$13,Paramètres!$A$1:$I$89,5,0)</f>
        <v>-5.1786628318950535E-13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292.22737648725354</v>
      </c>
      <c r="CZ167" s="59">
        <f t="shared" si="150"/>
        <v>182.84038581199871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168.58082231114798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168.58082231114798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-4.5474735088646412E-13</v>
      </c>
      <c r="DP167" s="17">
        <f>DO167*VLOOKUP('Données projet'!$B$14,Paramètres!$A$1:$I$89,3,0)*VLOOKUP('Données projet'!$B$14,Paramètres!$A$1:$I$89,5,0)</f>
        <v>-4.9658410716801875E-13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276.52126514622455</v>
      </c>
      <c r="DU167" s="59">
        <f t="shared" si="152"/>
        <v>173.98404849503186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161.65284331205967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161.65284331205967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-4.5474735088646412E-13</v>
      </c>
      <c r="EK167" s="17">
        <f>EJ167*VLOOKUP('Données projet'!$B$15,Paramètres!$A$1:$I$89,3,0)*VLOOKUP('Données projet'!$B$15,Paramètres!$A$1:$I$89,5,0)</f>
        <v>-4.3983163777738812E-13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234.56750794375012</v>
      </c>
      <c r="EP167" s="59">
        <f t="shared" si="154"/>
        <v>150.32420541314724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143.1782326478243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143.1782326478243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1.5961632016114892E-13</v>
      </c>
      <c r="P168" s="13">
        <f t="shared" si="141"/>
        <v>2.2708641912150958E-12</v>
      </c>
      <c r="Q168" s="20">
        <f t="shared" si="162"/>
        <v>4.2330868906469593E-12</v>
      </c>
      <c r="R168" s="59">
        <f t="shared" si="109"/>
        <v>293.33333333333752</v>
      </c>
      <c r="S168" s="59">
        <f ca="1">AVERAGE(OFFSET($R$3,0,0,'Données projet'!$E$9+1,1))-AVERAGE(OFFSET($H$3,0,0,'Données projet'!$E$9+1,1))</f>
        <v>198.17898804494365</v>
      </c>
      <c r="T168" s="59">
        <f t="shared" si="142"/>
        <v>186.24772922797723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53.39918356497656</v>
      </c>
      <c r="AA168" s="21">
        <f>EXP(-LN(2)/25)*AA167+(1-EXP(-LN(2)/25))/(LN(2)/25)*Calculateur!V168*Calculateur!X168*VLOOKUP('Données projet'!$B$9,Paramètres!$A$1:$I$89,3,0)*0.475*44/12</f>
        <v>8.3215083818282842</v>
      </c>
      <c r="AB168" s="21">
        <f>EXP(-LN(2)/2)*AB167+(1-EXP(-LN(2)/2))/(LN(2)/2)*V168*Y168*VLOOKUP('Données projet'!$B$9,Paramètres!$A$1:$I$89,3,0)*0.475*44/12</f>
        <v>2.066291984557419E-8</v>
      </c>
      <c r="AC168" s="22">
        <f t="shared" si="163"/>
        <v>61.720691967467765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278.21846622758881</v>
      </c>
      <c r="AO168" s="59">
        <f t="shared" si="144"/>
        <v>245.37578316242906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5.6843418860808015E-13</v>
      </c>
      <c r="BE168" s="13">
        <f>BD168*VLOOKUP('Données projet'!$B$11,Paramètres!$A$1:$I$89,3,0)*VLOOKUP('Données projet'!$B$11,Paramètres!$A$1:$I$89,5,0)</f>
        <v>5.1431925385259092E-13</v>
      </c>
      <c r="BF168" s="13">
        <f t="shared" si="167"/>
        <v>6.3855359115685756E-12</v>
      </c>
      <c r="BG168" s="20">
        <f t="shared" si="168"/>
        <v>1.2017247746441865E-11</v>
      </c>
      <c r="BH168" s="59">
        <f t="shared" si="116"/>
        <v>293.33333333334531</v>
      </c>
      <c r="BI168" s="59">
        <f ca="1">AVERAGE(OFFSET($BH$3,0,0,'Données projet'!$E$11+1,1))-AVERAGE(OFFSET($H$3,0,0,'Données projet'!$E$11+1,1))</f>
        <v>270.87836509222456</v>
      </c>
      <c r="BJ168" s="59">
        <f t="shared" si="146"/>
        <v>205.24998237949734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87.202905879486877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87.202905879486877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5.6843418860808015E-13</v>
      </c>
      <c r="BZ168" s="13">
        <f>BY168*VLOOKUP('Données projet'!$B$12,Paramètres!$A$1:$I$89,3,0)*VLOOKUP('Données projet'!$B$12,Paramètres!$A$1:$I$89,5,0)</f>
        <v>5.763922672485933E-13</v>
      </c>
      <c r="CA168" s="13">
        <f t="shared" si="170"/>
        <v>7.0619171555808457E-12</v>
      </c>
      <c r="CB168" s="20">
        <f t="shared" si="171"/>
        <v>1.3303388911427938E-11</v>
      </c>
      <c r="CC168" s="59">
        <f t="shared" si="119"/>
        <v>293.33333333334662</v>
      </c>
      <c r="CD168" s="59">
        <f ca="1">AVERAGE(OFFSET($CC$3,0,0,'Données projet'!$E$12+1,1))-AVERAGE(OFFSET($H$3,0,0,'Données projet'!$E$12+1,1))</f>
        <v>312.29056285877169</v>
      </c>
      <c r="CE168" s="59">
        <f t="shared" si="148"/>
        <v>233.85454224241693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97.727394520114601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97.727394520114601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-4.5474735088646412E-13</v>
      </c>
      <c r="CU168" s="17">
        <f>CT168*VLOOKUP('Données projet'!$B$13,Paramètres!$A$1:$I$89,3,0)*VLOOKUP('Données projet'!$B$13,Paramètres!$A$1:$I$89,5,0)</f>
        <v>-5.1786628318950535E-13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292.22737648725354</v>
      </c>
      <c r="CZ168" s="59">
        <f t="shared" si="150"/>
        <v>182.84038581199871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165.27505520977493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165.27505520977493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-4.5474735088646412E-13</v>
      </c>
      <c r="DP168" s="17">
        <f>DO168*VLOOKUP('Données projet'!$B$14,Paramètres!$A$1:$I$89,3,0)*VLOOKUP('Données projet'!$B$14,Paramètres!$A$1:$I$89,5,0)</f>
        <v>-4.9658410716801875E-13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276.52126514622455</v>
      </c>
      <c r="DU168" s="59">
        <f t="shared" si="152"/>
        <v>173.98404849503186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158.4829296532088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158.4829296532088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-4.5474735088646412E-13</v>
      </c>
      <c r="EK168" s="17">
        <f>EJ168*VLOOKUP('Données projet'!$B$15,Paramètres!$A$1:$I$89,3,0)*VLOOKUP('Données projet'!$B$15,Paramètres!$A$1:$I$89,5,0)</f>
        <v>-4.3983163777738812E-13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234.56750794375012</v>
      </c>
      <c r="EP168" s="59">
        <f t="shared" si="154"/>
        <v>150.32420541314724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140.37059483569925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140.37059483569925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1.5961632016114892E-13</v>
      </c>
      <c r="P169" s="13">
        <f t="shared" si="141"/>
        <v>2.2708641912150958E-12</v>
      </c>
      <c r="Q169" s="20">
        <f t="shared" si="162"/>
        <v>4.2330868906469593E-12</v>
      </c>
      <c r="R169" s="59">
        <f t="shared" si="109"/>
        <v>293.33333333333752</v>
      </c>
      <c r="S169" s="59">
        <f ca="1">AVERAGE(OFFSET($R$3,0,0,'Données projet'!$E$9+1,1))-AVERAGE(OFFSET($H$3,0,0,'Données projet'!$E$9+1,1))</f>
        <v>198.17898804494365</v>
      </c>
      <c r="T169" s="59">
        <f t="shared" si="142"/>
        <v>186.24772922797723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52.352058145553293</v>
      </c>
      <c r="AA169" s="21">
        <f>EXP(-LN(2)/25)*AA168+(1-EXP(-LN(2)/25))/(LN(2)/25)*Calculateur!V169*Calculateur!X169*VLOOKUP('Données projet'!$B$9,Paramètres!$A$1:$I$89,3,0)*0.475*44/12</f>
        <v>8.0939562975180834</v>
      </c>
      <c r="AB169" s="21">
        <f>EXP(-LN(2)/2)*AB168+(1-EXP(-LN(2)/2))/(LN(2)/2)*V169*Y169*VLOOKUP('Données projet'!$B$9,Paramètres!$A$1:$I$89,3,0)*0.475*44/12</f>
        <v>1.46108907419196E-8</v>
      </c>
      <c r="AC169" s="22">
        <f t="shared" si="163"/>
        <v>60.446014457682267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278.21846622758881</v>
      </c>
      <c r="AO169" s="59">
        <f t="shared" si="144"/>
        <v>245.37578316242906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5.6843418860808015E-13</v>
      </c>
      <c r="BE169" s="13">
        <f>BD169*VLOOKUP('Données projet'!$B$11,Paramètres!$A$1:$I$89,3,0)*VLOOKUP('Données projet'!$B$11,Paramètres!$A$1:$I$89,5,0)</f>
        <v>5.1431925385259092E-13</v>
      </c>
      <c r="BF169" s="13">
        <f t="shared" si="167"/>
        <v>6.3855359115685756E-12</v>
      </c>
      <c r="BG169" s="20">
        <f t="shared" si="168"/>
        <v>1.2017247746441865E-11</v>
      </c>
      <c r="BH169" s="59">
        <f t="shared" si="116"/>
        <v>293.33333333334531</v>
      </c>
      <c r="BI169" s="59">
        <f ca="1">AVERAGE(OFFSET($BH$3,0,0,'Données projet'!$E$11+1,1))-AVERAGE(OFFSET($H$3,0,0,'Données projet'!$E$11+1,1))</f>
        <v>270.87836509222456</v>
      </c>
      <c r="BJ169" s="59">
        <f t="shared" si="146"/>
        <v>205.24998237949734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85.492910083710797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85.492910083710797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5.6843418860808015E-13</v>
      </c>
      <c r="BZ169" s="13">
        <f>BY169*VLOOKUP('Données projet'!$B$12,Paramètres!$A$1:$I$89,3,0)*VLOOKUP('Données projet'!$B$12,Paramètres!$A$1:$I$89,5,0)</f>
        <v>5.763922672485933E-13</v>
      </c>
      <c r="CA169" s="13">
        <f t="shared" si="170"/>
        <v>7.0619171555808457E-12</v>
      </c>
      <c r="CB169" s="20">
        <f t="shared" si="171"/>
        <v>1.3303388911427938E-11</v>
      </c>
      <c r="CC169" s="59">
        <f t="shared" si="119"/>
        <v>293.33333333334662</v>
      </c>
      <c r="CD169" s="59">
        <f ca="1">AVERAGE(OFFSET($CC$3,0,0,'Données projet'!$E$12+1,1))-AVERAGE(OFFSET($H$3,0,0,'Données projet'!$E$12+1,1))</f>
        <v>312.29056285877169</v>
      </c>
      <c r="CE169" s="59">
        <f t="shared" si="148"/>
        <v>233.85454224241693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95.811019921400032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95.811019921400032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-4.5474735088646412E-13</v>
      </c>
      <c r="CU169" s="17">
        <f>CT169*VLOOKUP('Données projet'!$B$13,Paramètres!$A$1:$I$89,3,0)*VLOOKUP('Données projet'!$B$13,Paramètres!$A$1:$I$89,5,0)</f>
        <v>-5.1786628318950535E-13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292.22737648725354</v>
      </c>
      <c r="CZ169" s="59">
        <f t="shared" si="150"/>
        <v>182.84038581199871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162.03411218494097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162.03411218494097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-4.5474735088646412E-13</v>
      </c>
      <c r="DP169" s="17">
        <f>DO169*VLOOKUP('Données projet'!$B$14,Paramètres!$A$1:$I$89,3,0)*VLOOKUP('Données projet'!$B$14,Paramètres!$A$1:$I$89,5,0)</f>
        <v>-4.9658410716801875E-13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276.52126514622455</v>
      </c>
      <c r="DU169" s="59">
        <f t="shared" si="152"/>
        <v>173.98404849503186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155.3751760677516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155.3751760677516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-4.5474735088646412E-13</v>
      </c>
      <c r="EK169" s="17">
        <f>EJ169*VLOOKUP('Données projet'!$B$15,Paramètres!$A$1:$I$89,3,0)*VLOOKUP('Données projet'!$B$15,Paramètres!$A$1:$I$89,5,0)</f>
        <v>-4.3983163777738812E-13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234.56750794375012</v>
      </c>
      <c r="EP169" s="59">
        <f t="shared" si="154"/>
        <v>150.32420541314724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137.61801308858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137.61801308858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1.5961632016114892E-13</v>
      </c>
      <c r="P170" s="13">
        <f t="shared" si="141"/>
        <v>2.2708641912150958E-12</v>
      </c>
      <c r="Q170" s="20">
        <f t="shared" si="162"/>
        <v>4.2330868906469593E-12</v>
      </c>
      <c r="R170" s="59">
        <f t="shared" si="109"/>
        <v>293.33333333333752</v>
      </c>
      <c r="S170" s="59">
        <f ca="1">AVERAGE(OFFSET($R$3,0,0,'Données projet'!$E$9+1,1))-AVERAGE(OFFSET($H$3,0,0,'Données projet'!$E$9+1,1))</f>
        <v>198.17898804494365</v>
      </c>
      <c r="T170" s="59">
        <f t="shared" si="142"/>
        <v>186.24772922797723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51.325466216921477</v>
      </c>
      <c r="AA170" s="21">
        <f>EXP(-LN(2)/25)*AA169+(1-EXP(-LN(2)/25))/(LN(2)/25)*Calculateur!V170*Calculateur!X170*VLOOKUP('Données projet'!$B$9,Paramètres!$A$1:$I$89,3,0)*0.475*44/12</f>
        <v>7.8726266369197884</v>
      </c>
      <c r="AB170" s="21">
        <f>EXP(-LN(2)/2)*AB169+(1-EXP(-LN(2)/2))/(LN(2)/2)*V170*Y170*VLOOKUP('Données projet'!$B$9,Paramètres!$A$1:$I$89,3,0)*0.475*44/12</f>
        <v>1.0331459922787096E-8</v>
      </c>
      <c r="AC170" s="22">
        <f t="shared" si="163"/>
        <v>59.198092864172729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278.21846622758881</v>
      </c>
      <c r="AO170" s="59">
        <f t="shared" si="144"/>
        <v>245.37578316242906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5.6843418860808015E-13</v>
      </c>
      <c r="BE170" s="13">
        <f>BD170*VLOOKUP('Données projet'!$B$11,Paramètres!$A$1:$I$89,3,0)*VLOOKUP('Données projet'!$B$11,Paramètres!$A$1:$I$89,5,0)</f>
        <v>5.1431925385259092E-13</v>
      </c>
      <c r="BF170" s="13">
        <f t="shared" si="167"/>
        <v>6.3855359115685756E-12</v>
      </c>
      <c r="BG170" s="20">
        <f t="shared" si="168"/>
        <v>1.2017247746441865E-11</v>
      </c>
      <c r="BH170" s="59">
        <f t="shared" si="116"/>
        <v>293.33333333334531</v>
      </c>
      <c r="BI170" s="59">
        <f ca="1">AVERAGE(OFFSET($BH$3,0,0,'Données projet'!$E$11+1,1))-AVERAGE(OFFSET($H$3,0,0,'Données projet'!$E$11+1,1))</f>
        <v>270.87836509222456</v>
      </c>
      <c r="BJ170" s="59">
        <f t="shared" si="146"/>
        <v>205.24998237949734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83.816446262495433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83.816446262495433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5.6843418860808015E-13</v>
      </c>
      <c r="BZ170" s="13">
        <f>BY170*VLOOKUP('Données projet'!$B$12,Paramètres!$A$1:$I$89,3,0)*VLOOKUP('Données projet'!$B$12,Paramètres!$A$1:$I$89,5,0)</f>
        <v>5.763922672485933E-13</v>
      </c>
      <c r="CA170" s="13">
        <f t="shared" si="170"/>
        <v>7.0619171555808457E-12</v>
      </c>
      <c r="CB170" s="20">
        <f t="shared" si="171"/>
        <v>1.3303388911427938E-11</v>
      </c>
      <c r="CC170" s="59">
        <f t="shared" si="119"/>
        <v>293.33333333334662</v>
      </c>
      <c r="CD170" s="59">
        <f ca="1">AVERAGE(OFFSET($CC$3,0,0,'Données projet'!$E$12+1,1))-AVERAGE(OFFSET($H$3,0,0,'Données projet'!$E$12+1,1))</f>
        <v>312.29056285877169</v>
      </c>
      <c r="CE170" s="59">
        <f t="shared" si="148"/>
        <v>233.85454224241693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93.932224259693157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93.932224259693157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-4.5474735088646412E-13</v>
      </c>
      <c r="CU170" s="17">
        <f>CT170*VLOOKUP('Données projet'!$B$13,Paramètres!$A$1:$I$89,3,0)*VLOOKUP('Données projet'!$B$13,Paramètres!$A$1:$I$89,5,0)</f>
        <v>-5.1786628318950535E-13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292.22737648725354</v>
      </c>
      <c r="CZ170" s="59">
        <f t="shared" si="150"/>
        <v>182.84038581199871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158.85672207604395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158.85672207604395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-4.5474735088646412E-13</v>
      </c>
      <c r="DP170" s="17">
        <f>DO170*VLOOKUP('Données projet'!$B$14,Paramètres!$A$1:$I$89,3,0)*VLOOKUP('Données projet'!$B$14,Paramètres!$A$1:$I$89,5,0)</f>
        <v>-4.9658410716801875E-13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276.52126514622455</v>
      </c>
      <c r="DU170" s="59">
        <f t="shared" si="152"/>
        <v>173.98404849503186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152.32836363456269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152.32836363456269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-4.5474735088646412E-13</v>
      </c>
      <c r="EK170" s="17">
        <f>EJ170*VLOOKUP('Données projet'!$B$15,Paramètres!$A$1:$I$89,3,0)*VLOOKUP('Données projet'!$B$15,Paramètres!$A$1:$I$89,5,0)</f>
        <v>-4.3983163777738812E-13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234.56750794375012</v>
      </c>
      <c r="EP170" s="59">
        <f t="shared" si="154"/>
        <v>150.32420541314724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134.91940779061267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134.91940779061267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1.5961632016114892E-13</v>
      </c>
      <c r="P171" s="13">
        <f t="shared" si="141"/>
        <v>2.2708641912150958E-12</v>
      </c>
      <c r="Q171" s="20">
        <f t="shared" si="162"/>
        <v>4.2330868906469593E-12</v>
      </c>
      <c r="R171" s="59">
        <f t="shared" si="109"/>
        <v>293.33333333333752</v>
      </c>
      <c r="S171" s="59">
        <f ca="1">AVERAGE(OFFSET($R$3,0,0,'Données projet'!$E$9+1,1))-AVERAGE(OFFSET($H$3,0,0,'Données projet'!$E$9+1,1))</f>
        <v>198.17898804494365</v>
      </c>
      <c r="T171" s="59">
        <f t="shared" si="142"/>
        <v>186.24772922797723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50.319005129850886</v>
      </c>
      <c r="AA171" s="21">
        <f>EXP(-LN(2)/25)*AA170+(1-EXP(-LN(2)/25))/(LN(2)/25)*Calculateur!V171*Calculateur!X171*VLOOKUP('Données projet'!$B$9,Paramètres!$A$1:$I$89,3,0)*0.475*44/12</f>
        <v>7.6573492475297753</v>
      </c>
      <c r="AB171" s="21">
        <f>EXP(-LN(2)/2)*AB170+(1-EXP(-LN(2)/2))/(LN(2)/2)*V171*Y171*VLOOKUP('Données projet'!$B$9,Paramètres!$A$1:$I$89,3,0)*0.475*44/12</f>
        <v>7.3054453709598009E-9</v>
      </c>
      <c r="AC171" s="22">
        <f t="shared" si="163"/>
        <v>57.976354384686104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278.21846622758881</v>
      </c>
      <c r="AO171" s="59">
        <f t="shared" si="144"/>
        <v>245.37578316242906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5.6843418860808015E-13</v>
      </c>
      <c r="BE171" s="13">
        <f>BD171*VLOOKUP('Données projet'!$B$11,Paramètres!$A$1:$I$89,3,0)*VLOOKUP('Données projet'!$B$11,Paramètres!$A$1:$I$89,5,0)</f>
        <v>5.1431925385259092E-13</v>
      </c>
      <c r="BF171" s="13">
        <f t="shared" si="167"/>
        <v>6.3855359115685756E-12</v>
      </c>
      <c r="BG171" s="20">
        <f t="shared" si="168"/>
        <v>1.2017247746441865E-11</v>
      </c>
      <c r="BH171" s="59">
        <f t="shared" si="116"/>
        <v>293.33333333334531</v>
      </c>
      <c r="BI171" s="59">
        <f ca="1">AVERAGE(OFFSET($BH$3,0,0,'Données projet'!$E$11+1,1))-AVERAGE(OFFSET($H$3,0,0,'Données projet'!$E$11+1,1))</f>
        <v>270.87836509222456</v>
      </c>
      <c r="BJ171" s="59">
        <f t="shared" si="146"/>
        <v>205.24998237949734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82.172856874272142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82.172856874272142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5.6843418860808015E-13</v>
      </c>
      <c r="BZ171" s="13">
        <f>BY171*VLOOKUP('Données projet'!$B$12,Paramètres!$A$1:$I$89,3,0)*VLOOKUP('Données projet'!$B$12,Paramètres!$A$1:$I$89,5,0)</f>
        <v>5.763922672485933E-13</v>
      </c>
      <c r="CA171" s="13">
        <f t="shared" si="170"/>
        <v>7.0619171555808457E-12</v>
      </c>
      <c r="CB171" s="20">
        <f t="shared" si="171"/>
        <v>1.3303388911427938E-11</v>
      </c>
      <c r="CC171" s="59">
        <f t="shared" si="119"/>
        <v>293.33333333334662</v>
      </c>
      <c r="CD171" s="59">
        <f ca="1">AVERAGE(OFFSET($CC$3,0,0,'Données projet'!$E$12+1,1))-AVERAGE(OFFSET($H$3,0,0,'Données projet'!$E$12+1,1))</f>
        <v>312.29056285877169</v>
      </c>
      <c r="CE171" s="59">
        <f t="shared" si="148"/>
        <v>233.85454224241693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92.090270634960163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92.090270634960163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-4.5474735088646412E-13</v>
      </c>
      <c r="CU171" s="17">
        <f>CT171*VLOOKUP('Données projet'!$B$13,Paramètres!$A$1:$I$89,3,0)*VLOOKUP('Données projet'!$B$13,Paramètres!$A$1:$I$89,5,0)</f>
        <v>-5.1786628318950535E-13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292.22737648725354</v>
      </c>
      <c r="CZ171" s="59">
        <f t="shared" si="150"/>
        <v>182.84038581199871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155.74163864916579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155.74163864916579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-4.5474735088646412E-13</v>
      </c>
      <c r="DP171" s="17">
        <f>DO171*VLOOKUP('Données projet'!$B$14,Paramètres!$A$1:$I$89,3,0)*VLOOKUP('Données projet'!$B$14,Paramètres!$A$1:$I$89,5,0)</f>
        <v>-4.9658410716801875E-13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276.52126514622455</v>
      </c>
      <c r="DU171" s="59">
        <f t="shared" si="152"/>
        <v>173.98404849503186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149.34129733481652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149.34129733481652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-4.5474735088646412E-13</v>
      </c>
      <c r="EK171" s="17">
        <f>EJ171*VLOOKUP('Données projet'!$B$15,Paramètres!$A$1:$I$89,3,0)*VLOOKUP('Données projet'!$B$15,Paramètres!$A$1:$I$89,5,0)</f>
        <v>-4.3983163777738812E-13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234.56750794375012</v>
      </c>
      <c r="EP171" s="59">
        <f t="shared" si="154"/>
        <v>150.32420541314724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132.27372049655176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132.27372049655176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1.5961632016114892E-13</v>
      </c>
      <c r="P172" s="13">
        <f t="shared" si="141"/>
        <v>2.2708641912150958E-12</v>
      </c>
      <c r="Q172" s="20">
        <f t="shared" si="162"/>
        <v>4.2330868906469593E-12</v>
      </c>
      <c r="R172" s="59">
        <f t="shared" si="109"/>
        <v>293.33333333333752</v>
      </c>
      <c r="S172" s="59">
        <f ca="1">AVERAGE(OFFSET($R$3,0,0,'Données projet'!$E$9+1,1))-AVERAGE(OFFSET($H$3,0,0,'Données projet'!$E$9+1,1))</f>
        <v>198.17898804494365</v>
      </c>
      <c r="T172" s="59">
        <f t="shared" si="142"/>
        <v>186.24772922797723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49.332280130817097</v>
      </c>
      <c r="AA172" s="21">
        <f>EXP(-LN(2)/25)*AA171+(1-EXP(-LN(2)/25))/(LN(2)/25)*Calculateur!V172*Calculateur!X172*VLOOKUP('Données projet'!$B$9,Paramètres!$A$1:$I$89,3,0)*0.475*44/12</f>
        <v>7.447958629673578</v>
      </c>
      <c r="AB172" s="21">
        <f>EXP(-LN(2)/2)*AB171+(1-EXP(-LN(2)/2))/(LN(2)/2)*V172*Y172*VLOOKUP('Données projet'!$B$9,Paramètres!$A$1:$I$89,3,0)*0.475*44/12</f>
        <v>5.165729961393549E-9</v>
      </c>
      <c r="AC172" s="22">
        <f t="shared" si="163"/>
        <v>56.780238765656406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278.21846622758881</v>
      </c>
      <c r="AO172" s="59">
        <f t="shared" si="144"/>
        <v>245.37578316242906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5.6843418860808015E-13</v>
      </c>
      <c r="BE172" s="13">
        <f>BD172*VLOOKUP('Données projet'!$B$11,Paramètres!$A$1:$I$89,3,0)*VLOOKUP('Données projet'!$B$11,Paramètres!$A$1:$I$89,5,0)</f>
        <v>5.1431925385259092E-13</v>
      </c>
      <c r="BF172" s="13">
        <f t="shared" si="167"/>
        <v>6.3855359115685756E-12</v>
      </c>
      <c r="BG172" s="20">
        <f t="shared" si="168"/>
        <v>1.2017247746441865E-11</v>
      </c>
      <c r="BH172" s="59">
        <f t="shared" si="116"/>
        <v>293.33333333334531</v>
      </c>
      <c r="BI172" s="59">
        <f ca="1">AVERAGE(OFFSET($BH$3,0,0,'Données projet'!$E$11+1,1))-AVERAGE(OFFSET($H$3,0,0,'Données projet'!$E$11+1,1))</f>
        <v>270.87836509222456</v>
      </c>
      <c r="BJ172" s="59">
        <f t="shared" si="146"/>
        <v>205.24998237949734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80.561497271461377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80.561497271461377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5.6843418860808015E-13</v>
      </c>
      <c r="BZ172" s="13">
        <f>BY172*VLOOKUP('Données projet'!$B$12,Paramètres!$A$1:$I$89,3,0)*VLOOKUP('Données projet'!$B$12,Paramètres!$A$1:$I$89,5,0)</f>
        <v>5.763922672485933E-13</v>
      </c>
      <c r="CA172" s="13">
        <f t="shared" si="170"/>
        <v>7.0619171555808457E-12</v>
      </c>
      <c r="CB172" s="20">
        <f t="shared" si="171"/>
        <v>1.3303388911427938E-11</v>
      </c>
      <c r="CC172" s="59">
        <f t="shared" si="119"/>
        <v>293.33333333334662</v>
      </c>
      <c r="CD172" s="59">
        <f ca="1">AVERAGE(OFFSET($CC$3,0,0,'Données projet'!$E$12+1,1))-AVERAGE(OFFSET($H$3,0,0,'Données projet'!$E$12+1,1))</f>
        <v>312.29056285877169</v>
      </c>
      <c r="CE172" s="59">
        <f t="shared" si="148"/>
        <v>233.85454224241693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90.284436597327399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90.284436597327399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-4.5474735088646412E-13</v>
      </c>
      <c r="CU172" s="17">
        <f>CT172*VLOOKUP('Données projet'!$B$13,Paramètres!$A$1:$I$89,3,0)*VLOOKUP('Données projet'!$B$13,Paramètres!$A$1:$I$89,5,0)</f>
        <v>-5.1786628318950535E-13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292.22737648725354</v>
      </c>
      <c r="CZ172" s="59">
        <f t="shared" si="150"/>
        <v>182.84038581199871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152.68764010827545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152.68764010827545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-4.5474735088646412E-13</v>
      </c>
      <c r="DP172" s="17">
        <f>DO172*VLOOKUP('Données projet'!$B$14,Paramètres!$A$1:$I$89,3,0)*VLOOKUP('Données projet'!$B$14,Paramètres!$A$1:$I$89,5,0)</f>
        <v>-4.9658410716801875E-13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276.52126514622455</v>
      </c>
      <c r="DU172" s="59">
        <f t="shared" si="152"/>
        <v>173.98404849503186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146.41280558327782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146.41280558327782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-4.5474735088646412E-13</v>
      </c>
      <c r="EK172" s="17">
        <f>EJ172*VLOOKUP('Données projet'!$B$15,Paramètres!$A$1:$I$89,3,0)*VLOOKUP('Données projet'!$B$15,Paramètres!$A$1:$I$89,5,0)</f>
        <v>-4.3983163777738812E-13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234.56750794375012</v>
      </c>
      <c r="EP172" s="59">
        <f t="shared" si="154"/>
        <v>150.32420541314724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129.67991351661749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129.67991351661749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1.5961632016114892E-13</v>
      </c>
      <c r="P173" s="13">
        <f t="shared" si="141"/>
        <v>2.2708641912150958E-12</v>
      </c>
      <c r="Q173" s="20">
        <f t="shared" si="162"/>
        <v>4.2330868906469593E-12</v>
      </c>
      <c r="R173" s="59">
        <f t="shared" si="109"/>
        <v>293.33333333333752</v>
      </c>
      <c r="S173" s="59">
        <f ca="1">AVERAGE(OFFSET($R$3,0,0,'Données projet'!$E$9+1,1))-AVERAGE(OFFSET($H$3,0,0,'Données projet'!$E$9+1,1))</f>
        <v>198.17898804494365</v>
      </c>
      <c r="T173" s="59">
        <f t="shared" si="142"/>
        <v>186.24772922797723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48.364904207171541</v>
      </c>
      <c r="AA173" s="21">
        <f>EXP(-LN(2)/25)*AA172+(1-EXP(-LN(2)/25))/(LN(2)/25)*Calculateur!V173*Calculateur!X173*VLOOKUP('Données projet'!$B$9,Paramètres!$A$1:$I$89,3,0)*0.475*44/12</f>
        <v>7.2442938092740325</v>
      </c>
      <c r="AB173" s="21">
        <f>EXP(-LN(2)/2)*AB172+(1-EXP(-LN(2)/2))/(LN(2)/2)*V173*Y173*VLOOKUP('Données projet'!$B$9,Paramètres!$A$1:$I$89,3,0)*0.475*44/12</f>
        <v>3.6527226854799013E-9</v>
      </c>
      <c r="AC173" s="22">
        <f t="shared" si="163"/>
        <v>55.609198020098297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278.21846622758881</v>
      </c>
      <c r="AO173" s="59">
        <f t="shared" si="144"/>
        <v>245.37578316242906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5.6843418860808015E-13</v>
      </c>
      <c r="BE173" s="13">
        <f>BD173*VLOOKUP('Données projet'!$B$11,Paramètres!$A$1:$I$89,3,0)*VLOOKUP('Données projet'!$B$11,Paramètres!$A$1:$I$89,5,0)</f>
        <v>5.1431925385259092E-13</v>
      </c>
      <c r="BF173" s="13">
        <f t="shared" si="167"/>
        <v>6.3855359115685756E-12</v>
      </c>
      <c r="BG173" s="20">
        <f t="shared" si="168"/>
        <v>1.2017247746441865E-11</v>
      </c>
      <c r="BH173" s="59">
        <f t="shared" si="116"/>
        <v>293.33333333334531</v>
      </c>
      <c r="BI173" s="59">
        <f ca="1">AVERAGE(OFFSET($BH$3,0,0,'Données projet'!$E$11+1,1))-AVERAGE(OFFSET($H$3,0,0,'Données projet'!$E$11+1,1))</f>
        <v>270.87836509222456</v>
      </c>
      <c r="BJ173" s="59">
        <f t="shared" si="146"/>
        <v>205.24998237949734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78.981735447629418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78.981735447629418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5.6843418860808015E-13</v>
      </c>
      <c r="BZ173" s="13">
        <f>BY173*VLOOKUP('Données projet'!$B$12,Paramètres!$A$1:$I$89,3,0)*VLOOKUP('Données projet'!$B$12,Paramètres!$A$1:$I$89,5,0)</f>
        <v>5.763922672485933E-13</v>
      </c>
      <c r="CA173" s="13">
        <f t="shared" si="170"/>
        <v>7.0619171555808457E-12</v>
      </c>
      <c r="CB173" s="20">
        <f t="shared" si="171"/>
        <v>1.3303388911427938E-11</v>
      </c>
      <c r="CC173" s="59">
        <f t="shared" si="119"/>
        <v>293.33333333334662</v>
      </c>
      <c r="CD173" s="59">
        <f ca="1">AVERAGE(OFFSET($CC$3,0,0,'Données projet'!$E$12+1,1))-AVERAGE(OFFSET($H$3,0,0,'Données projet'!$E$12+1,1))</f>
        <v>312.29056285877169</v>
      </c>
      <c r="CE173" s="59">
        <f t="shared" si="148"/>
        <v>233.85454224241693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88.51401386372261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88.51401386372261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-4.5474735088646412E-13</v>
      </c>
      <c r="CU173" s="17">
        <f>CT173*VLOOKUP('Données projet'!$B$13,Paramètres!$A$1:$I$89,3,0)*VLOOKUP('Données projet'!$B$13,Paramètres!$A$1:$I$89,5,0)</f>
        <v>-5.1786628318950535E-13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292.22737648725354</v>
      </c>
      <c r="CZ173" s="59">
        <f t="shared" si="150"/>
        <v>182.84038581199871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149.69352861601678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149.69352861601678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-4.5474735088646412E-13</v>
      </c>
      <c r="DP173" s="17">
        <f>DO173*VLOOKUP('Données projet'!$B$14,Paramètres!$A$1:$I$89,3,0)*VLOOKUP('Données projet'!$B$14,Paramètres!$A$1:$I$89,5,0)</f>
        <v>-4.9658410716801875E-13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276.52126514622455</v>
      </c>
      <c r="DU173" s="59">
        <f t="shared" si="152"/>
        <v>173.98404849503186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143.5417397687832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143.5417397687832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-4.5474735088646412E-13</v>
      </c>
      <c r="EK173" s="17">
        <f>EJ173*VLOOKUP('Données projet'!$B$15,Paramètres!$A$1:$I$89,3,0)*VLOOKUP('Données projet'!$B$15,Paramètres!$A$1:$I$89,5,0)</f>
        <v>-4.3983163777738812E-13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234.56750794375012</v>
      </c>
      <c r="EP173" s="59">
        <f t="shared" si="154"/>
        <v>150.32420541314724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127.1369695094937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127.1369695094937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1.5961632016114892E-13</v>
      </c>
      <c r="P174" s="13">
        <f t="shared" si="141"/>
        <v>2.2708641912150958E-12</v>
      </c>
      <c r="Q174" s="20">
        <f t="shared" si="162"/>
        <v>4.2330868906469593E-12</v>
      </c>
      <c r="R174" s="59">
        <f t="shared" si="109"/>
        <v>293.33333333333752</v>
      </c>
      <c r="S174" s="59">
        <f ca="1">AVERAGE(OFFSET($R$3,0,0,'Données projet'!$E$9+1,1))-AVERAGE(OFFSET($H$3,0,0,'Données projet'!$E$9+1,1))</f>
        <v>198.17898804494365</v>
      </c>
      <c r="T174" s="59">
        <f t="shared" si="142"/>
        <v>186.24772922797723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47.416497935347621</v>
      </c>
      <c r="AA174" s="21">
        <f>EXP(-LN(2)/25)*AA173+(1-EXP(-LN(2)/25))/(LN(2)/25)*Calculateur!V174*Calculateur!X174*VLOOKUP('Données projet'!$B$9,Paramètres!$A$1:$I$89,3,0)*0.475*44/12</f>
        <v>7.0461982140985802</v>
      </c>
      <c r="AB174" s="21">
        <f>EXP(-LN(2)/2)*AB173+(1-EXP(-LN(2)/2))/(LN(2)/2)*V174*Y174*VLOOKUP('Données projet'!$B$9,Paramètres!$A$1:$I$89,3,0)*0.475*44/12</f>
        <v>2.5828649806967749E-9</v>
      </c>
      <c r="AC174" s="22">
        <f t="shared" si="163"/>
        <v>54.462696152029068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278.21846622758881</v>
      </c>
      <c r="AO174" s="59">
        <f t="shared" si="144"/>
        <v>245.37578316242906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5.6843418860808015E-13</v>
      </c>
      <c r="BE174" s="13">
        <f>BD174*VLOOKUP('Données projet'!$B$11,Paramètres!$A$1:$I$89,3,0)*VLOOKUP('Données projet'!$B$11,Paramètres!$A$1:$I$89,5,0)</f>
        <v>5.1431925385259092E-13</v>
      </c>
      <c r="BF174" s="13">
        <f t="shared" si="167"/>
        <v>6.3855359115685756E-12</v>
      </c>
      <c r="BG174" s="20">
        <f t="shared" si="168"/>
        <v>1.2017247746441865E-11</v>
      </c>
      <c r="BH174" s="59">
        <f t="shared" si="116"/>
        <v>293.33333333334531</v>
      </c>
      <c r="BI174" s="59">
        <f ca="1">AVERAGE(OFFSET($BH$3,0,0,'Données projet'!$E$11+1,1))-AVERAGE(OFFSET($H$3,0,0,'Données projet'!$E$11+1,1))</f>
        <v>270.87836509222456</v>
      </c>
      <c r="BJ174" s="59">
        <f t="shared" si="146"/>
        <v>205.24998237949734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77.432951789603237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77.432951789603237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5.6843418860808015E-13</v>
      </c>
      <c r="BZ174" s="13">
        <f>BY174*VLOOKUP('Données projet'!$B$12,Paramètres!$A$1:$I$89,3,0)*VLOOKUP('Données projet'!$B$12,Paramètres!$A$1:$I$89,5,0)</f>
        <v>5.763922672485933E-13</v>
      </c>
      <c r="CA174" s="13">
        <f t="shared" si="170"/>
        <v>7.0619171555808457E-12</v>
      </c>
      <c r="CB174" s="20">
        <f t="shared" si="171"/>
        <v>1.3303388911427938E-11</v>
      </c>
      <c r="CC174" s="59">
        <f t="shared" si="119"/>
        <v>293.33333333334662</v>
      </c>
      <c r="CD174" s="59">
        <f ca="1">AVERAGE(OFFSET($CC$3,0,0,'Données projet'!$E$12+1,1))-AVERAGE(OFFSET($H$3,0,0,'Données projet'!$E$12+1,1))</f>
        <v>312.29056285877169</v>
      </c>
      <c r="CE174" s="59">
        <f t="shared" si="148"/>
        <v>233.85454224241693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86.778308040072574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86.778308040072574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-4.5474735088646412E-13</v>
      </c>
      <c r="CU174" s="17">
        <f>CT174*VLOOKUP('Données projet'!$B$13,Paramètres!$A$1:$I$89,3,0)*VLOOKUP('Données projet'!$B$13,Paramètres!$A$1:$I$89,5,0)</f>
        <v>-5.1786628318950535E-13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292.22737648725354</v>
      </c>
      <c r="CZ174" s="59">
        <f t="shared" si="150"/>
        <v>182.84038581199871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146.75812982389363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146.75812982389363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-4.5474735088646412E-13</v>
      </c>
      <c r="DP174" s="17">
        <f>DO174*VLOOKUP('Données projet'!$B$14,Paramètres!$A$1:$I$89,3,0)*VLOOKUP('Données projet'!$B$14,Paramètres!$A$1:$I$89,5,0)</f>
        <v>-4.9658410716801875E-13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276.52126514622455</v>
      </c>
      <c r="DU174" s="59">
        <f t="shared" si="152"/>
        <v>173.98404849503186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140.72697380373359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140.72697380373359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-4.5474735088646412E-13</v>
      </c>
      <c r="EK174" s="17">
        <f>EJ174*VLOOKUP('Données projet'!$B$15,Paramètres!$A$1:$I$89,3,0)*VLOOKUP('Données projet'!$B$15,Paramètres!$A$1:$I$89,5,0)</f>
        <v>-4.3983163777738812E-13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234.56750794375012</v>
      </c>
      <c r="EP174" s="59">
        <f t="shared" si="154"/>
        <v>150.32420541314724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124.6438910833069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124.6438910833069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1.5961632016114892E-13</v>
      </c>
      <c r="P175" s="13">
        <f t="shared" si="141"/>
        <v>2.2708641912150958E-12</v>
      </c>
      <c r="Q175" s="20">
        <f t="shared" si="162"/>
        <v>4.2330868906469593E-12</v>
      </c>
      <c r="R175" s="59">
        <f t="shared" si="109"/>
        <v>293.33333333333752</v>
      </c>
      <c r="S175" s="59">
        <f ca="1">AVERAGE(OFFSET($R$3,0,0,'Données projet'!$E$9+1,1))-AVERAGE(OFFSET($H$3,0,0,'Données projet'!$E$9+1,1))</f>
        <v>198.17898804494365</v>
      </c>
      <c r="T175" s="59">
        <f t="shared" si="142"/>
        <v>186.24772922797723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46.486689332043461</v>
      </c>
      <c r="AA175" s="21">
        <f>EXP(-LN(2)/25)*AA174+(1-EXP(-LN(2)/25))/(LN(2)/25)*Calculateur!V175*Calculateur!X175*VLOOKUP('Données projet'!$B$9,Paramètres!$A$1:$I$89,3,0)*0.475*44/12</f>
        <v>6.853519553390595</v>
      </c>
      <c r="AB175" s="21">
        <f>EXP(-LN(2)/2)*AB174+(1-EXP(-LN(2)/2))/(LN(2)/2)*V175*Y175*VLOOKUP('Données projet'!$B$9,Paramètres!$A$1:$I$89,3,0)*0.475*44/12</f>
        <v>1.8263613427399508E-9</v>
      </c>
      <c r="AC175" s="22">
        <f t="shared" si="163"/>
        <v>53.340208887260424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278.21846622758881</v>
      </c>
      <c r="AO175" s="59">
        <f t="shared" si="144"/>
        <v>245.37578316242906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5.6843418860808015E-13</v>
      </c>
      <c r="BE175" s="13">
        <f>BD175*VLOOKUP('Données projet'!$B$11,Paramètres!$A$1:$I$89,3,0)*VLOOKUP('Données projet'!$B$11,Paramètres!$A$1:$I$89,5,0)</f>
        <v>5.1431925385259092E-13</v>
      </c>
      <c r="BF175" s="13">
        <f t="shared" si="167"/>
        <v>6.3855359115685756E-12</v>
      </c>
      <c r="BG175" s="20">
        <f t="shared" si="168"/>
        <v>1.2017247746441865E-11</v>
      </c>
      <c r="BH175" s="59">
        <f t="shared" si="116"/>
        <v>293.33333333334531</v>
      </c>
      <c r="BI175" s="59">
        <f ca="1">AVERAGE(OFFSET($BH$3,0,0,'Données projet'!$E$11+1,1))-AVERAGE(OFFSET($H$3,0,0,'Données projet'!$E$11+1,1))</f>
        <v>270.87836509222456</v>
      </c>
      <c r="BJ175" s="59">
        <f t="shared" si="146"/>
        <v>205.24998237949734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75.914538834446191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75.914538834446191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5.6843418860808015E-13</v>
      </c>
      <c r="BZ175" s="13">
        <f>BY175*VLOOKUP('Données projet'!$B$12,Paramètres!$A$1:$I$89,3,0)*VLOOKUP('Données projet'!$B$12,Paramètres!$A$1:$I$89,5,0)</f>
        <v>5.763922672485933E-13</v>
      </c>
      <c r="CA175" s="13">
        <f t="shared" si="170"/>
        <v>7.0619171555808457E-12</v>
      </c>
      <c r="CB175" s="20">
        <f t="shared" si="171"/>
        <v>1.3303388911427938E-11</v>
      </c>
      <c r="CC175" s="59">
        <f t="shared" si="119"/>
        <v>293.33333333334662</v>
      </c>
      <c r="CD175" s="59">
        <f ca="1">AVERAGE(OFFSET($CC$3,0,0,'Données projet'!$E$12+1,1))-AVERAGE(OFFSET($H$3,0,0,'Données projet'!$E$12+1,1))</f>
        <v>312.29056285877169</v>
      </c>
      <c r="CE175" s="59">
        <f t="shared" si="148"/>
        <v>233.85454224241693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85.076638348948293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85.076638348948293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-4.5474735088646412E-13</v>
      </c>
      <c r="CU175" s="17">
        <f>CT175*VLOOKUP('Données projet'!$B$13,Paramètres!$A$1:$I$89,3,0)*VLOOKUP('Données projet'!$B$13,Paramètres!$A$1:$I$89,5,0)</f>
        <v>-5.1786628318950535E-13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292.22737648725354</v>
      </c>
      <c r="CZ175" s="59">
        <f t="shared" si="150"/>
        <v>182.84038581199871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143.88029241166754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143.88029241166754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-4.5474735088646412E-13</v>
      </c>
      <c r="DP175" s="17">
        <f>DO175*VLOOKUP('Données projet'!$B$14,Paramètres!$A$1:$I$89,3,0)*VLOOKUP('Données projet'!$B$14,Paramètres!$A$1:$I$89,5,0)</f>
        <v>-4.9658410716801875E-13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276.52126514622455</v>
      </c>
      <c r="DU175" s="59">
        <f t="shared" si="152"/>
        <v>173.98404849503186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137.96740368242089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137.96740368242089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-4.5474735088646412E-13</v>
      </c>
      <c r="EK175" s="17">
        <f>EJ175*VLOOKUP('Données projet'!$B$15,Paramètres!$A$1:$I$89,3,0)*VLOOKUP('Données projet'!$B$15,Paramètres!$A$1:$I$89,5,0)</f>
        <v>-4.3983163777738812E-13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234.56750794375012</v>
      </c>
      <c r="EP175" s="59">
        <f t="shared" si="154"/>
        <v>150.32420541314724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122.19970040442993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122.19970040442993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1.5961632016114892E-13</v>
      </c>
      <c r="P176" s="13">
        <f t="shared" si="141"/>
        <v>2.2708641912150958E-12</v>
      </c>
      <c r="Q176" s="20">
        <f t="shared" si="162"/>
        <v>4.2330868906469593E-12</v>
      </c>
      <c r="R176" s="59">
        <f t="shared" si="109"/>
        <v>293.33333333333752</v>
      </c>
      <c r="S176" s="59">
        <f ca="1">AVERAGE(OFFSET($R$3,0,0,'Données projet'!$E$9+1,1))-AVERAGE(OFFSET($H$3,0,0,'Données projet'!$E$9+1,1))</f>
        <v>198.17898804494365</v>
      </c>
      <c r="T176" s="59">
        <f t="shared" si="142"/>
        <v>186.24772922797723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45.575113708322846</v>
      </c>
      <c r="AA176" s="21">
        <f>EXP(-LN(2)/25)*AA175+(1-EXP(-LN(2)/25))/(LN(2)/25)*Calculateur!V176*Calculateur!X176*VLOOKUP('Données projet'!$B$9,Paramètres!$A$1:$I$89,3,0)*0.475*44/12</f>
        <v>6.6661097007921999</v>
      </c>
      <c r="AB176" s="21">
        <f>EXP(-LN(2)/2)*AB175+(1-EXP(-LN(2)/2))/(LN(2)/2)*V176*Y176*VLOOKUP('Données projet'!$B$9,Paramètres!$A$1:$I$89,3,0)*0.475*44/12</f>
        <v>1.2914324903483877E-9</v>
      </c>
      <c r="AC176" s="22">
        <f t="shared" si="163"/>
        <v>52.241223410406477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278.21846622758881</v>
      </c>
      <c r="AO176" s="59">
        <f t="shared" si="144"/>
        <v>245.37578316242906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5.6843418860808015E-13</v>
      </c>
      <c r="BE176" s="13">
        <f>BD176*VLOOKUP('Données projet'!$B$11,Paramètres!$A$1:$I$89,3,0)*VLOOKUP('Données projet'!$B$11,Paramètres!$A$1:$I$89,5,0)</f>
        <v>5.1431925385259092E-13</v>
      </c>
      <c r="BF176" s="13">
        <f t="shared" si="167"/>
        <v>6.3855359115685756E-12</v>
      </c>
      <c r="BG176" s="20">
        <f t="shared" si="168"/>
        <v>1.2017247746441865E-11</v>
      </c>
      <c r="BH176" s="59">
        <f t="shared" si="116"/>
        <v>293.33333333334531</v>
      </c>
      <c r="BI176" s="59">
        <f ca="1">AVERAGE(OFFSET($BH$3,0,0,'Données projet'!$E$11+1,1))-AVERAGE(OFFSET($H$3,0,0,'Données projet'!$E$11+1,1))</f>
        <v>270.87836509222456</v>
      </c>
      <c r="BJ176" s="59">
        <f t="shared" si="146"/>
        <v>205.24998237949734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74.425901031199317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74.425901031199317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5.6843418860808015E-13</v>
      </c>
      <c r="BZ176" s="13">
        <f>BY176*VLOOKUP('Données projet'!$B$12,Paramètres!$A$1:$I$89,3,0)*VLOOKUP('Données projet'!$B$12,Paramètres!$A$1:$I$89,5,0)</f>
        <v>5.763922672485933E-13</v>
      </c>
      <c r="CA176" s="13">
        <f t="shared" si="170"/>
        <v>7.0619171555808457E-12</v>
      </c>
      <c r="CB176" s="20">
        <f t="shared" si="171"/>
        <v>1.3303388911427938E-11</v>
      </c>
      <c r="CC176" s="59">
        <f t="shared" si="119"/>
        <v>293.33333333334662</v>
      </c>
      <c r="CD176" s="59">
        <f ca="1">AVERAGE(OFFSET($CC$3,0,0,'Données projet'!$E$12+1,1))-AVERAGE(OFFSET($H$3,0,0,'Données projet'!$E$12+1,1))</f>
        <v>312.29056285877169</v>
      </c>
      <c r="CE176" s="59">
        <f t="shared" si="148"/>
        <v>233.85454224241693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83.408337362550938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83.408337362550938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-4.5474735088646412E-13</v>
      </c>
      <c r="CU176" s="17">
        <f>CT176*VLOOKUP('Données projet'!$B$13,Paramètres!$A$1:$I$89,3,0)*VLOOKUP('Données projet'!$B$13,Paramètres!$A$1:$I$89,5,0)</f>
        <v>-5.1786628318950535E-13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292.22737648725354</v>
      </c>
      <c r="CZ176" s="59">
        <f t="shared" si="150"/>
        <v>182.84038581199871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141.0588876357877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141.0588876357877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-4.5474735088646412E-13</v>
      </c>
      <c r="DP176" s="17">
        <f>DO176*VLOOKUP('Données projet'!$B$14,Paramètres!$A$1:$I$89,3,0)*VLOOKUP('Données projet'!$B$14,Paramètres!$A$1:$I$89,5,0)</f>
        <v>-4.9658410716801875E-13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276.52126514622455</v>
      </c>
      <c r="DU176" s="59">
        <f t="shared" si="152"/>
        <v>173.98404849503186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135.26194704801557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135.26194704801557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-4.5474735088646412E-13</v>
      </c>
      <c r="EK176" s="17">
        <f>EJ176*VLOOKUP('Données projet'!$B$15,Paramètres!$A$1:$I$89,3,0)*VLOOKUP('Données projet'!$B$15,Paramètres!$A$1:$I$89,5,0)</f>
        <v>-4.3983163777738812E-13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234.56750794375012</v>
      </c>
      <c r="EP176" s="59">
        <f t="shared" si="154"/>
        <v>150.32420541314724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119.80343881395665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119.80343881395665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1.5961632016114892E-13</v>
      </c>
      <c r="P177" s="13">
        <f t="shared" si="141"/>
        <v>2.2708641912150958E-12</v>
      </c>
      <c r="Q177" s="20">
        <f t="shared" si="162"/>
        <v>4.2330868906469593E-12</v>
      </c>
      <c r="R177" s="59">
        <f t="shared" si="109"/>
        <v>293.33333333333752</v>
      </c>
      <c r="S177" s="59">
        <f ca="1">AVERAGE(OFFSET($R$3,0,0,'Données projet'!$E$9+1,1))-AVERAGE(OFFSET($H$3,0,0,'Données projet'!$E$9+1,1))</f>
        <v>198.17898804494365</v>
      </c>
      <c r="T177" s="59">
        <f t="shared" si="142"/>
        <v>186.24772922797723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44.681413526577167</v>
      </c>
      <c r="AA177" s="21">
        <f>EXP(-LN(2)/25)*AA176+(1-EXP(-LN(2)/25))/(LN(2)/25)*Calculateur!V177*Calculateur!X177*VLOOKUP('Données projet'!$B$9,Paramètres!$A$1:$I$89,3,0)*0.475*44/12</f>
        <v>6.4838245804685632</v>
      </c>
      <c r="AB177" s="21">
        <f>EXP(-LN(2)/2)*AB176+(1-EXP(-LN(2)/2))/(LN(2)/2)*V177*Y177*VLOOKUP('Données projet'!$B$9,Paramètres!$A$1:$I$89,3,0)*0.475*44/12</f>
        <v>9.1318067136997553E-10</v>
      </c>
      <c r="AC177" s="22">
        <f t="shared" si="163"/>
        <v>51.165238107958913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278.21846622758881</v>
      </c>
      <c r="AO177" s="59">
        <f t="shared" si="144"/>
        <v>245.37578316242906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5.6843418860808015E-13</v>
      </c>
      <c r="BE177" s="13">
        <f>BD177*VLOOKUP('Données projet'!$B$11,Paramètres!$A$1:$I$89,3,0)*VLOOKUP('Données projet'!$B$11,Paramètres!$A$1:$I$89,5,0)</f>
        <v>5.1431925385259092E-13</v>
      </c>
      <c r="BF177" s="13">
        <f t="shared" si="167"/>
        <v>6.3855359115685756E-12</v>
      </c>
      <c r="BG177" s="20">
        <f t="shared" si="168"/>
        <v>1.2017247746441865E-11</v>
      </c>
      <c r="BH177" s="59">
        <f t="shared" si="116"/>
        <v>293.33333333334531</v>
      </c>
      <c r="BI177" s="59">
        <f ca="1">AVERAGE(OFFSET($BH$3,0,0,'Données projet'!$E$11+1,1))-AVERAGE(OFFSET($H$3,0,0,'Données projet'!$E$11+1,1))</f>
        <v>270.87836509222456</v>
      </c>
      <c r="BJ177" s="59">
        <f t="shared" si="146"/>
        <v>205.24998237949734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72.966454507294713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72.966454507294713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5.6843418860808015E-13</v>
      </c>
      <c r="BZ177" s="13">
        <f>BY177*VLOOKUP('Données projet'!$B$12,Paramètres!$A$1:$I$89,3,0)*VLOOKUP('Données projet'!$B$12,Paramètres!$A$1:$I$89,5,0)</f>
        <v>5.763922672485933E-13</v>
      </c>
      <c r="CA177" s="13">
        <f t="shared" si="170"/>
        <v>7.0619171555808457E-12</v>
      </c>
      <c r="CB177" s="20">
        <f t="shared" si="171"/>
        <v>1.3303388911427938E-11</v>
      </c>
      <c r="CC177" s="59">
        <f t="shared" si="119"/>
        <v>293.33333333334662</v>
      </c>
      <c r="CD177" s="59">
        <f ca="1">AVERAGE(OFFSET($CC$3,0,0,'Données projet'!$E$12+1,1))-AVERAGE(OFFSET($H$3,0,0,'Données projet'!$E$12+1,1))</f>
        <v>312.29056285877169</v>
      </c>
      <c r="CE177" s="59">
        <f t="shared" si="148"/>
        <v>233.85454224241693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81.772750740933702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81.772750740933702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-4.5474735088646412E-13</v>
      </c>
      <c r="CU177" s="17">
        <f>CT177*VLOOKUP('Données projet'!$B$13,Paramètres!$A$1:$I$89,3,0)*VLOOKUP('Données projet'!$B$13,Paramètres!$A$1:$I$89,5,0)</f>
        <v>-5.1786628318950535E-13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292.22737648725354</v>
      </c>
      <c r="CZ177" s="59">
        <f t="shared" si="150"/>
        <v>182.84038581199871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138.29280888667586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138.29280888667586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-4.5474735088646412E-13</v>
      </c>
      <c r="DP177" s="17">
        <f>DO177*VLOOKUP('Données projet'!$B$14,Paramètres!$A$1:$I$89,3,0)*VLOOKUP('Données projet'!$B$14,Paramètres!$A$1:$I$89,5,0)</f>
        <v>-4.9658410716801875E-13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276.52126514622455</v>
      </c>
      <c r="DU177" s="59">
        <f t="shared" si="152"/>
        <v>173.98404849503186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132.60954276804532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132.60954276804532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-4.5474735088646412E-13</v>
      </c>
      <c r="EK177" s="17">
        <f>EJ177*VLOOKUP('Données projet'!$B$15,Paramètres!$A$1:$I$89,3,0)*VLOOKUP('Données projet'!$B$15,Paramètres!$A$1:$I$89,5,0)</f>
        <v>-4.3983163777738812E-13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234.56750794375012</v>
      </c>
      <c r="EP177" s="59">
        <f t="shared" si="154"/>
        <v>150.32420541314724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117.45416645169729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117.45416645169729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1.5961632016114892E-13</v>
      </c>
      <c r="P178" s="13">
        <f t="shared" si="141"/>
        <v>2.2708641912150958E-12</v>
      </c>
      <c r="Q178" s="20">
        <f t="shared" si="162"/>
        <v>4.2330868906469593E-12</v>
      </c>
      <c r="R178" s="59">
        <f t="shared" si="109"/>
        <v>293.33333333333752</v>
      </c>
      <c r="S178" s="59">
        <f ca="1">AVERAGE(OFFSET($R$3,0,0,'Données projet'!$E$9+1,1))-AVERAGE(OFFSET($H$3,0,0,'Données projet'!$E$9+1,1))</f>
        <v>198.17898804494365</v>
      </c>
      <c r="T178" s="59">
        <f t="shared" si="142"/>
        <v>186.24772922797723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43.805238260292235</v>
      </c>
      <c r="AA178" s="21">
        <f>EXP(-LN(2)/25)*AA177+(1-EXP(-LN(2)/25))/(LN(2)/25)*Calculateur!V178*Calculateur!X178*VLOOKUP('Données projet'!$B$9,Paramètres!$A$1:$I$89,3,0)*0.475*44/12</f>
        <v>6.3065240563461344</v>
      </c>
      <c r="AB178" s="21">
        <f>EXP(-LN(2)/2)*AB177+(1-EXP(-LN(2)/2))/(LN(2)/2)*V178*Y178*VLOOKUP('Données projet'!$B$9,Paramètres!$A$1:$I$89,3,0)*0.475*44/12</f>
        <v>6.4571624517419394E-10</v>
      </c>
      <c r="AC178" s="22">
        <f t="shared" si="163"/>
        <v>50.111762317284082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278.21846622758881</v>
      </c>
      <c r="AO178" s="59">
        <f t="shared" si="144"/>
        <v>245.37578316242906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5.6843418860808015E-13</v>
      </c>
      <c r="BE178" s="13">
        <f>BD178*VLOOKUP('Données projet'!$B$11,Paramètres!$A$1:$I$89,3,0)*VLOOKUP('Données projet'!$B$11,Paramètres!$A$1:$I$89,5,0)</f>
        <v>5.1431925385259092E-13</v>
      </c>
      <c r="BF178" s="13">
        <f t="shared" si="167"/>
        <v>6.3855359115685756E-12</v>
      </c>
      <c r="BG178" s="20">
        <f t="shared" si="168"/>
        <v>1.2017247746441865E-11</v>
      </c>
      <c r="BH178" s="59">
        <f t="shared" si="116"/>
        <v>293.33333333334531</v>
      </c>
      <c r="BI178" s="59">
        <f ca="1">AVERAGE(OFFSET($BH$3,0,0,'Données projet'!$E$11+1,1))-AVERAGE(OFFSET($H$3,0,0,'Données projet'!$E$11+1,1))</f>
        <v>270.87836509222456</v>
      </c>
      <c r="BJ178" s="59">
        <f t="shared" si="146"/>
        <v>205.24998237949734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71.535626839549394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71.535626839549394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5.6843418860808015E-13</v>
      </c>
      <c r="BZ178" s="13">
        <f>BY178*VLOOKUP('Données projet'!$B$12,Paramètres!$A$1:$I$89,3,0)*VLOOKUP('Données projet'!$B$12,Paramètres!$A$1:$I$89,5,0)</f>
        <v>5.763922672485933E-13</v>
      </c>
      <c r="CA178" s="13">
        <f t="shared" si="170"/>
        <v>7.0619171555808457E-12</v>
      </c>
      <c r="CB178" s="20">
        <f t="shared" si="171"/>
        <v>1.3303388911427938E-11</v>
      </c>
      <c r="CC178" s="59">
        <f t="shared" si="119"/>
        <v>293.33333333334662</v>
      </c>
      <c r="CD178" s="59">
        <f ca="1">AVERAGE(OFFSET($CC$3,0,0,'Données projet'!$E$12+1,1))-AVERAGE(OFFSET($H$3,0,0,'Données projet'!$E$12+1,1))</f>
        <v>312.29056285877169</v>
      </c>
      <c r="CE178" s="59">
        <f t="shared" si="148"/>
        <v>233.85454224241693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80.169236975357052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80.169236975357052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-4.5474735088646412E-13</v>
      </c>
      <c r="CU178" s="17">
        <f>CT178*VLOOKUP('Données projet'!$B$13,Paramètres!$A$1:$I$89,3,0)*VLOOKUP('Données projet'!$B$13,Paramètres!$A$1:$I$89,5,0)</f>
        <v>-5.1786628318950535E-13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292.22737648725354</v>
      </c>
      <c r="CZ178" s="59">
        <f t="shared" si="150"/>
        <v>182.84038581199871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135.58097125469266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135.58097125469266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-4.5474735088646412E-13</v>
      </c>
      <c r="DP178" s="17">
        <f>DO178*VLOOKUP('Données projet'!$B$14,Paramètres!$A$1:$I$89,3,0)*VLOOKUP('Données projet'!$B$14,Paramètres!$A$1:$I$89,5,0)</f>
        <v>-4.9658410716801875E-13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276.52126514622455</v>
      </c>
      <c r="DU178" s="59">
        <f t="shared" si="152"/>
        <v>173.98404849503186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130.00915051819842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130.00915051819842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-4.5474735088646412E-13</v>
      </c>
      <c r="EK178" s="17">
        <f>EJ178*VLOOKUP('Données projet'!$B$15,Paramètres!$A$1:$I$89,3,0)*VLOOKUP('Données projet'!$B$15,Paramètres!$A$1:$I$89,5,0)</f>
        <v>-4.3983163777738812E-13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234.56750794375012</v>
      </c>
      <c r="EP178" s="59">
        <f t="shared" si="154"/>
        <v>150.32420541314724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115.15096188754718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115.15096188754718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1.5961632016114892E-13</v>
      </c>
      <c r="P179" s="13">
        <f t="shared" si="141"/>
        <v>2.2708641912150958E-12</v>
      </c>
      <c r="Q179" s="20">
        <f t="shared" si="162"/>
        <v>4.2330868906469593E-12</v>
      </c>
      <c r="R179" s="59">
        <f t="shared" si="109"/>
        <v>293.33333333333752</v>
      </c>
      <c r="S179" s="59">
        <f ca="1">AVERAGE(OFFSET($R$3,0,0,'Données projet'!$E$9+1,1))-AVERAGE(OFFSET($H$3,0,0,'Données projet'!$E$9+1,1))</f>
        <v>198.17898804494365</v>
      </c>
      <c r="T179" s="59">
        <f t="shared" si="142"/>
        <v>186.24772922797723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42.946244256565002</v>
      </c>
      <c r="AA179" s="21">
        <f>EXP(-LN(2)/25)*AA178+(1-EXP(-LN(2)/25))/(LN(2)/25)*Calculateur!V179*Calculateur!X179*VLOOKUP('Données projet'!$B$9,Paramètres!$A$1:$I$89,3,0)*0.475*44/12</f>
        <v>6.1340718243796628</v>
      </c>
      <c r="AB179" s="21">
        <f>EXP(-LN(2)/2)*AB178+(1-EXP(-LN(2)/2))/(LN(2)/2)*V179*Y179*VLOOKUP('Données projet'!$B$9,Paramètres!$A$1:$I$89,3,0)*0.475*44/12</f>
        <v>4.5659033568498787E-10</v>
      </c>
      <c r="AC179" s="22">
        <f t="shared" si="163"/>
        <v>49.08031608140125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278.21846622758881</v>
      </c>
      <c r="AO179" s="59">
        <f t="shared" si="144"/>
        <v>245.37578316242906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5.6843418860808015E-13</v>
      </c>
      <c r="BE179" s="13">
        <f>BD179*VLOOKUP('Données projet'!$B$11,Paramètres!$A$1:$I$89,3,0)*VLOOKUP('Données projet'!$B$11,Paramètres!$A$1:$I$89,5,0)</f>
        <v>5.1431925385259092E-13</v>
      </c>
      <c r="BF179" s="13">
        <f t="shared" si="167"/>
        <v>6.3855359115685756E-12</v>
      </c>
      <c r="BG179" s="20">
        <f t="shared" si="168"/>
        <v>1.2017247746441865E-11</v>
      </c>
      <c r="BH179" s="59">
        <f t="shared" si="116"/>
        <v>293.33333333334531</v>
      </c>
      <c r="BI179" s="59">
        <f ca="1">AVERAGE(OFFSET($BH$3,0,0,'Données projet'!$E$11+1,1))-AVERAGE(OFFSET($H$3,0,0,'Données projet'!$E$11+1,1))</f>
        <v>270.87836509222456</v>
      </c>
      <c r="BJ179" s="59">
        <f t="shared" si="146"/>
        <v>205.24998237949734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70.132856829649853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70.132856829649853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5.6843418860808015E-13</v>
      </c>
      <c r="BZ179" s="13">
        <f>BY179*VLOOKUP('Données projet'!$B$12,Paramètres!$A$1:$I$89,3,0)*VLOOKUP('Données projet'!$B$12,Paramètres!$A$1:$I$89,5,0)</f>
        <v>5.763922672485933E-13</v>
      </c>
      <c r="CA179" s="13">
        <f t="shared" si="170"/>
        <v>7.0619171555808457E-12</v>
      </c>
      <c r="CB179" s="20">
        <f t="shared" si="171"/>
        <v>1.3303388911427938E-11</v>
      </c>
      <c r="CC179" s="59">
        <f t="shared" si="119"/>
        <v>293.33333333334662</v>
      </c>
      <c r="CD179" s="59">
        <f ca="1">AVERAGE(OFFSET($CC$3,0,0,'Données projet'!$E$12+1,1))-AVERAGE(OFFSET($H$3,0,0,'Données projet'!$E$12+1,1))</f>
        <v>312.29056285877169</v>
      </c>
      <c r="CE179" s="59">
        <f t="shared" si="148"/>
        <v>233.85454224241693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78.597167136676532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78.597167136676532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-4.5474735088646412E-13</v>
      </c>
      <c r="CU179" s="17">
        <f>CT179*VLOOKUP('Données projet'!$B$13,Paramètres!$A$1:$I$89,3,0)*VLOOKUP('Données projet'!$B$13,Paramètres!$A$1:$I$89,5,0)</f>
        <v>-5.1786628318950535E-13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292.22737648725354</v>
      </c>
      <c r="CZ179" s="59">
        <f t="shared" si="150"/>
        <v>182.84038581199871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132.92231110461503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132.92231110461503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-4.5474735088646412E-13</v>
      </c>
      <c r="DP179" s="17">
        <f>DO179*VLOOKUP('Données projet'!$B$14,Paramètres!$A$1:$I$89,3,0)*VLOOKUP('Données projet'!$B$14,Paramètres!$A$1:$I$89,5,0)</f>
        <v>-4.9658410716801875E-13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276.52126514622455</v>
      </c>
      <c r="DU179" s="59">
        <f t="shared" si="152"/>
        <v>173.98404849503186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127.45975037428836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127.45975037428836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-4.5474735088646412E-13</v>
      </c>
      <c r="EK179" s="17">
        <f>EJ179*VLOOKUP('Données projet'!$B$15,Paramètres!$A$1:$I$89,3,0)*VLOOKUP('Données projet'!$B$15,Paramètres!$A$1:$I$89,5,0)</f>
        <v>-4.3983163777738812E-13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234.56750794375012</v>
      </c>
      <c r="EP179" s="59">
        <f t="shared" si="154"/>
        <v>150.32420541314724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112.89292176008399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112.89292176008399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1.5961632016114892E-13</v>
      </c>
      <c r="P180" s="13">
        <f t="shared" si="141"/>
        <v>2.2708641912150958E-12</v>
      </c>
      <c r="Q180" s="20">
        <f t="shared" si="162"/>
        <v>4.2330868906469593E-12</v>
      </c>
      <c r="R180" s="59">
        <f t="shared" si="109"/>
        <v>293.33333333333752</v>
      </c>
      <c r="S180" s="59">
        <f ca="1">AVERAGE(OFFSET($R$3,0,0,'Données projet'!$E$9+1,1))-AVERAGE(OFFSET($H$3,0,0,'Données projet'!$E$9+1,1))</f>
        <v>198.17898804494365</v>
      </c>
      <c r="T180" s="59">
        <f t="shared" si="142"/>
        <v>186.24772922797723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42.104094601316255</v>
      </c>
      <c r="AA180" s="21">
        <f>EXP(-LN(2)/25)*AA179+(1-EXP(-LN(2)/25))/(LN(2)/25)*Calculateur!V180*Calculateur!X180*VLOOKUP('Données projet'!$B$9,Paramètres!$A$1:$I$89,3,0)*0.475*44/12</f>
        <v>5.9663353077651831</v>
      </c>
      <c r="AB180" s="21">
        <f>EXP(-LN(2)/2)*AB179+(1-EXP(-LN(2)/2))/(LN(2)/2)*V180*Y180*VLOOKUP('Données projet'!$B$9,Paramètres!$A$1:$I$89,3,0)*0.475*44/12</f>
        <v>3.2285812258709702E-10</v>
      </c>
      <c r="AC180" s="22">
        <f t="shared" si="163"/>
        <v>48.070429909404297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278.21846622758881</v>
      </c>
      <c r="AO180" s="59">
        <f t="shared" si="144"/>
        <v>245.37578316242906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5.6843418860808015E-13</v>
      </c>
      <c r="BE180" s="13">
        <f>BD180*VLOOKUP('Données projet'!$B$11,Paramètres!$A$1:$I$89,3,0)*VLOOKUP('Données projet'!$B$11,Paramètres!$A$1:$I$89,5,0)</f>
        <v>5.1431925385259092E-13</v>
      </c>
      <c r="BF180" s="13">
        <f t="shared" si="167"/>
        <v>6.3855359115685756E-12</v>
      </c>
      <c r="BG180" s="20">
        <f t="shared" si="168"/>
        <v>1.2017247746441865E-11</v>
      </c>
      <c r="BH180" s="59">
        <f t="shared" si="116"/>
        <v>293.33333333334531</v>
      </c>
      <c r="BI180" s="59">
        <f ca="1">AVERAGE(OFFSET($BH$3,0,0,'Données projet'!$E$11+1,1))-AVERAGE(OFFSET($H$3,0,0,'Données projet'!$E$11+1,1))</f>
        <v>270.87836509222456</v>
      </c>
      <c r="BJ180" s="59">
        <f t="shared" si="146"/>
        <v>205.24998237949734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68.757594284039229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68.757594284039229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5.6843418860808015E-13</v>
      </c>
      <c r="BZ180" s="13">
        <f>BY180*VLOOKUP('Données projet'!$B$12,Paramètres!$A$1:$I$89,3,0)*VLOOKUP('Données projet'!$B$12,Paramètres!$A$1:$I$89,5,0)</f>
        <v>5.763922672485933E-13</v>
      </c>
      <c r="CA180" s="13">
        <f t="shared" si="170"/>
        <v>7.0619171555808457E-12</v>
      </c>
      <c r="CB180" s="20">
        <f t="shared" si="171"/>
        <v>1.3303388911427938E-11</v>
      </c>
      <c r="CC180" s="59">
        <f t="shared" si="119"/>
        <v>293.33333333334662</v>
      </c>
      <c r="CD180" s="59">
        <f ca="1">AVERAGE(OFFSET($CC$3,0,0,'Données projet'!$E$12+1,1))-AVERAGE(OFFSET($H$3,0,0,'Données projet'!$E$12+1,1))</f>
        <v>312.29056285877169</v>
      </c>
      <c r="CE180" s="59">
        <f t="shared" si="148"/>
        <v>233.85454224241693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77.055924628664627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77.055924628664627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-4.5474735088646412E-13</v>
      </c>
      <c r="CU180" s="17">
        <f>CT180*VLOOKUP('Données projet'!$B$13,Paramètres!$A$1:$I$89,3,0)*VLOOKUP('Données projet'!$B$13,Paramètres!$A$1:$I$89,5,0)</f>
        <v>-5.1786628318950535E-13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292.22737648725354</v>
      </c>
      <c r="CZ180" s="59">
        <f t="shared" si="150"/>
        <v>182.84038581199871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130.31578565845786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130.31578565845786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-4.5474735088646412E-13</v>
      </c>
      <c r="DP180" s="17">
        <f>DO180*VLOOKUP('Données projet'!$B$14,Paramètres!$A$1:$I$89,3,0)*VLOOKUP('Données projet'!$B$14,Paramètres!$A$1:$I$89,5,0)</f>
        <v>-4.9658410716801875E-13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276.52126514622455</v>
      </c>
      <c r="DU180" s="59">
        <f t="shared" si="152"/>
        <v>173.98404849503186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124.96034241221983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124.96034241221983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-4.5474735088646412E-13</v>
      </c>
      <c r="EK180" s="17">
        <f>EJ180*VLOOKUP('Données projet'!$B$15,Paramètres!$A$1:$I$89,3,0)*VLOOKUP('Données projet'!$B$15,Paramètres!$A$1:$I$89,5,0)</f>
        <v>-4.3983163777738812E-13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234.56750794375012</v>
      </c>
      <c r="EP180" s="59">
        <f t="shared" si="154"/>
        <v>150.32420541314724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110.67916042225187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110.67916042225187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1.5961632016114892E-13</v>
      </c>
      <c r="P181" s="13">
        <f t="shared" si="141"/>
        <v>2.2708641912150958E-12</v>
      </c>
      <c r="Q181" s="20">
        <f t="shared" si="162"/>
        <v>4.2330868906469593E-12</v>
      </c>
      <c r="R181" s="59">
        <f t="shared" si="109"/>
        <v>293.33333333333752</v>
      </c>
      <c r="S181" s="59">
        <f ca="1">AVERAGE(OFFSET($R$3,0,0,'Données projet'!$E$9+1,1))-AVERAGE(OFFSET($H$3,0,0,'Données projet'!$E$9+1,1))</f>
        <v>198.17898804494365</v>
      </c>
      <c r="T181" s="59">
        <f t="shared" si="142"/>
        <v>186.24772922797723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41.278458987146365</v>
      </c>
      <c r="AA181" s="21">
        <f>EXP(-LN(2)/25)*AA180+(1-EXP(-LN(2)/25))/(LN(2)/25)*Calculateur!V181*Calculateur!X181*VLOOKUP('Données projet'!$B$9,Paramètres!$A$1:$I$89,3,0)*0.475*44/12</f>
        <v>5.8031855550184064</v>
      </c>
      <c r="AB181" s="21">
        <f>EXP(-LN(2)/2)*AB180+(1-EXP(-LN(2)/2))/(LN(2)/2)*V181*Y181*VLOOKUP('Données projet'!$B$9,Paramètres!$A$1:$I$89,3,0)*0.475*44/12</f>
        <v>2.2829516784249396E-10</v>
      </c>
      <c r="AC181" s="22">
        <f t="shared" si="163"/>
        <v>47.081644542393072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278.21846622758881</v>
      </c>
      <c r="AO181" s="59">
        <f t="shared" si="144"/>
        <v>245.37578316242906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5.6843418860808015E-13</v>
      </c>
      <c r="BE181" s="13">
        <f>BD181*VLOOKUP('Données projet'!$B$11,Paramètres!$A$1:$I$89,3,0)*VLOOKUP('Données projet'!$B$11,Paramètres!$A$1:$I$89,5,0)</f>
        <v>5.1431925385259092E-13</v>
      </c>
      <c r="BF181" s="13">
        <f t="shared" si="167"/>
        <v>6.3855359115685756E-12</v>
      </c>
      <c r="BG181" s="20">
        <f t="shared" si="168"/>
        <v>1.2017247746441865E-11</v>
      </c>
      <c r="BH181" s="59">
        <f t="shared" si="116"/>
        <v>293.33333333334531</v>
      </c>
      <c r="BI181" s="59">
        <f ca="1">AVERAGE(OFFSET($BH$3,0,0,'Données projet'!$E$11+1,1))-AVERAGE(OFFSET($H$3,0,0,'Données projet'!$E$11+1,1))</f>
        <v>270.87836509222456</v>
      </c>
      <c r="BJ181" s="59">
        <f t="shared" si="146"/>
        <v>205.24998237949734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67.409299798120699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67.409299798120699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5.6843418860808015E-13</v>
      </c>
      <c r="BZ181" s="13">
        <f>BY181*VLOOKUP('Données projet'!$B$12,Paramètres!$A$1:$I$89,3,0)*VLOOKUP('Données projet'!$B$12,Paramètres!$A$1:$I$89,5,0)</f>
        <v>5.763922672485933E-13</v>
      </c>
      <c r="CA181" s="13">
        <f t="shared" si="170"/>
        <v>7.0619171555808457E-12</v>
      </c>
      <c r="CB181" s="20">
        <f t="shared" si="171"/>
        <v>1.3303388911427938E-11</v>
      </c>
      <c r="CC181" s="59">
        <f t="shared" si="119"/>
        <v>293.33333333334662</v>
      </c>
      <c r="CD181" s="59">
        <f ca="1">AVERAGE(OFFSET($CC$3,0,0,'Données projet'!$E$12+1,1))-AVERAGE(OFFSET($H$3,0,0,'Données projet'!$E$12+1,1))</f>
        <v>312.29056285877169</v>
      </c>
      <c r="CE181" s="59">
        <f t="shared" si="148"/>
        <v>233.85454224241693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75.544904946169723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75.544904946169723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-4.5474735088646412E-13</v>
      </c>
      <c r="CU181" s="17">
        <f>CT181*VLOOKUP('Données projet'!$B$13,Paramètres!$A$1:$I$89,3,0)*VLOOKUP('Données projet'!$B$13,Paramètres!$A$1:$I$89,5,0)</f>
        <v>-5.1786628318950535E-13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292.22737648725354</v>
      </c>
      <c r="CZ181" s="59">
        <f t="shared" si="150"/>
        <v>182.84038581199871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127.76037258647628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127.76037258647628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-4.5474735088646412E-13</v>
      </c>
      <c r="DP181" s="17">
        <f>DO181*VLOOKUP('Données projet'!$B$14,Paramètres!$A$1:$I$89,3,0)*VLOOKUP('Données projet'!$B$14,Paramètres!$A$1:$I$89,5,0)</f>
        <v>-4.9658410716801875E-13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276.52126514622455</v>
      </c>
      <c r="DU181" s="59">
        <f t="shared" si="152"/>
        <v>173.98404849503186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122.50994631579914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122.50994631579914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-4.5474735088646412E-13</v>
      </c>
      <c r="EK181" s="17">
        <f>EJ181*VLOOKUP('Données projet'!$B$15,Paramètres!$A$1:$I$89,3,0)*VLOOKUP('Données projet'!$B$15,Paramètres!$A$1:$I$89,5,0)</f>
        <v>-4.3983163777738812E-13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234.56750794375012</v>
      </c>
      <c r="EP181" s="59">
        <f t="shared" si="154"/>
        <v>150.32420541314724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108.50880959399355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108.50880959399355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1.5961632016114892E-13</v>
      </c>
      <c r="P182" s="13">
        <f t="shared" si="141"/>
        <v>2.2708641912150958E-12</v>
      </c>
      <c r="Q182" s="20">
        <f t="shared" si="162"/>
        <v>4.2330868906469593E-12</v>
      </c>
      <c r="R182" s="59">
        <f t="shared" si="109"/>
        <v>293.33333333333752</v>
      </c>
      <c r="S182" s="59">
        <f ca="1">AVERAGE(OFFSET($R$3,0,0,'Données projet'!$E$9+1,1))-AVERAGE(OFFSET($H$3,0,0,'Données projet'!$E$9+1,1))</f>
        <v>198.17898804494365</v>
      </c>
      <c r="T182" s="59">
        <f t="shared" si="142"/>
        <v>186.24772922797723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40.469013583782349</v>
      </c>
      <c r="AA182" s="21">
        <f>EXP(-LN(2)/25)*AA181+(1-EXP(-LN(2)/25))/(LN(2)/25)*Calculateur!V182*Calculateur!X182*VLOOKUP('Données projet'!$B$9,Paramètres!$A$1:$I$89,3,0)*0.475*44/12</f>
        <v>5.644497140840163</v>
      </c>
      <c r="AB182" s="21">
        <f>EXP(-LN(2)/2)*AB181+(1-EXP(-LN(2)/2))/(LN(2)/2)*V182*Y182*VLOOKUP('Données projet'!$B$9,Paramètres!$A$1:$I$89,3,0)*0.475*44/12</f>
        <v>1.6142906129354854E-10</v>
      </c>
      <c r="AC182" s="22">
        <f t="shared" si="163"/>
        <v>46.113510724783943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278.21846622758881</v>
      </c>
      <c r="AO182" s="59">
        <f t="shared" si="144"/>
        <v>245.37578316242906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5.6843418860808015E-13</v>
      </c>
      <c r="BE182" s="13">
        <f>BD182*VLOOKUP('Données projet'!$B$11,Paramètres!$A$1:$I$89,3,0)*VLOOKUP('Données projet'!$B$11,Paramètres!$A$1:$I$89,5,0)</f>
        <v>5.1431925385259092E-13</v>
      </c>
      <c r="BF182" s="13">
        <f t="shared" si="167"/>
        <v>6.3855359115685756E-12</v>
      </c>
      <c r="BG182" s="20">
        <f t="shared" si="168"/>
        <v>1.2017247746441865E-11</v>
      </c>
      <c r="BH182" s="59">
        <f t="shared" si="116"/>
        <v>293.33333333334531</v>
      </c>
      <c r="BI182" s="59">
        <f ca="1">AVERAGE(OFFSET($BH$3,0,0,'Données projet'!$E$11+1,1))-AVERAGE(OFFSET($H$3,0,0,'Données projet'!$E$11+1,1))</f>
        <v>270.87836509222456</v>
      </c>
      <c r="BJ182" s="59">
        <f t="shared" si="146"/>
        <v>205.24998237949734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66.087444544692602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66.087444544692602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5.6843418860808015E-13</v>
      </c>
      <c r="BZ182" s="13">
        <f>BY182*VLOOKUP('Données projet'!$B$12,Paramètres!$A$1:$I$89,3,0)*VLOOKUP('Données projet'!$B$12,Paramètres!$A$1:$I$89,5,0)</f>
        <v>5.763922672485933E-13</v>
      </c>
      <c r="CA182" s="13">
        <f t="shared" si="170"/>
        <v>7.0619171555808457E-12</v>
      </c>
      <c r="CB182" s="20">
        <f t="shared" si="171"/>
        <v>1.3303388911427938E-11</v>
      </c>
      <c r="CC182" s="59">
        <f t="shared" si="119"/>
        <v>293.33333333334662</v>
      </c>
      <c r="CD182" s="59">
        <f ca="1">AVERAGE(OFFSET($CC$3,0,0,'Données projet'!$E$12+1,1))-AVERAGE(OFFSET($H$3,0,0,'Données projet'!$E$12+1,1))</f>
        <v>312.29056285877169</v>
      </c>
      <c r="CE182" s="59">
        <f t="shared" si="148"/>
        <v>233.85454224241693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74.063515438017546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74.063515438017546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-4.5474735088646412E-13</v>
      </c>
      <c r="CU182" s="17">
        <f>CT182*VLOOKUP('Données projet'!$B$13,Paramètres!$A$1:$I$89,3,0)*VLOOKUP('Données projet'!$B$13,Paramètres!$A$1:$I$89,5,0)</f>
        <v>-5.1786628318950535E-13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292.22737648725354</v>
      </c>
      <c r="CZ182" s="59">
        <f t="shared" si="150"/>
        <v>182.84038581199871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125.25506960618819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125.25506960618819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-4.5474735088646412E-13</v>
      </c>
      <c r="DP182" s="17">
        <f>DO182*VLOOKUP('Données projet'!$B$14,Paramètres!$A$1:$I$89,3,0)*VLOOKUP('Données projet'!$B$14,Paramètres!$A$1:$I$89,5,0)</f>
        <v>-4.9658410716801875E-13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276.52126514622455</v>
      </c>
      <c r="DU182" s="59">
        <f t="shared" si="152"/>
        <v>173.98404849503186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120.10760099223522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120.10760099223522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-4.5474735088646412E-13</v>
      </c>
      <c r="EK182" s="17">
        <f>EJ182*VLOOKUP('Données projet'!$B$15,Paramètres!$A$1:$I$89,3,0)*VLOOKUP('Données projet'!$B$15,Paramètres!$A$1:$I$89,5,0)</f>
        <v>-4.3983163777738812E-13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234.56750794375012</v>
      </c>
      <c r="EP182" s="59">
        <f t="shared" si="154"/>
        <v>150.32420541314724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106.38101802169408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106.38101802169408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1.5961632016114892E-13</v>
      </c>
      <c r="P183" s="13">
        <f t="shared" si="141"/>
        <v>2.2708641912150958E-12</v>
      </c>
      <c r="Q183" s="20">
        <f t="shared" si="162"/>
        <v>4.2330868906469593E-12</v>
      </c>
      <c r="R183" s="59">
        <f t="shared" si="109"/>
        <v>293.33333333333752</v>
      </c>
      <c r="S183" s="59">
        <f ca="1">AVERAGE(OFFSET($R$3,0,0,'Données projet'!$E$9+1,1))-AVERAGE(OFFSET($H$3,0,0,'Données projet'!$E$9+1,1))</f>
        <v>198.17898804494365</v>
      </c>
      <c r="T183" s="59">
        <f t="shared" si="142"/>
        <v>186.24772922797723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39.675440911065351</v>
      </c>
      <c r="AA183" s="21">
        <f>EXP(-LN(2)/25)*AA182+(1-EXP(-LN(2)/25))/(LN(2)/25)*Calculateur!V183*Calculateur!X183*VLOOKUP('Données projet'!$B$9,Paramètres!$A$1:$I$89,3,0)*0.475*44/12</f>
        <v>5.490148069692685</v>
      </c>
      <c r="AB183" s="21">
        <f>EXP(-LN(2)/2)*AB182+(1-EXP(-LN(2)/2))/(LN(2)/2)*V183*Y183*VLOOKUP('Données projet'!$B$9,Paramètres!$A$1:$I$89,3,0)*0.475*44/12</f>
        <v>1.1414758392124701E-10</v>
      </c>
      <c r="AC183" s="22">
        <f t="shared" si="163"/>
        <v>45.165588980872187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278.21846622758881</v>
      </c>
      <c r="AO183" s="59">
        <f t="shared" si="144"/>
        <v>245.37578316242906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5.6843418860808015E-13</v>
      </c>
      <c r="BE183" s="13">
        <f>BD183*VLOOKUP('Données projet'!$B$11,Paramètres!$A$1:$I$89,3,0)*VLOOKUP('Données projet'!$B$11,Paramètres!$A$1:$I$89,5,0)</f>
        <v>5.1431925385259092E-13</v>
      </c>
      <c r="BF183" s="13">
        <f t="shared" si="167"/>
        <v>6.3855359115685756E-12</v>
      </c>
      <c r="BG183" s="20">
        <f t="shared" si="168"/>
        <v>1.2017247746441865E-11</v>
      </c>
      <c r="BH183" s="59">
        <f t="shared" si="116"/>
        <v>293.33333333334531</v>
      </c>
      <c r="BI183" s="59">
        <f ca="1">AVERAGE(OFFSET($BH$3,0,0,'Données projet'!$E$11+1,1))-AVERAGE(OFFSET($H$3,0,0,'Données projet'!$E$11+1,1))</f>
        <v>270.87836509222456</v>
      </c>
      <c r="BJ183" s="59">
        <f t="shared" si="146"/>
        <v>205.24998237949734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64.79151006653214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64.79151006653214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5.6843418860808015E-13</v>
      </c>
      <c r="BZ183" s="13">
        <f>BY183*VLOOKUP('Données projet'!$B$12,Paramètres!$A$1:$I$89,3,0)*VLOOKUP('Données projet'!$B$12,Paramètres!$A$1:$I$89,5,0)</f>
        <v>5.763922672485933E-13</v>
      </c>
      <c r="CA183" s="13">
        <f t="shared" si="170"/>
        <v>7.0619171555808457E-12</v>
      </c>
      <c r="CB183" s="20">
        <f t="shared" si="171"/>
        <v>1.3303388911427938E-11</v>
      </c>
      <c r="CC183" s="59">
        <f t="shared" si="119"/>
        <v>293.33333333334662</v>
      </c>
      <c r="CD183" s="59">
        <f ca="1">AVERAGE(OFFSET($CC$3,0,0,'Données projet'!$E$12+1,1))-AVERAGE(OFFSET($H$3,0,0,'Données projet'!$E$12+1,1))</f>
        <v>312.29056285877169</v>
      </c>
      <c r="CE183" s="59">
        <f t="shared" si="148"/>
        <v>233.85454224241693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72.611175074561856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72.611175074561856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-4.5474735088646412E-13</v>
      </c>
      <c r="CU183" s="17">
        <f>CT183*VLOOKUP('Données projet'!$B$13,Paramètres!$A$1:$I$89,3,0)*VLOOKUP('Données projet'!$B$13,Paramètres!$A$1:$I$89,5,0)</f>
        <v>-5.1786628318950535E-13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292.22737648725354</v>
      </c>
      <c r="CZ183" s="59">
        <f t="shared" si="150"/>
        <v>182.84038581199871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122.79889408925962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122.79889408925962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-4.5474735088646412E-13</v>
      </c>
      <c r="DP183" s="17">
        <f>DO183*VLOOKUP('Données projet'!$B$14,Paramètres!$A$1:$I$89,3,0)*VLOOKUP('Données projet'!$B$14,Paramètres!$A$1:$I$89,5,0)</f>
        <v>-4.9658410716801875E-13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276.52126514622455</v>
      </c>
      <c r="DU183" s="59">
        <f t="shared" si="152"/>
        <v>173.98404849503186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117.75236419518042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117.75236419518042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-4.5474735088646412E-13</v>
      </c>
      <c r="EK183" s="17">
        <f>EJ183*VLOOKUP('Données projet'!$B$15,Paramètres!$A$1:$I$89,3,0)*VLOOKUP('Données projet'!$B$15,Paramètres!$A$1:$I$89,5,0)</f>
        <v>-4.3983163777738812E-13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234.56750794375012</v>
      </c>
      <c r="EP183" s="59">
        <f t="shared" si="154"/>
        <v>150.32420541314724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104.29495114430269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104.29495114430269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1.5961632016114892E-13</v>
      </c>
      <c r="P184" s="13">
        <f t="shared" si="141"/>
        <v>2.2708641912150958E-12</v>
      </c>
      <c r="Q184" s="20">
        <f t="shared" si="162"/>
        <v>4.2330868906469593E-12</v>
      </c>
      <c r="R184" s="59">
        <f t="shared" si="109"/>
        <v>293.33333333333752</v>
      </c>
      <c r="S184" s="59">
        <f ca="1">AVERAGE(OFFSET($R$3,0,0,'Données projet'!$E$9+1,1))-AVERAGE(OFFSET($H$3,0,0,'Données projet'!$E$9+1,1))</f>
        <v>198.17898804494365</v>
      </c>
      <c r="T184" s="59">
        <f t="shared" si="142"/>
        <v>186.24772922797723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38.897429714428803</v>
      </c>
      <c r="AA184" s="21">
        <f>EXP(-LN(2)/25)*AA183+(1-EXP(-LN(2)/25))/(LN(2)/25)*Calculateur!V184*Calculateur!X184*VLOOKUP('Données projet'!$B$9,Paramètres!$A$1:$I$89,3,0)*0.475*44/12</f>
        <v>5.3400196820125991</v>
      </c>
      <c r="AB184" s="21">
        <f>EXP(-LN(2)/2)*AB183+(1-EXP(-LN(2)/2))/(LN(2)/2)*V184*Y184*VLOOKUP('Données projet'!$B$9,Paramètres!$A$1:$I$89,3,0)*0.475*44/12</f>
        <v>8.0714530646774281E-11</v>
      </c>
      <c r="AC184" s="22">
        <f t="shared" si="163"/>
        <v>44.237449396522123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278.21846622758881</v>
      </c>
      <c r="AO184" s="59">
        <f t="shared" si="144"/>
        <v>245.37578316242906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5.6843418860808015E-13</v>
      </c>
      <c r="BE184" s="13">
        <f>BD184*VLOOKUP('Données projet'!$B$11,Paramètres!$A$1:$I$89,3,0)*VLOOKUP('Données projet'!$B$11,Paramètres!$A$1:$I$89,5,0)</f>
        <v>5.1431925385259092E-13</v>
      </c>
      <c r="BF184" s="13">
        <f t="shared" si="167"/>
        <v>6.3855359115685756E-12</v>
      </c>
      <c r="BG184" s="20">
        <f t="shared" si="168"/>
        <v>1.2017247746441865E-11</v>
      </c>
      <c r="BH184" s="59">
        <f t="shared" si="116"/>
        <v>293.33333333334531</v>
      </c>
      <c r="BI184" s="59">
        <f ca="1">AVERAGE(OFFSET($BH$3,0,0,'Données projet'!$E$11+1,1))-AVERAGE(OFFSET($H$3,0,0,'Données projet'!$E$11+1,1))</f>
        <v>270.87836509222456</v>
      </c>
      <c r="BJ184" s="59">
        <f t="shared" si="146"/>
        <v>205.24998237949734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63.520988073046418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63.520988073046418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5.6843418860808015E-13</v>
      </c>
      <c r="BZ184" s="13">
        <f>BY184*VLOOKUP('Données projet'!$B$12,Paramètres!$A$1:$I$89,3,0)*VLOOKUP('Données projet'!$B$12,Paramètres!$A$1:$I$89,5,0)</f>
        <v>5.763922672485933E-13</v>
      </c>
      <c r="CA184" s="13">
        <f t="shared" si="170"/>
        <v>7.0619171555808457E-12</v>
      </c>
      <c r="CB184" s="20">
        <f t="shared" si="171"/>
        <v>1.3303388911427938E-11</v>
      </c>
      <c r="CC184" s="59">
        <f t="shared" si="119"/>
        <v>293.33333333334662</v>
      </c>
      <c r="CD184" s="59">
        <f ca="1">AVERAGE(OFFSET($CC$3,0,0,'Données projet'!$E$12+1,1))-AVERAGE(OFFSET($H$3,0,0,'Données projet'!$E$12+1,1))</f>
        <v>312.29056285877169</v>
      </c>
      <c r="CE184" s="59">
        <f t="shared" si="148"/>
        <v>233.85454224241693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71.187314219793379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71.187314219793379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-4.5474735088646412E-13</v>
      </c>
      <c r="CU184" s="17">
        <f>CT184*VLOOKUP('Données projet'!$B$13,Paramètres!$A$1:$I$89,3,0)*VLOOKUP('Données projet'!$B$13,Paramètres!$A$1:$I$89,5,0)</f>
        <v>-5.1786628318950535E-13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292.22737648725354</v>
      </c>
      <c r="CZ184" s="59">
        <f t="shared" si="150"/>
        <v>182.84038581199871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120.39088267609888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120.39088267609888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-4.5474735088646412E-13</v>
      </c>
      <c r="DP184" s="17">
        <f>DO184*VLOOKUP('Données projet'!$B$14,Paramètres!$A$1:$I$89,3,0)*VLOOKUP('Données projet'!$B$14,Paramètres!$A$1:$I$89,5,0)</f>
        <v>-4.9658410716801875E-13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276.52126514622455</v>
      </c>
      <c r="DU184" s="59">
        <f t="shared" si="152"/>
        <v>173.98404849503186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115.44331215516327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115.44331215516327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-4.5474735088646412E-13</v>
      </c>
      <c r="EK184" s="17">
        <f>EJ184*VLOOKUP('Données projet'!$B$15,Paramètres!$A$1:$I$89,3,0)*VLOOKUP('Données projet'!$B$15,Paramètres!$A$1:$I$89,5,0)</f>
        <v>-4.3983163777738812E-13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234.56750794375012</v>
      </c>
      <c r="EP184" s="59">
        <f t="shared" si="154"/>
        <v>150.32420541314724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102.24979076600178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102.24979076600178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1.5961632016114892E-13</v>
      </c>
      <c r="P185" s="13">
        <f t="shared" si="141"/>
        <v>2.2708641912150958E-12</v>
      </c>
      <c r="Q185" s="20">
        <f t="shared" si="162"/>
        <v>4.2330868906469593E-12</v>
      </c>
      <c r="R185" s="59">
        <f t="shared" si="109"/>
        <v>293.33333333333752</v>
      </c>
      <c r="S185" s="59">
        <f ca="1">AVERAGE(OFFSET($R$3,0,0,'Données projet'!$E$9+1,1))-AVERAGE(OFFSET($H$3,0,0,'Données projet'!$E$9+1,1))</f>
        <v>198.17898804494365</v>
      </c>
      <c r="T185" s="59">
        <f t="shared" si="142"/>
        <v>186.24772922797723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38.13467484281832</v>
      </c>
      <c r="AA185" s="21">
        <f>EXP(-LN(2)/25)*AA184+(1-EXP(-LN(2)/25))/(LN(2)/25)*Calculateur!V185*Calculateur!X185*VLOOKUP('Données projet'!$B$9,Paramètres!$A$1:$I$89,3,0)*0.475*44/12</f>
        <v>5.1939965629885343</v>
      </c>
      <c r="AB185" s="21">
        <f>EXP(-LN(2)/2)*AB184+(1-EXP(-LN(2)/2))/(LN(2)/2)*V185*Y185*VLOOKUP('Données projet'!$B$9,Paramètres!$A$1:$I$89,3,0)*0.475*44/12</f>
        <v>5.7073791960623509E-11</v>
      </c>
      <c r="AC185" s="22">
        <f t="shared" si="163"/>
        <v>43.328671405863929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278.21846622758881</v>
      </c>
      <c r="AO185" s="59">
        <f t="shared" si="144"/>
        <v>245.37578316242906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5.6843418860808015E-13</v>
      </c>
      <c r="BE185" s="13">
        <f>BD185*VLOOKUP('Données projet'!$B$11,Paramètres!$A$1:$I$89,3,0)*VLOOKUP('Données projet'!$B$11,Paramètres!$A$1:$I$89,5,0)</f>
        <v>5.1431925385259092E-13</v>
      </c>
      <c r="BF185" s="13">
        <f t="shared" si="167"/>
        <v>6.3855359115685756E-12</v>
      </c>
      <c r="BG185" s="20">
        <f t="shared" si="168"/>
        <v>1.2017247746441865E-11</v>
      </c>
      <c r="BH185" s="59">
        <f t="shared" si="116"/>
        <v>293.33333333334531</v>
      </c>
      <c r="BI185" s="59">
        <f ca="1">AVERAGE(OFFSET($BH$3,0,0,'Données projet'!$E$11+1,1))-AVERAGE(OFFSET($H$3,0,0,'Données projet'!$E$11+1,1))</f>
        <v>270.87836509222456</v>
      </c>
      <c r="BJ185" s="59">
        <f t="shared" si="146"/>
        <v>205.24998237949734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62.275380240911055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62.275380240911055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5.6843418860808015E-13</v>
      </c>
      <c r="BZ185" s="13">
        <f>BY185*VLOOKUP('Données projet'!$B$12,Paramètres!$A$1:$I$89,3,0)*VLOOKUP('Données projet'!$B$12,Paramètres!$A$1:$I$89,5,0)</f>
        <v>5.763922672485933E-13</v>
      </c>
      <c r="CA185" s="13">
        <f t="shared" si="170"/>
        <v>7.0619171555808457E-12</v>
      </c>
      <c r="CB185" s="20">
        <f t="shared" si="171"/>
        <v>1.3303388911427938E-11</v>
      </c>
      <c r="CC185" s="59">
        <f t="shared" si="119"/>
        <v>293.33333333334662</v>
      </c>
      <c r="CD185" s="59">
        <f ca="1">AVERAGE(OFFSET($CC$3,0,0,'Données projet'!$E$12+1,1))-AVERAGE(OFFSET($H$3,0,0,'Données projet'!$E$12+1,1))</f>
        <v>312.29056285877169</v>
      </c>
      <c r="CE185" s="59">
        <f t="shared" si="148"/>
        <v>233.85454224241693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69.791374407917544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69.791374407917544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-4.5474735088646412E-13</v>
      </c>
      <c r="CU185" s="17">
        <f>CT185*VLOOKUP('Données projet'!$B$13,Paramètres!$A$1:$I$89,3,0)*VLOOKUP('Données projet'!$B$13,Paramètres!$A$1:$I$89,5,0)</f>
        <v>-5.1786628318950535E-13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292.22737648725354</v>
      </c>
      <c r="CZ185" s="59">
        <f t="shared" si="150"/>
        <v>182.84038581199871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118.03009089800828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118.03009089800828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-4.5474735088646412E-13</v>
      </c>
      <c r="DP185" s="17">
        <f>DO185*VLOOKUP('Données projet'!$B$14,Paramètres!$A$1:$I$89,3,0)*VLOOKUP('Données projet'!$B$14,Paramètres!$A$1:$I$89,5,0)</f>
        <v>-4.9658410716801875E-13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276.52126514622455</v>
      </c>
      <c r="DU185" s="59">
        <f t="shared" si="152"/>
        <v>173.98404849503186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113.17953921726819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113.17953921726819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-4.5474735088646412E-13</v>
      </c>
      <c r="EK185" s="17">
        <f>EJ185*VLOOKUP('Données projet'!$B$15,Paramètres!$A$1:$I$89,3,0)*VLOOKUP('Données projet'!$B$15,Paramètres!$A$1:$I$89,5,0)</f>
        <v>-4.3983163777738812E-13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234.56750794375012</v>
      </c>
      <c r="EP185" s="59">
        <f t="shared" si="154"/>
        <v>150.32420541314724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100.2447347352947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100.2447347352947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1.5961632016114892E-13</v>
      </c>
      <c r="P186" s="13">
        <f t="shared" si="141"/>
        <v>2.2708641912150958E-12</v>
      </c>
      <c r="Q186" s="20">
        <f t="shared" si="162"/>
        <v>4.2330868906469593E-12</v>
      </c>
      <c r="R186" s="59">
        <f t="shared" si="109"/>
        <v>293.33333333333752</v>
      </c>
      <c r="S186" s="59">
        <f ca="1">AVERAGE(OFFSET($R$3,0,0,'Données projet'!$E$9+1,1))-AVERAGE(OFFSET($H$3,0,0,'Données projet'!$E$9+1,1))</f>
        <v>198.17898804494365</v>
      </c>
      <c r="T186" s="59">
        <f t="shared" si="142"/>
        <v>186.24772922797723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37.38687712900559</v>
      </c>
      <c r="AA186" s="21">
        <f>EXP(-LN(2)/25)*AA185+(1-EXP(-LN(2)/25))/(LN(2)/25)*Calculateur!V186*Calculateur!X186*VLOOKUP('Données projet'!$B$9,Paramètres!$A$1:$I$89,3,0)*0.475*44/12</f>
        <v>5.051966453833205</v>
      </c>
      <c r="AB186" s="21">
        <f>EXP(-LN(2)/2)*AB185+(1-EXP(-LN(2)/2))/(LN(2)/2)*V186*Y186*VLOOKUP('Données projet'!$B$9,Paramètres!$A$1:$I$89,3,0)*0.475*44/12</f>
        <v>4.0357265323387147E-11</v>
      </c>
      <c r="AC186" s="22">
        <f t="shared" si="163"/>
        <v>42.438843582879151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278.21846622758881</v>
      </c>
      <c r="AO186" s="59">
        <f t="shared" si="144"/>
        <v>245.37578316242906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5.6843418860808015E-13</v>
      </c>
      <c r="BE186" s="13">
        <f>BD186*VLOOKUP('Données projet'!$B$11,Paramètres!$A$1:$I$89,3,0)*VLOOKUP('Données projet'!$B$11,Paramètres!$A$1:$I$89,5,0)</f>
        <v>5.1431925385259092E-13</v>
      </c>
      <c r="BF186" s="13">
        <f t="shared" si="167"/>
        <v>6.3855359115685756E-12</v>
      </c>
      <c r="BG186" s="20">
        <f t="shared" si="168"/>
        <v>1.2017247746441865E-11</v>
      </c>
      <c r="BH186" s="59">
        <f t="shared" si="116"/>
        <v>293.33333333334531</v>
      </c>
      <c r="BI186" s="59">
        <f ca="1">AVERAGE(OFFSET($BH$3,0,0,'Données projet'!$E$11+1,1))-AVERAGE(OFFSET($H$3,0,0,'Données projet'!$E$11+1,1))</f>
        <v>270.87836509222456</v>
      </c>
      <c r="BJ186" s="59">
        <f t="shared" si="146"/>
        <v>205.24998237949734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61.054198018618102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61.054198018618102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5.6843418860808015E-13</v>
      </c>
      <c r="BZ186" s="13">
        <f>BY186*VLOOKUP('Données projet'!$B$12,Paramètres!$A$1:$I$89,3,0)*VLOOKUP('Données projet'!$B$12,Paramètres!$A$1:$I$89,5,0)</f>
        <v>5.763922672485933E-13</v>
      </c>
      <c r="CA186" s="13">
        <f t="shared" si="170"/>
        <v>7.0619171555808457E-12</v>
      </c>
      <c r="CB186" s="20">
        <f t="shared" si="171"/>
        <v>1.3303388911427938E-11</v>
      </c>
      <c r="CC186" s="59">
        <f t="shared" si="119"/>
        <v>293.33333333334662</v>
      </c>
      <c r="CD186" s="59">
        <f ca="1">AVERAGE(OFFSET($CC$3,0,0,'Données projet'!$E$12+1,1))-AVERAGE(OFFSET($H$3,0,0,'Données projet'!$E$12+1,1))</f>
        <v>312.29056285877169</v>
      </c>
      <c r="CE186" s="59">
        <f t="shared" si="148"/>
        <v>233.85454224241693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68.422808124313377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68.422808124313377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-4.5474735088646412E-13</v>
      </c>
      <c r="CU186" s="17">
        <f>CT186*VLOOKUP('Données projet'!$B$13,Paramètres!$A$1:$I$89,3,0)*VLOOKUP('Données projet'!$B$13,Paramètres!$A$1:$I$89,5,0)</f>
        <v>-5.1786628318950535E-13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292.22737648725354</v>
      </c>
      <c r="CZ186" s="59">
        <f t="shared" si="150"/>
        <v>182.84038581199871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115.71559280674525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115.71559280674525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-4.5474735088646412E-13</v>
      </c>
      <c r="DP186" s="17">
        <f>DO186*VLOOKUP('Données projet'!$B$14,Paramètres!$A$1:$I$89,3,0)*VLOOKUP('Données projet'!$B$14,Paramètres!$A$1:$I$89,5,0)</f>
        <v>-4.9658410716801875E-13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276.52126514622455</v>
      </c>
      <c r="DU186" s="59">
        <f t="shared" si="152"/>
        <v>173.98404849503186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110.96015748592006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110.96015748592006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-4.5474735088646412E-13</v>
      </c>
      <c r="EK186" s="17">
        <f>EJ186*VLOOKUP('Données projet'!$B$15,Paramètres!$A$1:$I$89,3,0)*VLOOKUP('Données projet'!$B$15,Paramètres!$A$1:$I$89,5,0)</f>
        <v>-4.3983163777738812E-13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234.56750794375012</v>
      </c>
      <c r="EP186" s="59">
        <f t="shared" si="154"/>
        <v>150.32420541314724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98.278996630386359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98.278996630386359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1.5961632016114892E-13</v>
      </c>
      <c r="P187" s="13">
        <f t="shared" si="141"/>
        <v>2.2708641912150958E-12</v>
      </c>
      <c r="Q187" s="20">
        <f t="shared" si="162"/>
        <v>4.2330868906469593E-12</v>
      </c>
      <c r="R187" s="59">
        <f t="shared" si="109"/>
        <v>293.33333333333752</v>
      </c>
      <c r="S187" s="59">
        <f ca="1">AVERAGE(OFFSET($R$3,0,0,'Données projet'!$E$9+1,1))-AVERAGE(OFFSET($H$3,0,0,'Données projet'!$E$9+1,1))</f>
        <v>198.17898804494365</v>
      </c>
      <c r="T187" s="59">
        <f t="shared" si="142"/>
        <v>186.24772922797723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36.653743272249159</v>
      </c>
      <c r="AA187" s="21">
        <f>EXP(-LN(2)/25)*AA186+(1-EXP(-LN(2)/25))/(LN(2)/25)*Calculateur!V187*Calculateur!X187*VLOOKUP('Données projet'!$B$9,Paramètres!$A$1:$I$89,3,0)*0.475*44/12</f>
        <v>4.9138201654817664</v>
      </c>
      <c r="AB187" s="21">
        <f>EXP(-LN(2)/2)*AB186+(1-EXP(-LN(2)/2))/(LN(2)/2)*V187*Y187*VLOOKUP('Données projet'!$B$9,Paramètres!$A$1:$I$89,3,0)*0.475*44/12</f>
        <v>2.8536895980311761E-11</v>
      </c>
      <c r="AC187" s="22">
        <f t="shared" si="163"/>
        <v>41.56756343775946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278.21846622758881</v>
      </c>
      <c r="AO187" s="59">
        <f t="shared" si="144"/>
        <v>245.37578316242906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5.6843418860808015E-13</v>
      </c>
      <c r="BE187" s="13">
        <f>BD187*VLOOKUP('Données projet'!$B$11,Paramètres!$A$1:$I$89,3,0)*VLOOKUP('Données projet'!$B$11,Paramètres!$A$1:$I$89,5,0)</f>
        <v>5.1431925385259092E-13</v>
      </c>
      <c r="BF187" s="13">
        <f t="shared" si="167"/>
        <v>6.3855359115685756E-12</v>
      </c>
      <c r="BG187" s="20">
        <f t="shared" si="168"/>
        <v>1.2017247746441865E-11</v>
      </c>
      <c r="BH187" s="59">
        <f t="shared" si="116"/>
        <v>293.33333333334531</v>
      </c>
      <c r="BI187" s="59">
        <f ca="1">AVERAGE(OFFSET($BH$3,0,0,'Données projet'!$E$11+1,1))-AVERAGE(OFFSET($H$3,0,0,'Données projet'!$E$11+1,1))</f>
        <v>270.87836509222456</v>
      </c>
      <c r="BJ187" s="59">
        <f t="shared" si="146"/>
        <v>205.24998237949734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59.856962434856712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59.856962434856712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5.6843418860808015E-13</v>
      </c>
      <c r="BZ187" s="13">
        <f>BY187*VLOOKUP('Données projet'!$B$12,Paramètres!$A$1:$I$89,3,0)*VLOOKUP('Données projet'!$B$12,Paramètres!$A$1:$I$89,5,0)</f>
        <v>5.763922672485933E-13</v>
      </c>
      <c r="CA187" s="13">
        <f t="shared" si="170"/>
        <v>7.0619171555808457E-12</v>
      </c>
      <c r="CB187" s="20">
        <f t="shared" si="171"/>
        <v>1.3303388911427938E-11</v>
      </c>
      <c r="CC187" s="59">
        <f t="shared" si="119"/>
        <v>293.33333333334662</v>
      </c>
      <c r="CD187" s="59">
        <f ca="1">AVERAGE(OFFSET($CC$3,0,0,'Données projet'!$E$12+1,1))-AVERAGE(OFFSET($H$3,0,0,'Données projet'!$E$12+1,1))</f>
        <v>312.29056285877169</v>
      </c>
      <c r="CE187" s="59">
        <f t="shared" si="148"/>
        <v>233.85454224241693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67.081078590787683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67.081078590787683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-4.5474735088646412E-13</v>
      </c>
      <c r="CU187" s="17">
        <f>CT187*VLOOKUP('Données projet'!$B$13,Paramètres!$A$1:$I$89,3,0)*VLOOKUP('Données projet'!$B$13,Paramètres!$A$1:$I$89,5,0)</f>
        <v>-5.1786628318950535E-13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292.22737648725354</v>
      </c>
      <c r="CZ187" s="59">
        <f t="shared" si="150"/>
        <v>182.84038581199871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113.44648061134744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113.44648061134744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-4.5474735088646412E-13</v>
      </c>
      <c r="DP187" s="17">
        <f>DO187*VLOOKUP('Données projet'!$B$14,Paramètres!$A$1:$I$89,3,0)*VLOOKUP('Données projet'!$B$14,Paramètres!$A$1:$I$89,5,0)</f>
        <v>-4.9658410716801875E-13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276.52126514622455</v>
      </c>
      <c r="DU187" s="59">
        <f t="shared" si="152"/>
        <v>173.98404849503186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108.78429647663449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108.78429647663449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-4.5474735088646412E-13</v>
      </c>
      <c r="EK187" s="17">
        <f>EJ187*VLOOKUP('Données projet'!$B$15,Paramètres!$A$1:$I$89,3,0)*VLOOKUP('Données projet'!$B$15,Paramètres!$A$1:$I$89,5,0)</f>
        <v>-4.3983163777738812E-13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234.56750794375012</v>
      </c>
      <c r="EP187" s="59">
        <f t="shared" si="154"/>
        <v>150.32420541314724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96.351805450733423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96.351805450733423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1.5961632016114892E-13</v>
      </c>
      <c r="P188" s="13">
        <f t="shared" si="141"/>
        <v>2.2708641912150958E-12</v>
      </c>
      <c r="Q188" s="20">
        <f t="shared" si="162"/>
        <v>4.2330868906469593E-12</v>
      </c>
      <c r="R188" s="59">
        <f t="shared" si="109"/>
        <v>293.33333333333752</v>
      </c>
      <c r="S188" s="59">
        <f ca="1">AVERAGE(OFFSET($R$3,0,0,'Données projet'!$E$9+1,1))-AVERAGE(OFFSET($H$3,0,0,'Données projet'!$E$9+1,1))</f>
        <v>198.17898804494365</v>
      </c>
      <c r="T188" s="59">
        <f t="shared" si="142"/>
        <v>186.24772922797723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35.934985723256219</v>
      </c>
      <c r="AA188" s="21">
        <f>EXP(-LN(2)/25)*AA187+(1-EXP(-LN(2)/25))/(LN(2)/25)*Calculateur!V188*Calculateur!X188*VLOOKUP('Données projet'!$B$9,Paramètres!$A$1:$I$89,3,0)*0.475*44/12</f>
        <v>4.7794514946500959</v>
      </c>
      <c r="AB188" s="21">
        <f>EXP(-LN(2)/2)*AB187+(1-EXP(-LN(2)/2))/(LN(2)/2)*V188*Y188*VLOOKUP('Données projet'!$B$9,Paramètres!$A$1:$I$89,3,0)*0.475*44/12</f>
        <v>2.0178632661693577E-11</v>
      </c>
      <c r="AC188" s="22">
        <f t="shared" si="163"/>
        <v>40.714437217926495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278.21846622758881</v>
      </c>
      <c r="AO188" s="59">
        <f t="shared" si="144"/>
        <v>245.37578316242906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5.6843418860808015E-13</v>
      </c>
      <c r="BE188" s="13">
        <f>BD188*VLOOKUP('Données projet'!$B$11,Paramètres!$A$1:$I$89,3,0)*VLOOKUP('Données projet'!$B$11,Paramètres!$A$1:$I$89,5,0)</f>
        <v>5.1431925385259092E-13</v>
      </c>
      <c r="BF188" s="13">
        <f t="shared" si="167"/>
        <v>6.3855359115685756E-12</v>
      </c>
      <c r="BG188" s="20">
        <f t="shared" si="168"/>
        <v>1.2017247746441865E-11</v>
      </c>
      <c r="BH188" s="59">
        <f t="shared" si="116"/>
        <v>293.33333333334531</v>
      </c>
      <c r="BI188" s="59">
        <f ca="1">AVERAGE(OFFSET($BH$3,0,0,'Données projet'!$E$11+1,1))-AVERAGE(OFFSET($H$3,0,0,'Données projet'!$E$11+1,1))</f>
        <v>270.87836509222456</v>
      </c>
      <c r="BJ188" s="59">
        <f t="shared" si="146"/>
        <v>205.24998237949734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58.68320391065128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58.68320391065128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5.6843418860808015E-13</v>
      </c>
      <c r="BZ188" s="13">
        <f>BY188*VLOOKUP('Données projet'!$B$12,Paramètres!$A$1:$I$89,3,0)*VLOOKUP('Données projet'!$B$12,Paramètres!$A$1:$I$89,5,0)</f>
        <v>5.763922672485933E-13</v>
      </c>
      <c r="CA188" s="13">
        <f t="shared" si="170"/>
        <v>7.0619171555808457E-12</v>
      </c>
      <c r="CB188" s="20">
        <f t="shared" si="171"/>
        <v>1.3303388911427938E-11</v>
      </c>
      <c r="CC188" s="59">
        <f t="shared" si="119"/>
        <v>293.33333333334662</v>
      </c>
      <c r="CD188" s="59">
        <f ca="1">AVERAGE(OFFSET($CC$3,0,0,'Données projet'!$E$12+1,1))-AVERAGE(OFFSET($H$3,0,0,'Données projet'!$E$12+1,1))</f>
        <v>312.29056285877169</v>
      </c>
      <c r="CE188" s="59">
        <f t="shared" si="148"/>
        <v>233.85454224241693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65.765659555040216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65.765659555040216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-4.5474735088646412E-13</v>
      </c>
      <c r="CU188" s="17">
        <f>CT188*VLOOKUP('Données projet'!$B$13,Paramètres!$A$1:$I$89,3,0)*VLOOKUP('Données projet'!$B$13,Paramètres!$A$1:$I$89,5,0)</f>
        <v>-5.1786628318950535E-13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292.22737648725354</v>
      </c>
      <c r="CZ188" s="59">
        <f t="shared" si="150"/>
        <v>182.84038581199871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111.2218643220796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111.2218643220796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-4.5474735088646412E-13</v>
      </c>
      <c r="DP188" s="17">
        <f>DO188*VLOOKUP('Données projet'!$B$14,Paramètres!$A$1:$I$89,3,0)*VLOOKUP('Données projet'!$B$14,Paramètres!$A$1:$I$89,5,0)</f>
        <v>-4.9658410716801875E-13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276.52126514622455</v>
      </c>
      <c r="DU188" s="59">
        <f t="shared" si="152"/>
        <v>173.98404849503186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106.65110277459684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106.65110277459684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-4.5474735088646412E-13</v>
      </c>
      <c r="EK188" s="17">
        <f>EJ188*VLOOKUP('Données projet'!$B$15,Paramètres!$A$1:$I$89,3,0)*VLOOKUP('Données projet'!$B$15,Paramètres!$A$1:$I$89,5,0)</f>
        <v>-4.3983163777738812E-13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234.56750794375012</v>
      </c>
      <c r="EP188" s="59">
        <f t="shared" si="154"/>
        <v>150.32420541314724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94.462405314642922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94.462405314642922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1.5961632016114892E-13</v>
      </c>
      <c r="P189" s="13">
        <f t="shared" si="141"/>
        <v>2.2708641912150958E-12</v>
      </c>
      <c r="Q189" s="20">
        <f t="shared" si="162"/>
        <v>4.2330868906469593E-12</v>
      </c>
      <c r="R189" s="59">
        <f t="shared" si="109"/>
        <v>293.33333333333752</v>
      </c>
      <c r="S189" s="59">
        <f ca="1">AVERAGE(OFFSET($R$3,0,0,'Données projet'!$E$9+1,1))-AVERAGE(OFFSET($H$3,0,0,'Données projet'!$E$9+1,1))</f>
        <v>198.17898804494365</v>
      </c>
      <c r="T189" s="59">
        <f t="shared" si="142"/>
        <v>186.24772922797723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35.230322571400215</v>
      </c>
      <c r="AA189" s="21">
        <f>EXP(-LN(2)/25)*AA188+(1-EXP(-LN(2)/25))/(LN(2)/25)*Calculateur!V189*Calculateur!X189*VLOOKUP('Données projet'!$B$9,Paramètres!$A$1:$I$89,3,0)*0.475*44/12</f>
        <v>4.6487571421884581</v>
      </c>
      <c r="AB189" s="21">
        <f>EXP(-LN(2)/2)*AB188+(1-EXP(-LN(2)/2))/(LN(2)/2)*V189*Y189*VLOOKUP('Données projet'!$B$9,Paramètres!$A$1:$I$89,3,0)*0.475*44/12</f>
        <v>1.4268447990155882E-11</v>
      </c>
      <c r="AC189" s="22">
        <f t="shared" si="163"/>
        <v>39.879079713602941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278.21846622758881</v>
      </c>
      <c r="AO189" s="59">
        <f t="shared" si="144"/>
        <v>245.37578316242906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5.6843418860808015E-13</v>
      </c>
      <c r="BE189" s="13">
        <f>BD189*VLOOKUP('Données projet'!$B$11,Paramètres!$A$1:$I$89,3,0)*VLOOKUP('Données projet'!$B$11,Paramètres!$A$1:$I$89,5,0)</f>
        <v>5.1431925385259092E-13</v>
      </c>
      <c r="BF189" s="13">
        <f t="shared" si="167"/>
        <v>6.3855359115685756E-12</v>
      </c>
      <c r="BG189" s="20">
        <f t="shared" si="168"/>
        <v>1.2017247746441865E-11</v>
      </c>
      <c r="BH189" s="59">
        <f t="shared" si="116"/>
        <v>293.33333333334531</v>
      </c>
      <c r="BI189" s="59">
        <f ca="1">AVERAGE(OFFSET($BH$3,0,0,'Données projet'!$E$11+1,1))-AVERAGE(OFFSET($H$3,0,0,'Données projet'!$E$11+1,1))</f>
        <v>270.87836509222456</v>
      </c>
      <c r="BJ189" s="59">
        <f t="shared" si="146"/>
        <v>205.24998237949734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57.53246207518351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57.53246207518351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5.6843418860808015E-13</v>
      </c>
      <c r="BZ189" s="13">
        <f>BY189*VLOOKUP('Données projet'!$B$12,Paramètres!$A$1:$I$89,3,0)*VLOOKUP('Données projet'!$B$12,Paramètres!$A$1:$I$89,5,0)</f>
        <v>5.763922672485933E-13</v>
      </c>
      <c r="CA189" s="13">
        <f t="shared" si="170"/>
        <v>7.0619171555808457E-12</v>
      </c>
      <c r="CB189" s="20">
        <f t="shared" si="171"/>
        <v>1.3303388911427938E-11</v>
      </c>
      <c r="CC189" s="59">
        <f t="shared" si="119"/>
        <v>293.33333333334662</v>
      </c>
      <c r="CD189" s="59">
        <f ca="1">AVERAGE(OFFSET($CC$3,0,0,'Données projet'!$E$12+1,1))-AVERAGE(OFFSET($H$3,0,0,'Données projet'!$E$12+1,1))</f>
        <v>312.29056285877169</v>
      </c>
      <c r="CE189" s="59">
        <f t="shared" si="148"/>
        <v>233.85454224241693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64.476035084257362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64.476035084257362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-4.5474735088646412E-13</v>
      </c>
      <c r="CU189" s="17">
        <f>CT189*VLOOKUP('Données projet'!$B$13,Paramètres!$A$1:$I$89,3,0)*VLOOKUP('Données projet'!$B$13,Paramètres!$A$1:$I$89,5,0)</f>
        <v>-5.1786628318950535E-13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292.22737648725354</v>
      </c>
      <c r="CZ189" s="59">
        <f t="shared" si="150"/>
        <v>182.84038581199871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109.04087140136234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109.04087140136234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-4.5474735088646412E-13</v>
      </c>
      <c r="DP189" s="17">
        <f>DO189*VLOOKUP('Données projet'!$B$14,Paramètres!$A$1:$I$89,3,0)*VLOOKUP('Données projet'!$B$14,Paramètres!$A$1:$I$89,5,0)</f>
        <v>-4.9658410716801875E-13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276.52126514622455</v>
      </c>
      <c r="DU189" s="59">
        <f t="shared" si="152"/>
        <v>173.98404849503186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104.55973969993646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104.55973969993646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-4.5474735088646412E-13</v>
      </c>
      <c r="EK189" s="17">
        <f>EJ189*VLOOKUP('Données projet'!$B$15,Paramètres!$A$1:$I$89,3,0)*VLOOKUP('Données projet'!$B$15,Paramètres!$A$1:$I$89,5,0)</f>
        <v>-4.3983163777738812E-13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234.56750794375012</v>
      </c>
      <c r="EP189" s="59">
        <f t="shared" si="154"/>
        <v>150.32420541314724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92.610055162800876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92.610055162800876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1.5961632016114892E-13</v>
      </c>
      <c r="P190" s="13">
        <f t="shared" si="141"/>
        <v>2.2708641912150958E-12</v>
      </c>
      <c r="Q190" s="20">
        <f t="shared" si="162"/>
        <v>4.2330868906469593E-12</v>
      </c>
      <c r="R190" s="59">
        <f t="shared" si="109"/>
        <v>293.33333333333752</v>
      </c>
      <c r="S190" s="59">
        <f ca="1">AVERAGE(OFFSET($R$3,0,0,'Données projet'!$E$9+1,1))-AVERAGE(OFFSET($H$3,0,0,'Données projet'!$E$9+1,1))</f>
        <v>198.17898804494365</v>
      </c>
      <c r="T190" s="59">
        <f t="shared" si="142"/>
        <v>186.24772922797723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34.539477434150022</v>
      </c>
      <c r="AA190" s="21">
        <f>EXP(-LN(2)/25)*AA189+(1-EXP(-LN(2)/25))/(LN(2)/25)*Calculateur!V190*Calculateur!X190*VLOOKUP('Données projet'!$B$9,Paramètres!$A$1:$I$89,3,0)*0.475*44/12</f>
        <v>4.5216366336678018</v>
      </c>
      <c r="AB190" s="21">
        <f>EXP(-LN(2)/2)*AB189+(1-EXP(-LN(2)/2))/(LN(2)/2)*V190*Y190*VLOOKUP('Données projet'!$B$9,Paramètres!$A$1:$I$89,3,0)*0.475*44/12</f>
        <v>1.008931633084679E-11</v>
      </c>
      <c r="AC190" s="22">
        <f t="shared" si="163"/>
        <v>39.061114067827916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278.21846622758881</v>
      </c>
      <c r="AO190" s="59">
        <f t="shared" si="144"/>
        <v>245.37578316242906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5.6843418860808015E-13</v>
      </c>
      <c r="BE190" s="13">
        <f>BD190*VLOOKUP('Données projet'!$B$11,Paramètres!$A$1:$I$89,3,0)*VLOOKUP('Données projet'!$B$11,Paramètres!$A$1:$I$89,5,0)</f>
        <v>5.1431925385259092E-13</v>
      </c>
      <c r="BF190" s="13">
        <f t="shared" si="167"/>
        <v>6.3855359115685756E-12</v>
      </c>
      <c r="BG190" s="20">
        <f t="shared" si="168"/>
        <v>1.2017247746441865E-11</v>
      </c>
      <c r="BH190" s="59">
        <f t="shared" si="116"/>
        <v>293.33333333334531</v>
      </c>
      <c r="BI190" s="59">
        <f ca="1">AVERAGE(OFFSET($BH$3,0,0,'Données projet'!$E$11+1,1))-AVERAGE(OFFSET($H$3,0,0,'Données projet'!$E$11+1,1))</f>
        <v>270.87836509222456</v>
      </c>
      <c r="BJ190" s="59">
        <f t="shared" si="146"/>
        <v>205.24998237949734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56.404285585226049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56.404285585226049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5.6843418860808015E-13</v>
      </c>
      <c r="BZ190" s="13">
        <f>BY190*VLOOKUP('Données projet'!$B$12,Paramètres!$A$1:$I$89,3,0)*VLOOKUP('Données projet'!$B$12,Paramètres!$A$1:$I$89,5,0)</f>
        <v>5.763922672485933E-13</v>
      </c>
      <c r="CA190" s="13">
        <f t="shared" si="170"/>
        <v>7.0619171555808457E-12</v>
      </c>
      <c r="CB190" s="20">
        <f t="shared" si="171"/>
        <v>1.3303388911427938E-11</v>
      </c>
      <c r="CC190" s="59">
        <f t="shared" si="119"/>
        <v>293.33333333334662</v>
      </c>
      <c r="CD190" s="59">
        <f ca="1">AVERAGE(OFFSET($CC$3,0,0,'Données projet'!$E$12+1,1))-AVERAGE(OFFSET($H$3,0,0,'Données projet'!$E$12+1,1))</f>
        <v>312.29056285877169</v>
      </c>
      <c r="CE190" s="59">
        <f t="shared" si="148"/>
        <v>233.85454224241693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63.211699362753308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63.211699362753308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-4.5474735088646412E-13</v>
      </c>
      <c r="CU190" s="17">
        <f>CT190*VLOOKUP('Données projet'!$B$13,Paramètres!$A$1:$I$89,3,0)*VLOOKUP('Données projet'!$B$13,Paramètres!$A$1:$I$89,5,0)</f>
        <v>-5.1786628318950535E-13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292.22737648725354</v>
      </c>
      <c r="CZ190" s="59">
        <f t="shared" si="150"/>
        <v>182.84038581199871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106.90264642154602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106.90264642154602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-4.5474735088646412E-13</v>
      </c>
      <c r="DP190" s="17">
        <f>DO190*VLOOKUP('Données projet'!$B$14,Paramètres!$A$1:$I$89,3,0)*VLOOKUP('Données projet'!$B$14,Paramètres!$A$1:$I$89,5,0)</f>
        <v>-4.9658410716801875E-13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276.52126514622455</v>
      </c>
      <c r="DU190" s="59">
        <f t="shared" si="152"/>
        <v>173.98404849503186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102.50938697956465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102.50938697956465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-4.5474735088646412E-13</v>
      </c>
      <c r="EK190" s="17">
        <f>EJ190*VLOOKUP('Données projet'!$B$15,Paramètres!$A$1:$I$89,3,0)*VLOOKUP('Données projet'!$B$15,Paramètres!$A$1:$I$89,5,0)</f>
        <v>-4.3983163777738812E-13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234.56750794375012</v>
      </c>
      <c r="EP190" s="59">
        <f t="shared" si="154"/>
        <v>150.32420541314724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90.79402846761441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90.79402846761441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1.5961632016114892E-13</v>
      </c>
      <c r="P191" s="13">
        <f t="shared" si="141"/>
        <v>2.2708641912150958E-12</v>
      </c>
      <c r="Q191" s="20">
        <f t="shared" si="162"/>
        <v>4.2330868906469593E-12</v>
      </c>
      <c r="R191" s="59">
        <f t="shared" si="109"/>
        <v>293.33333333333752</v>
      </c>
      <c r="S191" s="59">
        <f ca="1">AVERAGE(OFFSET($R$3,0,0,'Données projet'!$E$9+1,1))-AVERAGE(OFFSET($H$3,0,0,'Données projet'!$E$9+1,1))</f>
        <v>198.17898804494365</v>
      </c>
      <c r="T191" s="59">
        <f t="shared" si="142"/>
        <v>186.24772922797723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33.862179348667382</v>
      </c>
      <c r="AA191" s="21">
        <f>EXP(-LN(2)/25)*AA190+(1-EXP(-LN(2)/25))/(LN(2)/25)*Calculateur!V191*Calculateur!X191*VLOOKUP('Données projet'!$B$9,Paramètres!$A$1:$I$89,3,0)*0.475*44/12</f>
        <v>4.3979922421376196</v>
      </c>
      <c r="AB191" s="21">
        <f>EXP(-LN(2)/2)*AB190+(1-EXP(-LN(2)/2))/(LN(2)/2)*V191*Y191*VLOOKUP('Données projet'!$B$9,Paramètres!$A$1:$I$89,3,0)*0.475*44/12</f>
        <v>7.1342239950779419E-12</v>
      </c>
      <c r="AC191" s="22">
        <f t="shared" si="163"/>
        <v>38.260171590812135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278.21846622758881</v>
      </c>
      <c r="AO191" s="59">
        <f t="shared" si="144"/>
        <v>245.37578316242906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5.6843418860808015E-13</v>
      </c>
      <c r="BE191" s="13">
        <f>BD191*VLOOKUP('Données projet'!$B$11,Paramètres!$A$1:$I$89,3,0)*VLOOKUP('Données projet'!$B$11,Paramètres!$A$1:$I$89,5,0)</f>
        <v>5.1431925385259092E-13</v>
      </c>
      <c r="BF191" s="13">
        <f t="shared" si="167"/>
        <v>6.3855359115685756E-12</v>
      </c>
      <c r="BG191" s="20">
        <f t="shared" si="168"/>
        <v>1.2017247746441865E-11</v>
      </c>
      <c r="BH191" s="59">
        <f t="shared" si="116"/>
        <v>293.33333333334531</v>
      </c>
      <c r="BI191" s="59">
        <f ca="1">AVERAGE(OFFSET($BH$3,0,0,'Données projet'!$E$11+1,1))-AVERAGE(OFFSET($H$3,0,0,'Données projet'!$E$11+1,1))</f>
        <v>270.87836509222456</v>
      </c>
      <c r="BJ191" s="59">
        <f t="shared" si="146"/>
        <v>205.24998237949734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55.298231948116936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55.298231948116936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5.6843418860808015E-13</v>
      </c>
      <c r="BZ191" s="13">
        <f>BY191*VLOOKUP('Données projet'!$B$12,Paramètres!$A$1:$I$89,3,0)*VLOOKUP('Données projet'!$B$12,Paramètres!$A$1:$I$89,5,0)</f>
        <v>5.763922672485933E-13</v>
      </c>
      <c r="CA191" s="13">
        <f t="shared" si="170"/>
        <v>7.0619171555808457E-12</v>
      </c>
      <c r="CB191" s="20">
        <f t="shared" si="171"/>
        <v>1.3303388911427938E-11</v>
      </c>
      <c r="CC191" s="59">
        <f t="shared" si="119"/>
        <v>293.33333333334662</v>
      </c>
      <c r="CD191" s="59">
        <f ca="1">AVERAGE(OFFSET($CC$3,0,0,'Données projet'!$E$12+1,1))-AVERAGE(OFFSET($H$3,0,0,'Données projet'!$E$12+1,1))</f>
        <v>312.29056285877169</v>
      </c>
      <c r="CE191" s="59">
        <f t="shared" si="148"/>
        <v>233.85454224241693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61.972156493579305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61.972156493579305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-4.5474735088646412E-13</v>
      </c>
      <c r="CU191" s="17">
        <f>CT191*VLOOKUP('Données projet'!$B$13,Paramètres!$A$1:$I$89,3,0)*VLOOKUP('Données projet'!$B$13,Paramètres!$A$1:$I$89,5,0)</f>
        <v>-5.1786628318950535E-13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292.22737648725354</v>
      </c>
      <c r="CZ191" s="59">
        <f t="shared" si="150"/>
        <v>182.84038581199871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104.80635072939545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104.80635072939545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-4.5474735088646412E-13</v>
      </c>
      <c r="DP191" s="17">
        <f>DO191*VLOOKUP('Données projet'!$B$14,Paramètres!$A$1:$I$89,3,0)*VLOOKUP('Données projet'!$B$14,Paramètres!$A$1:$I$89,5,0)</f>
        <v>-4.9658410716801875E-13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276.52126514622455</v>
      </c>
      <c r="DU191" s="59">
        <f t="shared" si="152"/>
        <v>173.98404849503186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100.49924042544767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100.49924042544767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-4.5474735088646412E-13</v>
      </c>
      <c r="EK191" s="17">
        <f>EJ191*VLOOKUP('Données projet'!$B$15,Paramètres!$A$1:$I$89,3,0)*VLOOKUP('Données projet'!$B$15,Paramètres!$A$1:$I$89,5,0)</f>
        <v>-4.3983163777738812E-13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234.56750794375012</v>
      </c>
      <c r="EP191" s="59">
        <f t="shared" si="154"/>
        <v>150.32420541314724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89.013612948253652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89.013612948253652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1.5961632016114892E-13</v>
      </c>
      <c r="P192" s="13">
        <f t="shared" si="141"/>
        <v>2.2708641912150958E-12</v>
      </c>
      <c r="Q192" s="20">
        <f t="shared" si="162"/>
        <v>4.2330868906469593E-12</v>
      </c>
      <c r="R192" s="59">
        <f t="shared" si="109"/>
        <v>293.33333333333752</v>
      </c>
      <c r="S192" s="59">
        <f ca="1">AVERAGE(OFFSET($R$3,0,0,'Données projet'!$E$9+1,1))-AVERAGE(OFFSET($H$3,0,0,'Données projet'!$E$9+1,1))</f>
        <v>198.17898804494365</v>
      </c>
      <c r="T192" s="59">
        <f t="shared" si="142"/>
        <v>186.24772922797723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33.198162665530013</v>
      </c>
      <c r="AA192" s="21">
        <f>EXP(-LN(2)/25)*AA191+(1-EXP(-LN(2)/25))/(LN(2)/25)*Calculateur!V192*Calculateur!X192*VLOOKUP('Données projet'!$B$9,Paramètres!$A$1:$I$89,3,0)*0.475*44/12</f>
        <v>4.2777289129960065</v>
      </c>
      <c r="AB192" s="21">
        <f>EXP(-LN(2)/2)*AB191+(1-EXP(-LN(2)/2))/(LN(2)/2)*V192*Y192*VLOOKUP('Données projet'!$B$9,Paramètres!$A$1:$I$89,3,0)*0.475*44/12</f>
        <v>5.0446581654233958E-12</v>
      </c>
      <c r="AC192" s="22">
        <f t="shared" si="163"/>
        <v>37.475891578531062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278.21846622758881</v>
      </c>
      <c r="AO192" s="59">
        <f t="shared" si="144"/>
        <v>245.37578316242906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5.6843418860808015E-13</v>
      </c>
      <c r="BE192" s="13">
        <f>BD192*VLOOKUP('Données projet'!$B$11,Paramètres!$A$1:$I$89,3,0)*VLOOKUP('Données projet'!$B$11,Paramètres!$A$1:$I$89,5,0)</f>
        <v>5.1431925385259092E-13</v>
      </c>
      <c r="BF192" s="13">
        <f t="shared" si="167"/>
        <v>6.3855359115685756E-12</v>
      </c>
      <c r="BG192" s="20">
        <f t="shared" si="168"/>
        <v>1.2017247746441865E-11</v>
      </c>
      <c r="BH192" s="59">
        <f t="shared" si="116"/>
        <v>293.33333333334531</v>
      </c>
      <c r="BI192" s="59">
        <f ca="1">AVERAGE(OFFSET($BH$3,0,0,'Données projet'!$E$11+1,1))-AVERAGE(OFFSET($H$3,0,0,'Données projet'!$E$11+1,1))</f>
        <v>270.87836509222456</v>
      </c>
      <c r="BJ192" s="59">
        <f t="shared" si="146"/>
        <v>205.24998237949734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54.213867348205426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54.213867348205426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5.6843418860808015E-13</v>
      </c>
      <c r="BZ192" s="13">
        <f>BY192*VLOOKUP('Données projet'!$B$12,Paramètres!$A$1:$I$89,3,0)*VLOOKUP('Données projet'!$B$12,Paramètres!$A$1:$I$89,5,0)</f>
        <v>5.763922672485933E-13</v>
      </c>
      <c r="CA192" s="13">
        <f t="shared" si="170"/>
        <v>7.0619171555808457E-12</v>
      </c>
      <c r="CB192" s="20">
        <f t="shared" si="171"/>
        <v>1.3303388911427938E-11</v>
      </c>
      <c r="CC192" s="59">
        <f t="shared" si="119"/>
        <v>293.33333333334662</v>
      </c>
      <c r="CD192" s="59">
        <f ca="1">AVERAGE(OFFSET($CC$3,0,0,'Données projet'!$E$12+1,1))-AVERAGE(OFFSET($H$3,0,0,'Données projet'!$E$12+1,1))</f>
        <v>312.29056285877169</v>
      </c>
      <c r="CE192" s="59">
        <f t="shared" si="148"/>
        <v>233.85454224241693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60.756920304023311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60.756920304023311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-4.5474735088646412E-13</v>
      </c>
      <c r="CU192" s="17">
        <f>CT192*VLOOKUP('Données projet'!$B$13,Paramètres!$A$1:$I$89,3,0)*VLOOKUP('Données projet'!$B$13,Paramètres!$A$1:$I$89,5,0)</f>
        <v>-5.1786628318950535E-13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292.22737648725354</v>
      </c>
      <c r="CZ192" s="59">
        <f t="shared" si="150"/>
        <v>182.84038581199871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102.75116211715383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102.75116211715383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-4.5474735088646412E-13</v>
      </c>
      <c r="DP192" s="17">
        <f>DO192*VLOOKUP('Données projet'!$B$14,Paramètres!$A$1:$I$89,3,0)*VLOOKUP('Données projet'!$B$14,Paramètres!$A$1:$I$89,5,0)</f>
        <v>-4.9658410716801875E-13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276.52126514622455</v>
      </c>
      <c r="DU192" s="59">
        <f t="shared" si="152"/>
        <v>173.98404849503186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98.528511619188578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98.528511619188578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-4.5474735088646412E-13</v>
      </c>
      <c r="EK192" s="17">
        <f>EJ192*VLOOKUP('Données projet'!$B$15,Paramètres!$A$1:$I$89,3,0)*VLOOKUP('Données projet'!$B$15,Paramètres!$A$1:$I$89,5,0)</f>
        <v>-4.3983163777738812E-13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234.56750794375012</v>
      </c>
      <c r="EP192" s="59">
        <f t="shared" si="154"/>
        <v>150.32420541314724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87.268110291281317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87.268110291281317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1.5961632016114892E-13</v>
      </c>
      <c r="P193" s="13">
        <f t="shared" si="141"/>
        <v>2.2708641912150958E-12</v>
      </c>
      <c r="Q193" s="20">
        <f t="shared" si="162"/>
        <v>4.2330868906469593E-12</v>
      </c>
      <c r="R193" s="59">
        <f t="shared" si="109"/>
        <v>293.33333333333752</v>
      </c>
      <c r="S193" s="59">
        <f ca="1">AVERAGE(OFFSET($R$3,0,0,'Données projet'!$E$9+1,1))-AVERAGE(OFFSET($H$3,0,0,'Données projet'!$E$9+1,1))</f>
        <v>198.17898804494365</v>
      </c>
      <c r="T193" s="59">
        <f t="shared" si="142"/>
        <v>186.24772922797723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32.547166944538787</v>
      </c>
      <c r="AA193" s="21">
        <f>EXP(-LN(2)/25)*AA192+(1-EXP(-LN(2)/25))/(LN(2)/25)*Calculateur!V193*Calculateur!X193*VLOOKUP('Données projet'!$B$9,Paramètres!$A$1:$I$89,3,0)*0.475*44/12</f>
        <v>4.1607541909141439</v>
      </c>
      <c r="AB193" s="21">
        <f>EXP(-LN(2)/2)*AB192+(1-EXP(-LN(2)/2))/(LN(2)/2)*V193*Y193*VLOOKUP('Données projet'!$B$9,Paramètres!$A$1:$I$89,3,0)*0.475*44/12</f>
        <v>3.5671119975389718E-12</v>
      </c>
      <c r="AC193" s="22">
        <f t="shared" si="163"/>
        <v>36.707921135456502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278.21846622758881</v>
      </c>
      <c r="AO193" s="59">
        <f t="shared" si="144"/>
        <v>245.37578316242906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5.6843418860808015E-13</v>
      </c>
      <c r="BE193" s="13">
        <f>BD193*VLOOKUP('Données projet'!$B$11,Paramètres!$A$1:$I$89,3,0)*VLOOKUP('Données projet'!$B$11,Paramètres!$A$1:$I$89,5,0)</f>
        <v>5.1431925385259092E-13</v>
      </c>
      <c r="BF193" s="13">
        <f t="shared" si="167"/>
        <v>6.3855359115685756E-12</v>
      </c>
      <c r="BG193" s="20">
        <f t="shared" si="168"/>
        <v>1.2017247746441865E-11</v>
      </c>
      <c r="BH193" s="59">
        <f t="shared" si="116"/>
        <v>293.33333333334531</v>
      </c>
      <c r="BI193" s="59">
        <f ca="1">AVERAGE(OFFSET($BH$3,0,0,'Données projet'!$E$11+1,1))-AVERAGE(OFFSET($H$3,0,0,'Données projet'!$E$11+1,1))</f>
        <v>270.87836509222456</v>
      </c>
      <c r="BJ193" s="59">
        <f t="shared" si="146"/>
        <v>205.24998237949734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53.150766476701087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53.150766476701087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5.6843418860808015E-13</v>
      </c>
      <c r="BZ193" s="13">
        <f>BY193*VLOOKUP('Données projet'!$B$12,Paramètres!$A$1:$I$89,3,0)*VLOOKUP('Données projet'!$B$12,Paramètres!$A$1:$I$89,5,0)</f>
        <v>5.763922672485933E-13</v>
      </c>
      <c r="CA193" s="13">
        <f t="shared" si="170"/>
        <v>7.0619171555808457E-12</v>
      </c>
      <c r="CB193" s="20">
        <f t="shared" si="171"/>
        <v>1.3303388911427938E-11</v>
      </c>
      <c r="CC193" s="59">
        <f t="shared" si="119"/>
        <v>293.33333333334662</v>
      </c>
      <c r="CD193" s="59">
        <f ca="1">AVERAGE(OFFSET($CC$3,0,0,'Données projet'!$E$12+1,1))-AVERAGE(OFFSET($H$3,0,0,'Données projet'!$E$12+1,1))</f>
        <v>312.29056285877169</v>
      </c>
      <c r="CE193" s="59">
        <f t="shared" si="148"/>
        <v>233.85454224241693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59.565514154923619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59.565514154923619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-4.5474735088646412E-13</v>
      </c>
      <c r="CU193" s="17">
        <f>CT193*VLOOKUP('Données projet'!$B$13,Paramètres!$A$1:$I$89,3,0)*VLOOKUP('Données projet'!$B$13,Paramètres!$A$1:$I$89,5,0)</f>
        <v>-5.1786628318950535E-13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292.22737648725354</v>
      </c>
      <c r="CZ193" s="59">
        <f t="shared" si="150"/>
        <v>182.84038581199871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100.73627450005698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100.73627450005698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-4.5474735088646412E-13</v>
      </c>
      <c r="DP193" s="17">
        <f>DO193*VLOOKUP('Données projet'!$B$14,Paramètres!$A$1:$I$89,3,0)*VLOOKUP('Données projet'!$B$14,Paramètres!$A$1:$I$89,5,0)</f>
        <v>-4.9658410716801875E-13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276.52126514622455</v>
      </c>
      <c r="DU193" s="59">
        <f t="shared" si="152"/>
        <v>173.98404849503186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96.59642760279435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96.59642760279435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-4.5474735088646412E-13</v>
      </c>
      <c r="EK193" s="17">
        <f>EJ193*VLOOKUP('Données projet'!$B$15,Paramètres!$A$1:$I$89,3,0)*VLOOKUP('Données projet'!$B$15,Paramètres!$A$1:$I$89,5,0)</f>
        <v>-4.3983163777738812E-13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234.56750794375012</v>
      </c>
      <c r="EP193" s="59">
        <f t="shared" si="154"/>
        <v>150.32420541314724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85.556835876760715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85.556835876760715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1.5961632016114892E-13</v>
      </c>
      <c r="P194" s="13">
        <f t="shared" si="141"/>
        <v>2.2708641912150958E-12</v>
      </c>
      <c r="Q194" s="20">
        <f t="shared" si="162"/>
        <v>4.2330868906469593E-12</v>
      </c>
      <c r="R194" s="59">
        <f t="shared" si="109"/>
        <v>293.33333333333752</v>
      </c>
      <c r="S194" s="59">
        <f ca="1">AVERAGE(OFFSET($R$3,0,0,'Données projet'!$E$9+1,1))-AVERAGE(OFFSET($H$3,0,0,'Données projet'!$E$9+1,1))</f>
        <v>198.17898804494365</v>
      </c>
      <c r="T194" s="59">
        <f t="shared" si="142"/>
        <v>186.24772922797723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31.908936852568015</v>
      </c>
      <c r="AA194" s="21">
        <f>EXP(-LN(2)/25)*AA193+(1-EXP(-LN(2)/25))/(LN(2)/25)*Calculateur!V194*Calculateur!X194*VLOOKUP('Données projet'!$B$9,Paramètres!$A$1:$I$89,3,0)*0.475*44/12</f>
        <v>4.0469781487590435</v>
      </c>
      <c r="AB194" s="21">
        <f>EXP(-LN(2)/2)*AB193+(1-EXP(-LN(2)/2))/(LN(2)/2)*V194*Y194*VLOOKUP('Données projet'!$B$9,Paramètres!$A$1:$I$89,3,0)*0.475*44/12</f>
        <v>2.5223290827116983E-12</v>
      </c>
      <c r="AC194" s="22">
        <f t="shared" si="163"/>
        <v>35.955915001329579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278.21846622758881</v>
      </c>
      <c r="AO194" s="59">
        <f t="shared" si="144"/>
        <v>245.37578316242906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5.6843418860808015E-13</v>
      </c>
      <c r="BE194" s="13">
        <f>BD194*VLOOKUP('Données projet'!$B$11,Paramètres!$A$1:$I$89,3,0)*VLOOKUP('Données projet'!$B$11,Paramètres!$A$1:$I$89,5,0)</f>
        <v>5.1431925385259092E-13</v>
      </c>
      <c r="BF194" s="13">
        <f t="shared" si="167"/>
        <v>6.3855359115685756E-12</v>
      </c>
      <c r="BG194" s="20">
        <f t="shared" si="168"/>
        <v>1.2017247746441865E-11</v>
      </c>
      <c r="BH194" s="59">
        <f t="shared" si="116"/>
        <v>293.33333333334531</v>
      </c>
      <c r="BI194" s="59">
        <f ca="1">AVERAGE(OFFSET($BH$3,0,0,'Données projet'!$E$11+1,1))-AVERAGE(OFFSET($H$3,0,0,'Données projet'!$E$11+1,1))</f>
        <v>270.87836509222456</v>
      </c>
      <c r="BJ194" s="59">
        <f t="shared" si="146"/>
        <v>205.24998237949734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52.108512364859443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52.108512364859443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5.6843418860808015E-13</v>
      </c>
      <c r="BZ194" s="13">
        <f>BY194*VLOOKUP('Données projet'!$B$12,Paramètres!$A$1:$I$89,3,0)*VLOOKUP('Données projet'!$B$12,Paramètres!$A$1:$I$89,5,0)</f>
        <v>5.763922672485933E-13</v>
      </c>
      <c r="CA194" s="13">
        <f t="shared" si="170"/>
        <v>7.0619171555808457E-12</v>
      </c>
      <c r="CB194" s="20">
        <f t="shared" si="171"/>
        <v>1.3303388911427938E-11</v>
      </c>
      <c r="CC194" s="59">
        <f t="shared" si="119"/>
        <v>293.33333333334662</v>
      </c>
      <c r="CD194" s="59">
        <f ca="1">AVERAGE(OFFSET($CC$3,0,0,'Données projet'!$E$12+1,1))-AVERAGE(OFFSET($H$3,0,0,'Données projet'!$E$12+1,1))</f>
        <v>312.29056285877169</v>
      </c>
      <c r="CE194" s="59">
        <f t="shared" si="148"/>
        <v>233.85454224241693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58.397470753721777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58.397470753721777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-4.5474735088646412E-13</v>
      </c>
      <c r="CU194" s="17">
        <f>CT194*VLOOKUP('Données projet'!$B$13,Paramètres!$A$1:$I$89,3,0)*VLOOKUP('Données projet'!$B$13,Paramètres!$A$1:$I$89,5,0)</f>
        <v>-5.1786628318950535E-13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292.22737648725354</v>
      </c>
      <c r="CZ194" s="59">
        <f t="shared" si="150"/>
        <v>182.84038581199871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98.760897600171305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98.760897600171305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-4.5474735088646412E-13</v>
      </c>
      <c r="DP194" s="17">
        <f>DO194*VLOOKUP('Données projet'!$B$14,Paramètres!$A$1:$I$89,3,0)*VLOOKUP('Données projet'!$B$14,Paramètres!$A$1:$I$89,5,0)</f>
        <v>-4.9658410716801875E-13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276.52126514622455</v>
      </c>
      <c r="DU194" s="59">
        <f t="shared" si="152"/>
        <v>173.98404849503186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94.702230575506718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94.702230575506718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-4.5474735088646412E-13</v>
      </c>
      <c r="EK194" s="17">
        <f>EJ194*VLOOKUP('Données projet'!$B$15,Paramètres!$A$1:$I$89,3,0)*VLOOKUP('Données projet'!$B$15,Paramètres!$A$1:$I$89,5,0)</f>
        <v>-4.3983163777738812E-13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234.56750794375012</v>
      </c>
      <c r="EP194" s="59">
        <f t="shared" si="154"/>
        <v>150.32420541314724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83.879118509734525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83.879118509734525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1.5961632016114892E-13</v>
      </c>
      <c r="P195" s="13">
        <f t="shared" si="141"/>
        <v>2.2708641912150958E-12</v>
      </c>
      <c r="Q195" s="20">
        <f t="shared" si="162"/>
        <v>4.2330868906469593E-12</v>
      </c>
      <c r="R195" s="59">
        <f t="shared" ref="R195:R203" si="191">Q195+(I195+J195)*44/12</f>
        <v>293.33333333333752</v>
      </c>
      <c r="S195" s="59">
        <f ca="1">AVERAGE(OFFSET($R$3,0,0,'Données projet'!$E$9+1,1))-AVERAGE(OFFSET($H$3,0,0,'Données projet'!$E$9+1,1))</f>
        <v>198.17898804494365</v>
      </c>
      <c r="T195" s="59">
        <f t="shared" si="142"/>
        <v>186.24772922797723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31.283222063418872</v>
      </c>
      <c r="AA195" s="21">
        <f>EXP(-LN(2)/25)*AA194+(1-EXP(-LN(2)/25))/(LN(2)/25)*Calculateur!V195*Calculateur!X195*VLOOKUP('Données projet'!$B$9,Paramètres!$A$1:$I$89,3,0)*0.475*44/12</f>
        <v>3.936313318459896</v>
      </c>
      <c r="AB195" s="21">
        <f>EXP(-LN(2)/2)*AB194+(1-EXP(-LN(2)/2))/(LN(2)/2)*V195*Y195*VLOOKUP('Données projet'!$B$9,Paramètres!$A$1:$I$89,3,0)*0.475*44/12</f>
        <v>1.7835559987694861E-12</v>
      </c>
      <c r="AC195" s="22">
        <f t="shared" si="163"/>
        <v>35.219535381880554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278.21846622758881</v>
      </c>
      <c r="AO195" s="59">
        <f t="shared" si="144"/>
        <v>245.37578316242906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5.6843418860808015E-13</v>
      </c>
      <c r="BE195" s="13">
        <f>BD195*VLOOKUP('Données projet'!$B$11,Paramètres!$A$1:$I$89,3,0)*VLOOKUP('Données projet'!$B$11,Paramètres!$A$1:$I$89,5,0)</f>
        <v>5.1431925385259092E-13</v>
      </c>
      <c r="BF195" s="13">
        <f t="shared" si="167"/>
        <v>6.3855359115685756E-12</v>
      </c>
      <c r="BG195" s="20">
        <f t="shared" si="168"/>
        <v>1.2017247746441865E-11</v>
      </c>
      <c r="BH195" s="59">
        <f t="shared" si="116"/>
        <v>293.33333333334531</v>
      </c>
      <c r="BI195" s="59">
        <f ca="1">AVERAGE(OFFSET($BH$3,0,0,'Données projet'!$E$11+1,1))-AVERAGE(OFFSET($H$3,0,0,'Données projet'!$E$11+1,1))</f>
        <v>270.87836509222456</v>
      </c>
      <c r="BJ195" s="59">
        <f t="shared" si="146"/>
        <v>205.24998237949734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51.086696220438775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51.086696220438775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5.6843418860808015E-13</v>
      </c>
      <c r="BZ195" s="13">
        <f>BY195*VLOOKUP('Données projet'!$B$12,Paramètres!$A$1:$I$89,3,0)*VLOOKUP('Données projet'!$B$12,Paramètres!$A$1:$I$89,5,0)</f>
        <v>5.763922672485933E-13</v>
      </c>
      <c r="CA195" s="13">
        <f t="shared" si="170"/>
        <v>7.0619171555808457E-12</v>
      </c>
      <c r="CB195" s="20">
        <f t="shared" si="171"/>
        <v>1.3303388911427938E-11</v>
      </c>
      <c r="CC195" s="59">
        <f t="shared" si="119"/>
        <v>293.33333333334662</v>
      </c>
      <c r="CD195" s="59">
        <f ca="1">AVERAGE(OFFSET($CC$3,0,0,'Données projet'!$E$12+1,1))-AVERAGE(OFFSET($H$3,0,0,'Données projet'!$E$12+1,1))</f>
        <v>312.29056285877169</v>
      </c>
      <c r="CE195" s="59">
        <f t="shared" si="148"/>
        <v>233.85454224241693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57.252331971181377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57.252331971181377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-4.5474735088646412E-13</v>
      </c>
      <c r="CU195" s="17">
        <f>CT195*VLOOKUP('Données projet'!$B$13,Paramètres!$A$1:$I$89,3,0)*VLOOKUP('Données projet'!$B$13,Paramètres!$A$1:$I$89,5,0)</f>
        <v>-5.1786628318950535E-13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292.22737648725354</v>
      </c>
      <c r="CZ195" s="59">
        <f t="shared" si="150"/>
        <v>182.84038581199871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96.824256636431457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96.824256636431457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-4.5474735088646412E-13</v>
      </c>
      <c r="DP195" s="17">
        <f>DO195*VLOOKUP('Données projet'!$B$14,Paramètres!$A$1:$I$89,3,0)*VLOOKUP('Données projet'!$B$14,Paramètres!$A$1:$I$89,5,0)</f>
        <v>-4.9658410716801875E-13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276.52126514622455</v>
      </c>
      <c r="DU195" s="59">
        <f t="shared" si="152"/>
        <v>173.98404849503186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92.845177596578097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92.845177596578097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-4.5474735088646412E-13</v>
      </c>
      <c r="EK195" s="17">
        <f>EJ195*VLOOKUP('Données projet'!$B$15,Paramètres!$A$1:$I$89,3,0)*VLOOKUP('Données projet'!$B$15,Paramètres!$A$1:$I$89,5,0)</f>
        <v>-4.3983163777738812E-13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234.56750794375012</v>
      </c>
      <c r="EP195" s="59">
        <f t="shared" si="154"/>
        <v>150.32420541314724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82.234300156969169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82.234300156969169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1.5961632016114892E-13</v>
      </c>
      <c r="P196" s="13">
        <f t="shared" si="141"/>
        <v>2.2708641912150958E-12</v>
      </c>
      <c r="Q196" s="20">
        <f t="shared" si="162"/>
        <v>4.2330868906469593E-12</v>
      </c>
      <c r="R196" s="59">
        <f t="shared" si="191"/>
        <v>293.33333333333752</v>
      </c>
      <c r="S196" s="59">
        <f ca="1">AVERAGE(OFFSET($R$3,0,0,'Données projet'!$E$9+1,1))-AVERAGE(OFFSET($H$3,0,0,'Données projet'!$E$9+1,1))</f>
        <v>198.17898804494365</v>
      </c>
      <c r="T196" s="59">
        <f t="shared" si="142"/>
        <v>186.24772922797723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30.669777159636606</v>
      </c>
      <c r="AA196" s="21">
        <f>EXP(-LN(2)/25)*AA195+(1-EXP(-LN(2)/25))/(LN(2)/25)*Calculateur!V196*Calculateur!X196*VLOOKUP('Données projet'!$B$9,Paramètres!$A$1:$I$89,3,0)*0.475*44/12</f>
        <v>3.8286746237648894</v>
      </c>
      <c r="AB196" s="21">
        <f>EXP(-LN(2)/2)*AB195+(1-EXP(-LN(2)/2))/(LN(2)/2)*V196*Y196*VLOOKUP('Données projet'!$B$9,Paramètres!$A$1:$I$89,3,0)*0.475*44/12</f>
        <v>1.2611645413558494E-12</v>
      </c>
      <c r="AC196" s="22">
        <f t="shared" si="163"/>
        <v>34.49845178340275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278.21846622758881</v>
      </c>
      <c r="AO196" s="59">
        <f t="shared" si="144"/>
        <v>245.37578316242906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5.6843418860808015E-13</v>
      </c>
      <c r="BE196" s="13">
        <f>BD196*VLOOKUP('Données projet'!$B$11,Paramètres!$A$1:$I$89,3,0)*VLOOKUP('Données projet'!$B$11,Paramètres!$A$1:$I$89,5,0)</f>
        <v>5.1431925385259092E-13</v>
      </c>
      <c r="BF196" s="13">
        <f t="shared" si="167"/>
        <v>6.3855359115685756E-12</v>
      </c>
      <c r="BG196" s="20">
        <f t="shared" si="168"/>
        <v>1.2017247746441865E-11</v>
      </c>
      <c r="BH196" s="59">
        <f t="shared" ref="BH196:BH203" si="194">BG196+(AY196+AZ196)*44/12</f>
        <v>293.33333333334531</v>
      </c>
      <c r="BI196" s="59">
        <f ca="1">AVERAGE(OFFSET($BH$3,0,0,'Données projet'!$E$11+1,1))-AVERAGE(OFFSET($H$3,0,0,'Données projet'!$E$11+1,1))</f>
        <v>270.87836509222456</v>
      </c>
      <c r="BJ196" s="59">
        <f t="shared" si="146"/>
        <v>205.24998237949734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50.084917267363892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50.084917267363892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5.6843418860808015E-13</v>
      </c>
      <c r="BZ196" s="13">
        <f>BY196*VLOOKUP('Données projet'!$B$12,Paramètres!$A$1:$I$89,3,0)*VLOOKUP('Données projet'!$B$12,Paramètres!$A$1:$I$89,5,0)</f>
        <v>5.763922672485933E-13</v>
      </c>
      <c r="CA196" s="13">
        <f t="shared" si="170"/>
        <v>7.0619171555808457E-12</v>
      </c>
      <c r="CB196" s="20">
        <f t="shared" si="171"/>
        <v>1.3303388911427938E-11</v>
      </c>
      <c r="CC196" s="59">
        <f t="shared" ref="CC196:CC203" si="195">CB196+(BT196+BU196)*44/12</f>
        <v>293.33333333334662</v>
      </c>
      <c r="CD196" s="59">
        <f ca="1">AVERAGE(OFFSET($CC$3,0,0,'Données projet'!$E$12+1,1))-AVERAGE(OFFSET($H$3,0,0,'Données projet'!$E$12+1,1))</f>
        <v>312.29056285877169</v>
      </c>
      <c r="CE196" s="59">
        <f t="shared" si="148"/>
        <v>233.85454224241693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56.129648661700905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56.129648661700905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-4.5474735088646412E-13</v>
      </c>
      <c r="CU196" s="17">
        <f>CT196*VLOOKUP('Données projet'!$B$13,Paramètres!$A$1:$I$89,3,0)*VLOOKUP('Données projet'!$B$13,Paramètres!$A$1:$I$89,5,0)</f>
        <v>-5.1786628318950535E-13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292.22737648725354</v>
      </c>
      <c r="CZ196" s="59">
        <f t="shared" si="150"/>
        <v>182.84038581199871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94.925592020756199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94.925592020756199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-4.5474735088646412E-13</v>
      </c>
      <c r="DP196" s="17">
        <f>DO196*VLOOKUP('Données projet'!$B$14,Paramètres!$A$1:$I$89,3,0)*VLOOKUP('Données projet'!$B$14,Paramètres!$A$1:$I$89,5,0)</f>
        <v>-4.9658410716801875E-13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276.52126514622455</v>
      </c>
      <c r="DU196" s="59">
        <f t="shared" si="152"/>
        <v>173.98404849503186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91.024540293875788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91.024540293875788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-4.5474735088646412E-13</v>
      </c>
      <c r="EK196" s="17">
        <f>EJ196*VLOOKUP('Données projet'!$B$15,Paramètres!$A$1:$I$89,3,0)*VLOOKUP('Données projet'!$B$15,Paramètres!$A$1:$I$89,5,0)</f>
        <v>-4.3983163777738812E-13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234.56750794375012</v>
      </c>
      <c r="EP196" s="59">
        <f t="shared" si="154"/>
        <v>150.32420541314724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80.621735688861406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80.621735688861406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1.5961632016114892E-13</v>
      </c>
      <c r="P197" s="13">
        <f t="shared" ref="P197:P203" si="203">EXP(-1.0587+0.8836*LN(O197)+0.284)</f>
        <v>2.2708641912150958E-12</v>
      </c>
      <c r="Q197" s="20">
        <f t="shared" si="162"/>
        <v>4.2330868906469593E-12</v>
      </c>
      <c r="R197" s="59">
        <f t="shared" si="191"/>
        <v>293.33333333333752</v>
      </c>
      <c r="S197" s="59">
        <f ca="1">AVERAGE(OFFSET($R$3,0,0,'Données projet'!$E$9+1,1))-AVERAGE(OFFSET($H$3,0,0,'Données projet'!$E$9+1,1))</f>
        <v>198.17898804494365</v>
      </c>
      <c r="T197" s="59">
        <f t="shared" ref="T197:T203" si="204">$T$3</f>
        <v>186.24772922797723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30.068361536253065</v>
      </c>
      <c r="AA197" s="21">
        <f>EXP(-LN(2)/25)*AA196+(1-EXP(-LN(2)/25))/(LN(2)/25)*Calculateur!V197*Calculateur!X197*VLOOKUP('Données projet'!$B$9,Paramètres!$A$1:$I$89,3,0)*0.475*44/12</f>
        <v>3.7239793148367908</v>
      </c>
      <c r="AB197" s="21">
        <f>EXP(-LN(2)/2)*AB196+(1-EXP(-LN(2)/2))/(LN(2)/2)*V197*Y197*VLOOKUP('Données projet'!$B$9,Paramètres!$A$1:$I$89,3,0)*0.475*44/12</f>
        <v>8.9177799938474324E-13</v>
      </c>
      <c r="AC197" s="22">
        <f t="shared" si="163"/>
        <v>33.792340851090749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278.21846622758881</v>
      </c>
      <c r="AO197" s="59">
        <f t="shared" ref="AO197:AO203" si="205">$AO$3</f>
        <v>245.37578316242906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5.6843418860808015E-13</v>
      </c>
      <c r="BE197" s="13">
        <f>BD197*VLOOKUP('Données projet'!$B$11,Paramètres!$A$1:$I$89,3,0)*VLOOKUP('Données projet'!$B$11,Paramètres!$A$1:$I$89,5,0)</f>
        <v>5.1431925385259092E-13</v>
      </c>
      <c r="BF197" s="13">
        <f t="shared" si="167"/>
        <v>6.3855359115685756E-12</v>
      </c>
      <c r="BG197" s="20">
        <f t="shared" si="168"/>
        <v>1.2017247746441865E-11</v>
      </c>
      <c r="BH197" s="59">
        <f t="shared" si="194"/>
        <v>293.33333333334531</v>
      </c>
      <c r="BI197" s="59">
        <f ca="1">AVERAGE(OFFSET($BH$3,0,0,'Données projet'!$E$11+1,1))-AVERAGE(OFFSET($H$3,0,0,'Données projet'!$E$11+1,1))</f>
        <v>270.87836509222456</v>
      </c>
      <c r="BJ197" s="59">
        <f t="shared" ref="BJ197:BJ203" si="206">$BJ$3</f>
        <v>205.24998237949734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49.102782588533977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49.102782588533977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5.6843418860808015E-13</v>
      </c>
      <c r="BZ197" s="13">
        <f>BY197*VLOOKUP('Données projet'!$B$12,Paramètres!$A$1:$I$89,3,0)*VLOOKUP('Données projet'!$B$12,Paramètres!$A$1:$I$89,5,0)</f>
        <v>5.763922672485933E-13</v>
      </c>
      <c r="CA197" s="13">
        <f t="shared" si="170"/>
        <v>7.0619171555808457E-12</v>
      </c>
      <c r="CB197" s="20">
        <f t="shared" si="171"/>
        <v>1.3303388911427938E-11</v>
      </c>
      <c r="CC197" s="59">
        <f t="shared" si="195"/>
        <v>293.33333333334662</v>
      </c>
      <c r="CD197" s="59">
        <f ca="1">AVERAGE(OFFSET($CC$3,0,0,'Données projet'!$E$12+1,1))-AVERAGE(OFFSET($H$3,0,0,'Données projet'!$E$12+1,1))</f>
        <v>312.29056285877169</v>
      </c>
      <c r="CE197" s="59">
        <f t="shared" ref="CE197:CE203" si="207">$CE$3</f>
        <v>233.85454224241693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55.028980487150136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55.028980487150136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-4.5474735088646412E-13</v>
      </c>
      <c r="CU197" s="17">
        <f>CT197*VLOOKUP('Données projet'!$B$13,Paramètres!$A$1:$I$89,3,0)*VLOOKUP('Données projet'!$B$13,Paramètres!$A$1:$I$89,5,0)</f>
        <v>-5.1786628318950535E-13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292.22737648725354</v>
      </c>
      <c r="CZ197" s="59">
        <f t="shared" ref="CZ197:CZ203" si="208">$CZ$3</f>
        <v>182.84038581199871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93.064159060123259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93.064159060123259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-4.5474735088646412E-13</v>
      </c>
      <c r="DP197" s="17">
        <f>DO197*VLOOKUP('Données projet'!$B$14,Paramètres!$A$1:$I$89,3,0)*VLOOKUP('Données projet'!$B$14,Paramètres!$A$1:$I$89,5,0)</f>
        <v>-4.9658410716801875E-13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276.52126514622455</v>
      </c>
      <c r="DU197" s="59">
        <f t="shared" ref="DU197:DU203" si="209">$DU$3</f>
        <v>173.98404849503186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89.239604578200371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89.239604578200371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-4.5474735088646412E-13</v>
      </c>
      <c r="EK197" s="17">
        <f>EJ197*VLOOKUP('Données projet'!$B$15,Paramètres!$A$1:$I$89,3,0)*VLOOKUP('Données projet'!$B$15,Paramètres!$A$1:$I$89,5,0)</f>
        <v>-4.3983163777738812E-13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234.56750794375012</v>
      </c>
      <c r="EP197" s="59">
        <f t="shared" ref="EP197:EP203" si="210">$EP$3</f>
        <v>150.32420541314724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79.040792626406031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79.040792626406031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1.5961632016114892E-13</v>
      </c>
      <c r="P198" s="13">
        <f t="shared" si="203"/>
        <v>2.2708641912150958E-12</v>
      </c>
      <c r="Q198" s="20">
        <f t="shared" si="162"/>
        <v>4.2330868906469593E-12</v>
      </c>
      <c r="R198" s="59">
        <f t="shared" si="191"/>
        <v>293.33333333333752</v>
      </c>
      <c r="S198" s="59">
        <f ca="1">AVERAGE(OFFSET($R$3,0,0,'Données projet'!$E$9+1,1))-AVERAGE(OFFSET($H$3,0,0,'Données projet'!$E$9+1,1))</f>
        <v>198.17898804494365</v>
      </c>
      <c r="T198" s="59">
        <f t="shared" si="204"/>
        <v>186.24772922797723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29.478739306416767</v>
      </c>
      <c r="AA198" s="21">
        <f>EXP(-LN(2)/25)*AA197+(1-EXP(-LN(2)/25))/(LN(2)/25)*Calculateur!V198*Calculateur!X198*VLOOKUP('Données projet'!$B$9,Paramètres!$A$1:$I$89,3,0)*0.475*44/12</f>
        <v>3.6221469046370181</v>
      </c>
      <c r="AB198" s="21">
        <f>EXP(-LN(2)/2)*AB197+(1-EXP(-LN(2)/2))/(LN(2)/2)*V198*Y198*VLOOKUP('Données projet'!$B$9,Paramètres!$A$1:$I$89,3,0)*0.475*44/12</f>
        <v>6.3058227067792478E-13</v>
      </c>
      <c r="AC198" s="22">
        <f t="shared" si="163"/>
        <v>33.100886211054416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278.21846622758881</v>
      </c>
      <c r="AO198" s="59">
        <f t="shared" si="205"/>
        <v>245.37578316242906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5.6843418860808015E-13</v>
      </c>
      <c r="BE198" s="13">
        <f>BD198*VLOOKUP('Données projet'!$B$11,Paramètres!$A$1:$I$89,3,0)*VLOOKUP('Données projet'!$B$11,Paramètres!$A$1:$I$89,5,0)</f>
        <v>5.1431925385259092E-13</v>
      </c>
      <c r="BF198" s="13">
        <f t="shared" si="167"/>
        <v>6.3855359115685756E-12</v>
      </c>
      <c r="BG198" s="20">
        <f t="shared" si="168"/>
        <v>1.2017247746441865E-11</v>
      </c>
      <c r="BH198" s="59">
        <f t="shared" si="194"/>
        <v>293.33333333334531</v>
      </c>
      <c r="BI198" s="59">
        <f ca="1">AVERAGE(OFFSET($BH$3,0,0,'Données projet'!$E$11+1,1))-AVERAGE(OFFSET($H$3,0,0,'Données projet'!$E$11+1,1))</f>
        <v>270.87836509222456</v>
      </c>
      <c r="BJ198" s="59">
        <f t="shared" si="206"/>
        <v>205.24998237949734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48.139906971712911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48.139906971712911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5.6843418860808015E-13</v>
      </c>
      <c r="BZ198" s="13">
        <f>BY198*VLOOKUP('Données projet'!$B$12,Paramètres!$A$1:$I$89,3,0)*VLOOKUP('Données projet'!$B$12,Paramètres!$A$1:$I$89,5,0)</f>
        <v>5.763922672485933E-13</v>
      </c>
      <c r="CA198" s="13">
        <f t="shared" si="170"/>
        <v>7.0619171555808457E-12</v>
      </c>
      <c r="CB198" s="20">
        <f t="shared" si="171"/>
        <v>1.3303388911427938E-11</v>
      </c>
      <c r="CC198" s="59">
        <f t="shared" si="195"/>
        <v>293.33333333334662</v>
      </c>
      <c r="CD198" s="59">
        <f ca="1">AVERAGE(OFFSET($CC$3,0,0,'Données projet'!$E$12+1,1))-AVERAGE(OFFSET($H$3,0,0,'Données projet'!$E$12+1,1))</f>
        <v>312.29056285877169</v>
      </c>
      <c r="CE198" s="59">
        <f t="shared" si="207"/>
        <v>233.85454224241693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53.949895744161012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53.949895744161012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-4.5474735088646412E-13</v>
      </c>
      <c r="CU198" s="17">
        <f>CT198*VLOOKUP('Données projet'!$B$13,Paramètres!$A$1:$I$89,3,0)*VLOOKUP('Données projet'!$B$13,Paramètres!$A$1:$I$89,5,0)</f>
        <v>-5.1786628318950535E-13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292.22737648725354</v>
      </c>
      <c r="CZ198" s="59">
        <f t="shared" si="208"/>
        <v>182.84038581199871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91.239227664486336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91.239227664486336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-4.5474735088646412E-13</v>
      </c>
      <c r="DP198" s="17">
        <f>DO198*VLOOKUP('Données projet'!$B$14,Paramètres!$A$1:$I$89,3,0)*VLOOKUP('Données projet'!$B$14,Paramètres!$A$1:$I$89,5,0)</f>
        <v>-4.9658410716801875E-13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276.52126514622455</v>
      </c>
      <c r="DU198" s="59">
        <f t="shared" si="209"/>
        <v>173.98404849503186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87.489670363206059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87.489670363206059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-4.5474735088646412E-13</v>
      </c>
      <c r="EK198" s="17">
        <f>EJ198*VLOOKUP('Données projet'!$B$15,Paramètres!$A$1:$I$89,3,0)*VLOOKUP('Données projet'!$B$15,Paramètres!$A$1:$I$89,5,0)</f>
        <v>-4.3983163777738812E-13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234.56750794375012</v>
      </c>
      <c r="EP198" s="59">
        <f t="shared" si="210"/>
        <v>150.32420541314724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77.490850893125355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77.490850893125355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1.5961632016114892E-13</v>
      </c>
      <c r="P199" s="13">
        <f t="shared" si="203"/>
        <v>2.2708641912150958E-12</v>
      </c>
      <c r="Q199" s="20">
        <f t="shared" si="162"/>
        <v>4.2330868906469593E-12</v>
      </c>
      <c r="R199" s="59">
        <f t="shared" si="191"/>
        <v>293.33333333333752</v>
      </c>
      <c r="S199" s="59">
        <f ca="1">AVERAGE(OFFSET($R$3,0,0,'Données projet'!$E$9+1,1))-AVERAGE(OFFSET($H$3,0,0,'Données projet'!$E$9+1,1))</f>
        <v>198.17898804494365</v>
      </c>
      <c r="T199" s="59">
        <f t="shared" si="204"/>
        <v>186.24772922797723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28.900679208873509</v>
      </c>
      <c r="AA199" s="21">
        <f>EXP(-LN(2)/25)*AA198+(1-EXP(-LN(2)/25))/(LN(2)/25)*Calculateur!V199*Calculateur!X199*VLOOKUP('Données projet'!$B$9,Paramètres!$A$1:$I$89,3,0)*0.475*44/12</f>
        <v>3.5230991070492914</v>
      </c>
      <c r="AB199" s="21">
        <f>EXP(-LN(2)/2)*AB198+(1-EXP(-LN(2)/2))/(LN(2)/2)*V199*Y199*VLOOKUP('Données projet'!$B$9,Paramètres!$A$1:$I$89,3,0)*0.475*44/12</f>
        <v>4.4588899969237167E-13</v>
      </c>
      <c r="AC199" s="22">
        <f t="shared" si="163"/>
        <v>32.423778315923251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278.21846622758881</v>
      </c>
      <c r="AO199" s="59">
        <f t="shared" si="205"/>
        <v>245.37578316242906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5.6843418860808015E-13</v>
      </c>
      <c r="BE199" s="13">
        <f>BD199*VLOOKUP('Données projet'!$B$11,Paramètres!$A$1:$I$89,3,0)*VLOOKUP('Données projet'!$B$11,Paramètres!$A$1:$I$89,5,0)</f>
        <v>5.1431925385259092E-13</v>
      </c>
      <c r="BF199" s="13">
        <f t="shared" si="167"/>
        <v>6.3855359115685756E-12</v>
      </c>
      <c r="BG199" s="20">
        <f t="shared" si="168"/>
        <v>1.2017247746441865E-11</v>
      </c>
      <c r="BH199" s="59">
        <f t="shared" si="194"/>
        <v>293.33333333334531</v>
      </c>
      <c r="BI199" s="59">
        <f ca="1">AVERAGE(OFFSET($BH$3,0,0,'Données projet'!$E$11+1,1))-AVERAGE(OFFSET($H$3,0,0,'Données projet'!$E$11+1,1))</f>
        <v>270.87836509222456</v>
      </c>
      <c r="BJ199" s="59">
        <f t="shared" si="206"/>
        <v>205.24998237949734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47.195912758441573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47.195912758441573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5.6843418860808015E-13</v>
      </c>
      <c r="BZ199" s="13">
        <f>BY199*VLOOKUP('Données projet'!$B$12,Paramètres!$A$1:$I$89,3,0)*VLOOKUP('Données projet'!$B$12,Paramètres!$A$1:$I$89,5,0)</f>
        <v>5.763922672485933E-13</v>
      </c>
      <c r="CA199" s="13">
        <f t="shared" si="170"/>
        <v>7.0619171555808457E-12</v>
      </c>
      <c r="CB199" s="20">
        <f t="shared" si="171"/>
        <v>1.3303388911427938E-11</v>
      </c>
      <c r="CC199" s="59">
        <f t="shared" si="195"/>
        <v>293.33333333334662</v>
      </c>
      <c r="CD199" s="59">
        <f ca="1">AVERAGE(OFFSET($CC$3,0,0,'Données projet'!$E$12+1,1))-AVERAGE(OFFSET($H$3,0,0,'Données projet'!$E$12+1,1))</f>
        <v>312.29056285877169</v>
      </c>
      <c r="CE199" s="59">
        <f t="shared" si="207"/>
        <v>233.85454224241693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52.891971194805201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52.891971194805201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-4.5474735088646412E-13</v>
      </c>
      <c r="CU199" s="17">
        <f>CT199*VLOOKUP('Données projet'!$B$13,Paramètres!$A$1:$I$89,3,0)*VLOOKUP('Données projet'!$B$13,Paramètres!$A$1:$I$89,5,0)</f>
        <v>-5.1786628318950535E-13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292.22737648725354</v>
      </c>
      <c r="CZ199" s="59">
        <f t="shared" si="208"/>
        <v>182.84038581199871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89.450082060419604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89.450082060419604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-4.5474735088646412E-13</v>
      </c>
      <c r="DP199" s="17">
        <f>DO199*VLOOKUP('Données projet'!$B$14,Paramètres!$A$1:$I$89,3,0)*VLOOKUP('Données projet'!$B$14,Paramètres!$A$1:$I$89,5,0)</f>
        <v>-4.9658410716801875E-13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276.52126514622455</v>
      </c>
      <c r="DU199" s="59">
        <f t="shared" si="209"/>
        <v>173.98404849503186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85.774051290813304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85.774051290813304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-4.5474735088646412E-13</v>
      </c>
      <c r="EK199" s="17">
        <f>EJ199*VLOOKUP('Données projet'!$B$15,Paramètres!$A$1:$I$89,3,0)*VLOOKUP('Données projet'!$B$15,Paramètres!$A$1:$I$89,5,0)</f>
        <v>-4.3983163777738812E-13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234.56750794375012</v>
      </c>
      <c r="EP199" s="59">
        <f t="shared" si="210"/>
        <v>150.32420541314724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75.971302571863205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75.971302571863205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1.5961632016114892E-13</v>
      </c>
      <c r="P200" s="13">
        <f t="shared" si="203"/>
        <v>2.2708641912150958E-12</v>
      </c>
      <c r="Q200" s="20">
        <f t="shared" si="162"/>
        <v>4.2330868906469593E-12</v>
      </c>
      <c r="R200" s="59">
        <f t="shared" si="191"/>
        <v>293.33333333333752</v>
      </c>
      <c r="S200" s="59">
        <f ca="1">AVERAGE(OFFSET($R$3,0,0,'Données projet'!$E$9+1,1))-AVERAGE(OFFSET($H$3,0,0,'Données projet'!$E$9+1,1))</f>
        <v>198.17898804494365</v>
      </c>
      <c r="T200" s="59">
        <f t="shared" si="204"/>
        <v>186.24772922797723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28.33395451726123</v>
      </c>
      <c r="AA200" s="21">
        <f>EXP(-LN(2)/25)*AA199+(1-EXP(-LN(2)/25))/(LN(2)/25)*Calculateur!V200*Calculateur!X200*VLOOKUP('Données projet'!$B$9,Paramètres!$A$1:$I$89,3,0)*0.475*44/12</f>
        <v>3.4267597766952989</v>
      </c>
      <c r="AB200" s="21">
        <f>EXP(-LN(2)/2)*AB199+(1-EXP(-LN(2)/2))/(LN(2)/2)*V200*Y200*VLOOKUP('Données projet'!$B$9,Paramètres!$A$1:$I$89,3,0)*0.475*44/12</f>
        <v>3.1529113533896244E-13</v>
      </c>
      <c r="AC200" s="22">
        <f t="shared" si="163"/>
        <v>31.760714293956845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278.21846622758881</v>
      </c>
      <c r="AO200" s="59">
        <f t="shared" si="205"/>
        <v>245.37578316242906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5.6843418860808015E-13</v>
      </c>
      <c r="BE200" s="13">
        <f>BD200*VLOOKUP('Données projet'!$B$11,Paramètres!$A$1:$I$89,3,0)*VLOOKUP('Données projet'!$B$11,Paramètres!$A$1:$I$89,5,0)</f>
        <v>5.1431925385259092E-13</v>
      </c>
      <c r="BF200" s="13">
        <f t="shared" si="167"/>
        <v>6.3855359115685756E-12</v>
      </c>
      <c r="BG200" s="20">
        <f t="shared" si="168"/>
        <v>1.2017247746441865E-11</v>
      </c>
      <c r="BH200" s="59">
        <f t="shared" si="194"/>
        <v>293.33333333334531</v>
      </c>
      <c r="BI200" s="59">
        <f ca="1">AVERAGE(OFFSET($BH$3,0,0,'Données projet'!$E$11+1,1))-AVERAGE(OFFSET($H$3,0,0,'Données projet'!$E$11+1,1))</f>
        <v>270.87836509222456</v>
      </c>
      <c r="BJ200" s="59">
        <f t="shared" si="206"/>
        <v>205.24998237949734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46.270429695912867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46.270429695912867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5.6843418860808015E-13</v>
      </c>
      <c r="BZ200" s="13">
        <f>BY200*VLOOKUP('Données projet'!$B$12,Paramètres!$A$1:$I$89,3,0)*VLOOKUP('Données projet'!$B$12,Paramètres!$A$1:$I$89,5,0)</f>
        <v>5.763922672485933E-13</v>
      </c>
      <c r="CA200" s="13">
        <f t="shared" si="170"/>
        <v>7.0619171555808457E-12</v>
      </c>
      <c r="CB200" s="20">
        <f t="shared" si="171"/>
        <v>1.3303388911427938E-11</v>
      </c>
      <c r="CC200" s="59">
        <f t="shared" si="195"/>
        <v>293.33333333334662</v>
      </c>
      <c r="CD200" s="59">
        <f ca="1">AVERAGE(OFFSET($CC$3,0,0,'Données projet'!$E$12+1,1))-AVERAGE(OFFSET($H$3,0,0,'Données projet'!$E$12+1,1))</f>
        <v>312.29056285877169</v>
      </c>
      <c r="CE200" s="59">
        <f t="shared" si="207"/>
        <v>233.85454224241693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51.854791900591998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51.854791900591998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-4.5474735088646412E-13</v>
      </c>
      <c r="CU200" s="17">
        <f>CT200*VLOOKUP('Données projet'!$B$13,Paramètres!$A$1:$I$89,3,0)*VLOOKUP('Données projet'!$B$13,Paramètres!$A$1:$I$89,5,0)</f>
        <v>-5.1786628318950535E-13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292.22737648725354</v>
      </c>
      <c r="CZ200" s="59">
        <f t="shared" si="208"/>
        <v>182.84038581199871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87.696020510377565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87.696020510377565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-4.5474735088646412E-13</v>
      </c>
      <c r="DP200" s="17">
        <f>DO200*VLOOKUP('Données projet'!$B$14,Paramètres!$A$1:$I$89,3,0)*VLOOKUP('Données projet'!$B$14,Paramètres!$A$1:$I$89,5,0)</f>
        <v>-4.9658410716801875E-13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276.52126514622455</v>
      </c>
      <c r="DU200" s="59">
        <f t="shared" si="209"/>
        <v>173.98404849503186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84.092074462005868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84.092074462005868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-4.5474735088646412E-13</v>
      </c>
      <c r="EK200" s="17">
        <f>EJ200*VLOOKUP('Données projet'!$B$15,Paramètres!$A$1:$I$89,3,0)*VLOOKUP('Données projet'!$B$15,Paramètres!$A$1:$I$89,5,0)</f>
        <v>-4.3983163777738812E-13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234.56750794375012</v>
      </c>
      <c r="EP200" s="59">
        <f t="shared" si="210"/>
        <v>150.32420541314724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74.481551666348054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74.481551666348054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1.5961632016114892E-13</v>
      </c>
      <c r="P201" s="13">
        <f t="shared" si="203"/>
        <v>2.2708641912150958E-12</v>
      </c>
      <c r="Q201" s="20">
        <f t="shared" si="162"/>
        <v>4.2330868906469593E-12</v>
      </c>
      <c r="R201" s="59">
        <f t="shared" si="191"/>
        <v>293.33333333333752</v>
      </c>
      <c r="S201" s="59">
        <f ca="1">AVERAGE(OFFSET($R$3,0,0,'Données projet'!$E$9+1,1))-AVERAGE(OFFSET($H$3,0,0,'Données projet'!$E$9+1,1))</f>
        <v>198.17898804494365</v>
      </c>
      <c r="T201" s="59">
        <f t="shared" si="204"/>
        <v>186.24772922797723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27.778342951183536</v>
      </c>
      <c r="AA201" s="21">
        <f>EXP(-LN(2)/25)*AA200+(1-EXP(-LN(2)/25))/(LN(2)/25)*Calculateur!V201*Calculateur!X201*VLOOKUP('Données projet'!$B$9,Paramètres!$A$1:$I$89,3,0)*0.475*44/12</f>
        <v>3.3330548503961013</v>
      </c>
      <c r="AB201" s="21">
        <f>EXP(-LN(2)/2)*AB200+(1-EXP(-LN(2)/2))/(LN(2)/2)*V201*Y201*VLOOKUP('Données projet'!$B$9,Paramètres!$A$1:$I$89,3,0)*0.475*44/12</f>
        <v>2.2294449984618586E-13</v>
      </c>
      <c r="AC201" s="22">
        <f t="shared" si="163"/>
        <v>31.111397801579862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278.21846622758881</v>
      </c>
      <c r="AO201" s="59">
        <f t="shared" si="205"/>
        <v>245.37578316242906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5.6843418860808015E-13</v>
      </c>
      <c r="BE201" s="13">
        <f>BD201*VLOOKUP('Données projet'!$B$11,Paramètres!$A$1:$I$89,3,0)*VLOOKUP('Données projet'!$B$11,Paramètres!$A$1:$I$89,5,0)</f>
        <v>5.1431925385259092E-13</v>
      </c>
      <c r="BF201" s="13">
        <f t="shared" si="167"/>
        <v>6.3855359115685756E-12</v>
      </c>
      <c r="BG201" s="20">
        <f t="shared" si="168"/>
        <v>1.2017247746441865E-11</v>
      </c>
      <c r="BH201" s="59">
        <f t="shared" si="194"/>
        <v>293.33333333334531</v>
      </c>
      <c r="BI201" s="59">
        <f ca="1">AVERAGE(OFFSET($BH$3,0,0,'Données projet'!$E$11+1,1))-AVERAGE(OFFSET($H$3,0,0,'Données projet'!$E$11+1,1))</f>
        <v>270.87836509222456</v>
      </c>
      <c r="BJ201" s="59">
        <f t="shared" si="206"/>
        <v>205.24998237949734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45.363094791751422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45.363094791751422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5.6843418860808015E-13</v>
      </c>
      <c r="BZ201" s="13">
        <f>BY201*VLOOKUP('Données projet'!$B$12,Paramètres!$A$1:$I$89,3,0)*VLOOKUP('Données projet'!$B$12,Paramètres!$A$1:$I$89,5,0)</f>
        <v>5.763922672485933E-13</v>
      </c>
      <c r="CA201" s="13">
        <f t="shared" si="170"/>
        <v>7.0619171555808457E-12</v>
      </c>
      <c r="CB201" s="20">
        <f t="shared" si="171"/>
        <v>1.3303388911427938E-11</v>
      </c>
      <c r="CC201" s="59">
        <f t="shared" si="195"/>
        <v>293.33333333334662</v>
      </c>
      <c r="CD201" s="59">
        <f ca="1">AVERAGE(OFFSET($CC$3,0,0,'Données projet'!$E$12+1,1))-AVERAGE(OFFSET($H$3,0,0,'Données projet'!$E$12+1,1))</f>
        <v>312.29056285877169</v>
      </c>
      <c r="CE201" s="59">
        <f t="shared" si="207"/>
        <v>233.85454224241693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50.837951059721412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50.837951059721412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-4.5474735088646412E-13</v>
      </c>
      <c r="CU201" s="17">
        <f>CT201*VLOOKUP('Données projet'!$B$13,Paramètres!$A$1:$I$89,3,0)*VLOOKUP('Données projet'!$B$13,Paramètres!$A$1:$I$89,5,0)</f>
        <v>-5.1786628318950535E-13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292.22737648725354</v>
      </c>
      <c r="CZ201" s="59">
        <f t="shared" si="208"/>
        <v>182.84038581199871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85.976355037459939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85.976355037459939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-4.5474735088646412E-13</v>
      </c>
      <c r="DP201" s="17">
        <f>DO201*VLOOKUP('Données projet'!$B$14,Paramètres!$A$1:$I$89,3,0)*VLOOKUP('Données projet'!$B$14,Paramètres!$A$1:$I$89,5,0)</f>
        <v>-4.9658410716801875E-13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276.52126514622455</v>
      </c>
      <c r="DU201" s="59">
        <f t="shared" si="209"/>
        <v>173.98404849503186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82.443080172906775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82.443080172906775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-4.5474735088646412E-13</v>
      </c>
      <c r="EK201" s="17">
        <f>EJ201*VLOOKUP('Données projet'!$B$15,Paramètres!$A$1:$I$89,3,0)*VLOOKUP('Données projet'!$B$15,Paramètres!$A$1:$I$89,5,0)</f>
        <v>-4.3983163777738812E-13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234.56750794375012</v>
      </c>
      <c r="EP201" s="59">
        <f t="shared" si="210"/>
        <v>150.32420541314724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73.021013867431719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73.021013867431719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1.5961632016114892E-13</v>
      </c>
      <c r="P202" s="13">
        <f t="shared" si="203"/>
        <v>2.2708641912150958E-12</v>
      </c>
      <c r="Q202" s="20">
        <f t="shared" si="162"/>
        <v>4.2330868906469593E-12</v>
      </c>
      <c r="R202" s="59">
        <f t="shared" si="191"/>
        <v>293.33333333333752</v>
      </c>
      <c r="S202" s="59">
        <f ca="1">AVERAGE(OFFSET($R$3,0,0,'Données projet'!$E$9+1,1))-AVERAGE(OFFSET($H$3,0,0,'Données projet'!$E$9+1,1))</f>
        <v>198.17898804494365</v>
      </c>
      <c r="T202" s="59">
        <f t="shared" si="204"/>
        <v>186.24772922797723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27.233626589027033</v>
      </c>
      <c r="AA202" s="21">
        <f>EXP(-LN(2)/25)*AA201+(1-EXP(-LN(2)/25))/(LN(2)/25)*Calculateur!V202*Calculateur!X202*VLOOKUP('Données projet'!$B$9,Paramètres!$A$1:$I$89,3,0)*0.475*44/12</f>
        <v>3.241912290234283</v>
      </c>
      <c r="AB202" s="21">
        <f>EXP(-LN(2)/2)*AB201+(1-EXP(-LN(2)/2))/(LN(2)/2)*V202*Y202*VLOOKUP('Données projet'!$B$9,Paramètres!$A$1:$I$89,3,0)*0.475*44/12</f>
        <v>1.5764556766948125E-13</v>
      </c>
      <c r="AC202" s="22">
        <f t="shared" si="163"/>
        <v>30.475538879261471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278.21846622758881</v>
      </c>
      <c r="AO202" s="59">
        <f t="shared" si="205"/>
        <v>245.37578316242906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5.6843418860808015E-13</v>
      </c>
      <c r="BE202" s="13">
        <f>BD202*VLOOKUP('Données projet'!$B$11,Paramètres!$A$1:$I$89,3,0)*VLOOKUP('Données projet'!$B$11,Paramètres!$A$1:$I$89,5,0)</f>
        <v>5.1431925385259092E-13</v>
      </c>
      <c r="BF202" s="13">
        <f t="shared" si="167"/>
        <v>6.3855359115685756E-12</v>
      </c>
      <c r="BG202" s="20">
        <f t="shared" si="168"/>
        <v>1.2017247746441865E-11</v>
      </c>
      <c r="BH202" s="59">
        <f t="shared" si="194"/>
        <v>293.33333333334531</v>
      </c>
      <c r="BI202" s="59">
        <f ca="1">AVERAGE(OFFSET($BH$3,0,0,'Données projet'!$E$11+1,1))-AVERAGE(OFFSET($H$3,0,0,'Données projet'!$E$11+1,1))</f>
        <v>270.87836509222456</v>
      </c>
      <c r="BJ202" s="59">
        <f t="shared" si="206"/>
        <v>205.24998237949734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44.473552171640939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44.473552171640939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5.6843418860808015E-13</v>
      </c>
      <c r="BZ202" s="13">
        <f>BY202*VLOOKUP('Données projet'!$B$12,Paramètres!$A$1:$I$89,3,0)*VLOOKUP('Données projet'!$B$12,Paramètres!$A$1:$I$89,5,0)</f>
        <v>5.763922672485933E-13</v>
      </c>
      <c r="CA202" s="13">
        <f t="shared" si="170"/>
        <v>7.0619171555808457E-12</v>
      </c>
      <c r="CB202" s="20">
        <f t="shared" si="171"/>
        <v>1.3303388911427938E-11</v>
      </c>
      <c r="CC202" s="59">
        <f t="shared" si="195"/>
        <v>293.33333333334662</v>
      </c>
      <c r="CD202" s="59">
        <f ca="1">AVERAGE(OFFSET($CC$3,0,0,'Données projet'!$E$12+1,1))-AVERAGE(OFFSET($H$3,0,0,'Données projet'!$E$12+1,1))</f>
        <v>312.29056285877169</v>
      </c>
      <c r="CE202" s="59">
        <f t="shared" si="207"/>
        <v>233.85454224241693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49.84104984752863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49.84104984752863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-4.5474735088646412E-13</v>
      </c>
      <c r="CU202" s="17">
        <f>CT202*VLOOKUP('Données projet'!$B$13,Paramètres!$A$1:$I$89,3,0)*VLOOKUP('Données projet'!$B$13,Paramètres!$A$1:$I$89,5,0)</f>
        <v>-5.1786628318950535E-13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292.22737648725354</v>
      </c>
      <c r="CZ202" s="59">
        <f t="shared" si="208"/>
        <v>182.84038581199871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84.290411155573864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84.290411155573864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-4.5474735088646412E-13</v>
      </c>
      <c r="DP202" s="17">
        <f>DO202*VLOOKUP('Données projet'!$B$14,Paramètres!$A$1:$I$89,3,0)*VLOOKUP('Données projet'!$B$14,Paramètres!$A$1:$I$89,5,0)</f>
        <v>-4.9658410716801875E-13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276.52126514622455</v>
      </c>
      <c r="DU202" s="59">
        <f t="shared" si="209"/>
        <v>173.98404849503186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80.826421656029723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80.826421656029723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-4.5474735088646412E-13</v>
      </c>
      <c r="EK202" s="17">
        <f>EJ202*VLOOKUP('Données projet'!$B$15,Paramètres!$A$1:$I$89,3,0)*VLOOKUP('Données projet'!$B$15,Paramètres!$A$1:$I$89,5,0)</f>
        <v>-4.3983163777738812E-13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234.56750794375012</v>
      </c>
      <c r="EP202" s="59">
        <f t="shared" si="210"/>
        <v>150.32420541314724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71.589116323912037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71.589116323912037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1.5961632016114892E-13</v>
      </c>
      <c r="P203" s="13">
        <f t="shared" si="203"/>
        <v>2.2708641912150958E-12</v>
      </c>
      <c r="Q203" s="20">
        <f t="shared" si="162"/>
        <v>4.2330868906469593E-12</v>
      </c>
      <c r="R203" s="59">
        <f t="shared" si="191"/>
        <v>293.33333333333752</v>
      </c>
      <c r="S203" s="59">
        <f ca="1">AVERAGE(OFFSET($R$3,0,0,'Données projet'!$E$9+1,1))-AVERAGE(OFFSET($H$3,0,0,'Données projet'!$E$9+1,1))</f>
        <v>198.17898804494365</v>
      </c>
      <c r="T203" s="59">
        <f t="shared" si="204"/>
        <v>186.24772922797723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26.699591782488245</v>
      </c>
      <c r="AA203" s="21">
        <f>EXP(-LN(2)/25)*AA202+(1-EXP(-LN(2)/25))/(LN(2)/25)*Calculateur!V203*Calculateur!X203*VLOOKUP('Données projet'!$B$9,Paramètres!$A$1:$I$89,3,0)*0.475*44/12</f>
        <v>3.1532620281730686</v>
      </c>
      <c r="AB203" s="21">
        <f>EXP(-LN(2)/2)*AB202+(1-EXP(-LN(2)/2))/(LN(2)/2)*V203*Y203*VLOOKUP('Données projet'!$B$9,Paramètres!$A$1:$I$89,3,0)*0.475*44/12</f>
        <v>1.1147224992309296E-13</v>
      </c>
      <c r="AC203" s="22">
        <f t="shared" si="163"/>
        <v>29.852853810661422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278.21846622758881</v>
      </c>
      <c r="AO203" s="59">
        <f t="shared" si="205"/>
        <v>245.37578316242906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5.6843418860808015E-13</v>
      </c>
      <c r="BE203" s="13">
        <f>BD203*VLOOKUP('Données projet'!$B$11,Paramètres!$A$1:$I$89,3,0)*VLOOKUP('Données projet'!$B$11,Paramètres!$A$1:$I$89,5,0)</f>
        <v>5.1431925385259092E-13</v>
      </c>
      <c r="BF203" s="13">
        <f t="shared" si="167"/>
        <v>6.3855359115685756E-12</v>
      </c>
      <c r="BG203" s="20">
        <f t="shared" si="168"/>
        <v>1.2017247746441865E-11</v>
      </c>
      <c r="BH203" s="59">
        <f t="shared" si="194"/>
        <v>293.33333333334531</v>
      </c>
      <c r="BI203" s="59">
        <f ca="1">AVERAGE(OFFSET($BH$3,0,0,'Données projet'!$E$11+1,1))-AVERAGE(OFFSET($H$3,0,0,'Données projet'!$E$11+1,1))</f>
        <v>270.87836509222456</v>
      </c>
      <c r="BJ203" s="59">
        <f t="shared" si="206"/>
        <v>205.24998237949734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43.601452939743396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43.601452939743396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5.6843418860808015E-13</v>
      </c>
      <c r="BZ203" s="13">
        <f>BY203*VLOOKUP('Données projet'!$B$12,Paramètres!$A$1:$I$89,3,0)*VLOOKUP('Données projet'!$B$12,Paramètres!$A$1:$I$89,5,0)</f>
        <v>5.763922672485933E-13</v>
      </c>
      <c r="CA203" s="13">
        <f t="shared" si="170"/>
        <v>7.0619171555808457E-12</v>
      </c>
      <c r="CB203" s="20">
        <f t="shared" si="171"/>
        <v>1.3303388911427938E-11</v>
      </c>
      <c r="CC203" s="59">
        <f t="shared" si="195"/>
        <v>293.33333333334662</v>
      </c>
      <c r="CD203" s="59">
        <f ca="1">AVERAGE(OFFSET($CC$3,0,0,'Données projet'!$E$12+1,1))-AVERAGE(OFFSET($H$3,0,0,'Données projet'!$E$12+1,1))</f>
        <v>312.29056285877169</v>
      </c>
      <c r="CE203" s="59">
        <f t="shared" si="207"/>
        <v>233.85454224241693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48.863697260057243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48.863697260057243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-4.5474735088646412E-13</v>
      </c>
      <c r="CU203" s="17">
        <f>CT203*VLOOKUP('Données projet'!$B$13,Paramètres!$A$1:$I$89,3,0)*VLOOKUP('Données projet'!$B$13,Paramètres!$A$1:$I$89,5,0)</f>
        <v>-5.1786628318950535E-13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292.22737648725354</v>
      </c>
      <c r="CZ203" s="59">
        <f t="shared" si="208"/>
        <v>182.84038581199871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82.637527604887339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82.637527604887339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-4.5474735088646412E-13</v>
      </c>
      <c r="DP203" s="17">
        <f>DO203*VLOOKUP('Données projet'!$B$14,Paramètres!$A$1:$I$89,3,0)*VLOOKUP('Données projet'!$B$14,Paramètres!$A$1:$I$89,5,0)</f>
        <v>-4.9658410716801875E-13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276.52126514622455</v>
      </c>
      <c r="DU203" s="59">
        <f t="shared" si="209"/>
        <v>173.98404849503186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79.2414648266043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79.2414648266043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-4.5474735088646412E-13</v>
      </c>
      <c r="EK203" s="17">
        <f>EJ203*VLOOKUP('Données projet'!$B$15,Paramètres!$A$1:$I$89,3,0)*VLOOKUP('Données projet'!$B$15,Paramètres!$A$1:$I$89,5,0)</f>
        <v>-4.3983163777738812E-13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234.56750794375012</v>
      </c>
      <c r="EP203" s="59">
        <f t="shared" si="210"/>
        <v>150.32420541314724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70.185297417849512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70.185297417849512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1.1963772029987372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>
        <f>EXP(LN('Données projet'!B88)/'Données projet'!A88)</f>
        <v>1.1736311550444201</v>
      </c>
      <c r="BV205" s="82">
        <f>EXP(LN('Données projet'!B114)/'Données projet'!A114)</f>
        <v>1.1736311550444201</v>
      </c>
      <c r="CQ205" s="82">
        <f>EXP(LN('Données projet'!B140)/'Données projet'!A140)</f>
        <v>1.1608269964373037</v>
      </c>
      <c r="DL205" s="82">
        <f>EXP(LN('Données projet'!B166)/'Données projet'!A166)</f>
        <v>1.1608269964373037</v>
      </c>
      <c r="EG205" s="82">
        <f>EXP(LN('Données projet'!B192)/'Données projet'!A192)</f>
        <v>1.1608269964373037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0" t="s">
        <v>0</v>
      </c>
      <c r="B1" s="111" t="s">
        <v>106</v>
      </c>
      <c r="C1" s="112" t="s">
        <v>144</v>
      </c>
      <c r="D1" s="111" t="s">
        <v>100</v>
      </c>
      <c r="E1" s="112" t="s">
        <v>145</v>
      </c>
      <c r="F1" s="112" t="s">
        <v>100</v>
      </c>
      <c r="G1" s="112" t="s">
        <v>146</v>
      </c>
      <c r="H1" s="112" t="s">
        <v>100</v>
      </c>
      <c r="I1" s="113" t="s">
        <v>147</v>
      </c>
      <c r="J1" s="78"/>
      <c r="K1" s="78"/>
      <c r="L1" s="78"/>
      <c r="M1" s="78"/>
      <c r="N1" s="78"/>
    </row>
    <row r="2" spans="1:16" x14ac:dyDescent="0.35">
      <c r="A2" s="114" t="s">
        <v>1</v>
      </c>
      <c r="B2" s="115" t="s">
        <v>53</v>
      </c>
      <c r="C2" s="116">
        <v>0.62</v>
      </c>
      <c r="D2" s="116" t="s">
        <v>161</v>
      </c>
      <c r="E2" s="116">
        <v>1.56</v>
      </c>
      <c r="F2" s="116" t="s">
        <v>274</v>
      </c>
      <c r="G2" s="117">
        <v>0.43</v>
      </c>
      <c r="H2" s="118" t="s">
        <v>278</v>
      </c>
      <c r="I2" s="119">
        <v>0.25</v>
      </c>
      <c r="J2" s="78"/>
      <c r="K2" s="78"/>
      <c r="L2" s="78"/>
      <c r="M2" s="78"/>
      <c r="N2" s="78"/>
      <c r="O2" s="299" t="s">
        <v>238</v>
      </c>
      <c r="P2" s="120">
        <v>0</v>
      </c>
    </row>
    <row r="3" spans="1:16" ht="15" thickBot="1" x14ac:dyDescent="0.4">
      <c r="A3" s="121" t="s">
        <v>2</v>
      </c>
      <c r="B3" s="122" t="s">
        <v>54</v>
      </c>
      <c r="C3" s="123">
        <v>0.64</v>
      </c>
      <c r="D3" s="123" t="s">
        <v>161</v>
      </c>
      <c r="E3" s="123">
        <v>1.56</v>
      </c>
      <c r="F3" s="124" t="s">
        <v>274</v>
      </c>
      <c r="G3" s="125">
        <v>0.43</v>
      </c>
      <c r="H3" s="123" t="s">
        <v>278</v>
      </c>
      <c r="I3" s="126">
        <v>0.25</v>
      </c>
      <c r="J3" s="78"/>
      <c r="K3" s="78"/>
      <c r="L3" s="78"/>
      <c r="M3" s="78"/>
      <c r="N3" s="78"/>
      <c r="O3" s="300"/>
      <c r="P3" s="127">
        <v>0.2</v>
      </c>
    </row>
    <row r="4" spans="1:16" ht="15" thickBot="1" x14ac:dyDescent="0.4">
      <c r="A4" s="121" t="s">
        <v>98</v>
      </c>
      <c r="B4" s="122" t="s">
        <v>99</v>
      </c>
      <c r="C4" s="123">
        <v>0.42</v>
      </c>
      <c r="D4" s="123" t="s">
        <v>161</v>
      </c>
      <c r="E4" s="123">
        <v>1.56</v>
      </c>
      <c r="F4" s="124" t="s">
        <v>274</v>
      </c>
      <c r="G4" s="125">
        <v>0.43</v>
      </c>
      <c r="H4" s="123" t="s">
        <v>278</v>
      </c>
      <c r="I4" s="126">
        <v>0.25</v>
      </c>
      <c r="J4" s="78"/>
      <c r="K4" s="78"/>
      <c r="L4" s="78"/>
      <c r="M4" s="78"/>
      <c r="N4" s="78"/>
    </row>
    <row r="5" spans="1:16" x14ac:dyDescent="0.35">
      <c r="A5" s="121" t="s">
        <v>4</v>
      </c>
      <c r="B5" s="122" t="s">
        <v>55</v>
      </c>
      <c r="C5" s="123">
        <v>0.42</v>
      </c>
      <c r="D5" s="123" t="s">
        <v>161</v>
      </c>
      <c r="E5" s="123">
        <v>1.56</v>
      </c>
      <c r="F5" s="124" t="s">
        <v>274</v>
      </c>
      <c r="G5" s="125">
        <v>0.43</v>
      </c>
      <c r="H5" s="123" t="s">
        <v>278</v>
      </c>
      <c r="I5" s="126">
        <v>0.25</v>
      </c>
      <c r="J5" s="78"/>
      <c r="K5" s="78"/>
      <c r="L5" s="78"/>
      <c r="M5" s="78"/>
      <c r="N5" s="78"/>
      <c r="O5" s="299" t="s">
        <v>237</v>
      </c>
      <c r="P5" s="120">
        <v>0</v>
      </c>
    </row>
    <row r="6" spans="1:16" x14ac:dyDescent="0.35">
      <c r="A6" s="121" t="s">
        <v>3</v>
      </c>
      <c r="B6" s="122" t="s">
        <v>97</v>
      </c>
      <c r="C6" s="123">
        <v>0.42</v>
      </c>
      <c r="D6" s="123" t="s">
        <v>161</v>
      </c>
      <c r="E6" s="123">
        <v>1.56</v>
      </c>
      <c r="F6" s="124" t="s">
        <v>274</v>
      </c>
      <c r="G6" s="125">
        <v>0.43</v>
      </c>
      <c r="H6" s="123" t="s">
        <v>278</v>
      </c>
      <c r="I6" s="126">
        <v>0.25</v>
      </c>
      <c r="J6" s="78"/>
      <c r="K6" s="78"/>
      <c r="L6" s="78"/>
      <c r="M6" s="78"/>
      <c r="N6" s="78"/>
      <c r="O6" s="301"/>
      <c r="P6" s="128">
        <v>0.05</v>
      </c>
    </row>
    <row r="7" spans="1:16" x14ac:dyDescent="0.35">
      <c r="A7" s="121" t="s">
        <v>5</v>
      </c>
      <c r="B7" s="122" t="s">
        <v>56</v>
      </c>
      <c r="C7" s="123">
        <v>0.52</v>
      </c>
      <c r="D7" s="123" t="s">
        <v>161</v>
      </c>
      <c r="E7" s="123">
        <v>1.56</v>
      </c>
      <c r="F7" s="124" t="s">
        <v>274</v>
      </c>
      <c r="G7" s="125">
        <v>0.43</v>
      </c>
      <c r="H7" s="123" t="s">
        <v>278</v>
      </c>
      <c r="I7" s="126">
        <v>0.25</v>
      </c>
      <c r="J7" s="78"/>
      <c r="K7" s="78"/>
      <c r="L7" s="78"/>
      <c r="M7" s="78"/>
      <c r="N7" s="78"/>
      <c r="O7" s="301"/>
      <c r="P7" s="128">
        <v>0.1</v>
      </c>
    </row>
    <row r="8" spans="1:16" ht="15" thickBot="1" x14ac:dyDescent="0.4">
      <c r="A8" s="121" t="s">
        <v>164</v>
      </c>
      <c r="B8" s="122" t="s">
        <v>57</v>
      </c>
      <c r="C8" s="123">
        <v>0.36</v>
      </c>
      <c r="D8" s="123" t="s">
        <v>161</v>
      </c>
      <c r="E8" s="123">
        <v>1.3</v>
      </c>
      <c r="F8" s="124" t="s">
        <v>274</v>
      </c>
      <c r="G8" s="125">
        <v>0.55000000000000004</v>
      </c>
      <c r="H8" s="123" t="s">
        <v>153</v>
      </c>
      <c r="I8" s="126">
        <v>0.43</v>
      </c>
      <c r="J8" s="78"/>
      <c r="K8" s="78"/>
      <c r="L8" s="78"/>
      <c r="M8" s="78"/>
      <c r="N8" s="78"/>
      <c r="O8" s="300"/>
      <c r="P8" s="127">
        <v>0.15</v>
      </c>
    </row>
    <row r="9" spans="1:16" ht="15" thickBot="1" x14ac:dyDescent="0.4">
      <c r="A9" s="121" t="s">
        <v>6</v>
      </c>
      <c r="B9" s="122" t="s">
        <v>58</v>
      </c>
      <c r="C9" s="123">
        <v>0.61</v>
      </c>
      <c r="D9" s="123" t="s">
        <v>161</v>
      </c>
      <c r="E9" s="123">
        <v>1.56</v>
      </c>
      <c r="F9" s="124" t="s">
        <v>274</v>
      </c>
      <c r="G9" s="125">
        <v>0.43</v>
      </c>
      <c r="H9" s="123" t="s">
        <v>278</v>
      </c>
      <c r="I9" s="126">
        <v>0.25</v>
      </c>
      <c r="J9" s="78"/>
      <c r="K9" s="78"/>
      <c r="L9" s="78"/>
      <c r="M9" s="78"/>
      <c r="N9" s="78"/>
    </row>
    <row r="10" spans="1:16" x14ac:dyDescent="0.35">
      <c r="A10" s="121" t="s">
        <v>7</v>
      </c>
      <c r="B10" s="122" t="s">
        <v>59</v>
      </c>
      <c r="C10" s="123">
        <v>0.66</v>
      </c>
      <c r="D10" s="123" t="s">
        <v>161</v>
      </c>
      <c r="E10" s="123">
        <v>1.56</v>
      </c>
      <c r="F10" s="124" t="s">
        <v>274</v>
      </c>
      <c r="G10" s="125">
        <v>0.43</v>
      </c>
      <c r="H10" s="123" t="s">
        <v>278</v>
      </c>
      <c r="I10" s="126">
        <v>0.25</v>
      </c>
      <c r="J10" s="78"/>
      <c r="K10" s="78"/>
      <c r="L10" s="78"/>
      <c r="M10" s="78"/>
      <c r="N10" s="78"/>
      <c r="O10" s="299" t="s">
        <v>236</v>
      </c>
      <c r="P10" s="120">
        <v>0</v>
      </c>
    </row>
    <row r="11" spans="1:16" ht="15" thickBot="1" x14ac:dyDescent="0.4">
      <c r="A11" s="121" t="s">
        <v>8</v>
      </c>
      <c r="B11" s="122" t="s">
        <v>60</v>
      </c>
      <c r="C11" s="123">
        <v>0.47</v>
      </c>
      <c r="D11" s="123" t="s">
        <v>161</v>
      </c>
      <c r="E11" s="123">
        <v>1.56</v>
      </c>
      <c r="F11" s="124" t="s">
        <v>274</v>
      </c>
      <c r="G11" s="125">
        <v>0.43</v>
      </c>
      <c r="H11" s="123" t="s">
        <v>278</v>
      </c>
      <c r="I11" s="126">
        <v>0.25</v>
      </c>
      <c r="J11" s="78"/>
      <c r="K11" s="78"/>
      <c r="L11" s="78"/>
      <c r="M11" s="78"/>
      <c r="N11" s="78"/>
      <c r="O11" s="300"/>
      <c r="P11" s="127">
        <v>0.1</v>
      </c>
    </row>
    <row r="12" spans="1:16" x14ac:dyDescent="0.35">
      <c r="A12" s="121" t="s">
        <v>9</v>
      </c>
      <c r="B12" s="122" t="s">
        <v>61</v>
      </c>
      <c r="C12" s="123">
        <v>0.67</v>
      </c>
      <c r="D12" s="123" t="s">
        <v>161</v>
      </c>
      <c r="E12" s="123">
        <v>1.56</v>
      </c>
      <c r="F12" s="124" t="s">
        <v>274</v>
      </c>
      <c r="G12" s="125">
        <v>0.43</v>
      </c>
      <c r="H12" s="123" t="s">
        <v>152</v>
      </c>
      <c r="I12" s="126">
        <v>0.25</v>
      </c>
      <c r="J12" s="78"/>
      <c r="K12" s="78"/>
      <c r="L12" s="78"/>
      <c r="M12" s="78"/>
      <c r="N12" s="78"/>
    </row>
    <row r="13" spans="1:16" x14ac:dyDescent="0.35">
      <c r="A13" s="121" t="s">
        <v>10</v>
      </c>
      <c r="B13" s="122" t="s">
        <v>62</v>
      </c>
      <c r="C13" s="123">
        <v>0.7</v>
      </c>
      <c r="D13" s="123" t="s">
        <v>161</v>
      </c>
      <c r="E13" s="123">
        <v>1.56</v>
      </c>
      <c r="F13" s="124" t="s">
        <v>274</v>
      </c>
      <c r="G13" s="125">
        <v>0.43</v>
      </c>
      <c r="H13" s="123" t="s">
        <v>152</v>
      </c>
      <c r="I13" s="126">
        <v>0.25</v>
      </c>
      <c r="J13" s="78"/>
      <c r="K13" s="78"/>
      <c r="L13" s="78"/>
      <c r="M13" s="78"/>
      <c r="N13" s="78"/>
    </row>
    <row r="14" spans="1:16" x14ac:dyDescent="0.35">
      <c r="A14" s="121" t="s">
        <v>11</v>
      </c>
      <c r="B14" s="122" t="s">
        <v>63</v>
      </c>
      <c r="C14" s="123">
        <v>0.54</v>
      </c>
      <c r="D14" s="123" t="s">
        <v>161</v>
      </c>
      <c r="E14" s="123">
        <v>1.56</v>
      </c>
      <c r="F14" s="124" t="s">
        <v>274</v>
      </c>
      <c r="G14" s="125">
        <v>0.43</v>
      </c>
      <c r="H14" s="123" t="s">
        <v>152</v>
      </c>
      <c r="I14" s="126">
        <v>0.25</v>
      </c>
      <c r="J14" s="78"/>
      <c r="K14" s="78"/>
      <c r="L14" s="78"/>
      <c r="M14" s="78"/>
      <c r="N14" s="78"/>
    </row>
    <row r="15" spans="1:16" x14ac:dyDescent="0.35">
      <c r="A15" s="121" t="s">
        <v>12</v>
      </c>
      <c r="B15" s="122" t="s">
        <v>64</v>
      </c>
      <c r="C15" s="123">
        <v>0.65</v>
      </c>
      <c r="D15" s="123" t="s">
        <v>161</v>
      </c>
      <c r="E15" s="123">
        <v>1.56</v>
      </c>
      <c r="F15" s="124" t="s">
        <v>274</v>
      </c>
      <c r="G15" s="125">
        <v>0.43</v>
      </c>
      <c r="H15" s="123" t="s">
        <v>152</v>
      </c>
      <c r="I15" s="126">
        <v>0.25</v>
      </c>
      <c r="J15" s="78"/>
      <c r="K15" s="78"/>
      <c r="L15" s="78"/>
      <c r="M15" s="78"/>
      <c r="N15" s="78"/>
    </row>
    <row r="16" spans="1:16" x14ac:dyDescent="0.35">
      <c r="A16" s="121" t="s">
        <v>13</v>
      </c>
      <c r="B16" s="122" t="s">
        <v>65</v>
      </c>
      <c r="C16" s="123">
        <v>0.56000000000000005</v>
      </c>
      <c r="D16" s="123" t="s">
        <v>161</v>
      </c>
      <c r="E16" s="123">
        <v>1.56</v>
      </c>
      <c r="F16" s="124" t="s">
        <v>274</v>
      </c>
      <c r="G16" s="125">
        <v>0.43</v>
      </c>
      <c r="H16" s="123" t="s">
        <v>152</v>
      </c>
      <c r="I16" s="126">
        <v>0.25</v>
      </c>
      <c r="J16" s="78"/>
      <c r="K16" s="78"/>
      <c r="L16" s="78"/>
      <c r="M16" s="78"/>
      <c r="N16" s="78"/>
    </row>
    <row r="17" spans="1:14" x14ac:dyDescent="0.35">
      <c r="A17" s="121" t="s">
        <v>14</v>
      </c>
      <c r="B17" s="122" t="s">
        <v>66</v>
      </c>
      <c r="C17" s="123">
        <v>0.57999999999999996</v>
      </c>
      <c r="D17" s="123" t="s">
        <v>161</v>
      </c>
      <c r="E17" s="123">
        <v>1.56</v>
      </c>
      <c r="F17" s="124" t="s">
        <v>274</v>
      </c>
      <c r="G17" s="125">
        <v>0.43</v>
      </c>
      <c r="H17" s="123" t="s">
        <v>152</v>
      </c>
      <c r="I17" s="126">
        <v>0.25</v>
      </c>
      <c r="J17" s="78"/>
      <c r="K17" s="78"/>
      <c r="L17" s="78"/>
      <c r="M17" s="78"/>
      <c r="N17" s="78"/>
    </row>
    <row r="18" spans="1:14" x14ac:dyDescent="0.35">
      <c r="A18" s="121" t="s">
        <v>15</v>
      </c>
      <c r="B18" s="122" t="s">
        <v>67</v>
      </c>
      <c r="C18" s="123">
        <v>0.64</v>
      </c>
      <c r="D18" s="123" t="s">
        <v>161</v>
      </c>
      <c r="E18" s="123">
        <v>1.56</v>
      </c>
      <c r="F18" s="124" t="s">
        <v>274</v>
      </c>
      <c r="G18" s="125">
        <v>0.43</v>
      </c>
      <c r="H18" s="123" t="s">
        <v>152</v>
      </c>
      <c r="I18" s="126">
        <v>0.25</v>
      </c>
      <c r="J18" s="78"/>
      <c r="K18" s="78"/>
      <c r="L18" s="78"/>
      <c r="M18" s="78"/>
      <c r="N18" s="78"/>
    </row>
    <row r="19" spans="1:14" x14ac:dyDescent="0.35">
      <c r="A19" s="121" t="s">
        <v>16</v>
      </c>
      <c r="B19" s="122" t="s">
        <v>68</v>
      </c>
      <c r="C19" s="123">
        <v>0.73</v>
      </c>
      <c r="D19" s="123" t="s">
        <v>161</v>
      </c>
      <c r="E19" s="123">
        <v>1.56</v>
      </c>
      <c r="F19" s="124" t="s">
        <v>274</v>
      </c>
      <c r="G19" s="125">
        <v>0.43</v>
      </c>
      <c r="H19" s="123" t="s">
        <v>152</v>
      </c>
      <c r="I19" s="126">
        <v>0.25</v>
      </c>
      <c r="J19" s="78"/>
      <c r="K19" s="78"/>
      <c r="L19" s="78"/>
      <c r="M19" s="78"/>
      <c r="N19" s="78"/>
    </row>
    <row r="20" spans="1:14" x14ac:dyDescent="0.35">
      <c r="A20" s="121" t="s">
        <v>52</v>
      </c>
      <c r="B20" s="122" t="s">
        <v>69</v>
      </c>
      <c r="C20" s="123">
        <v>0.69</v>
      </c>
      <c r="D20" s="123" t="s">
        <v>131</v>
      </c>
      <c r="E20" s="123">
        <v>1.56</v>
      </c>
      <c r="F20" s="124" t="s">
        <v>274</v>
      </c>
      <c r="G20" s="125">
        <v>0.43</v>
      </c>
      <c r="H20" s="123" t="s">
        <v>282</v>
      </c>
      <c r="I20" s="126">
        <v>0.25</v>
      </c>
      <c r="J20" s="78"/>
      <c r="K20" s="78"/>
      <c r="L20" s="78"/>
      <c r="M20" s="78"/>
      <c r="N20" s="78"/>
    </row>
    <row r="21" spans="1:14" x14ac:dyDescent="0.35">
      <c r="A21" s="121" t="s">
        <v>154</v>
      </c>
      <c r="B21" s="122" t="s">
        <v>155</v>
      </c>
      <c r="C21" s="123">
        <v>0.36</v>
      </c>
      <c r="D21" s="123" t="s">
        <v>161</v>
      </c>
      <c r="E21" s="123">
        <v>1.3</v>
      </c>
      <c r="F21" s="124" t="s">
        <v>274</v>
      </c>
      <c r="G21" s="125">
        <v>0.55000000000000004</v>
      </c>
      <c r="H21" s="123" t="s">
        <v>153</v>
      </c>
      <c r="I21" s="126">
        <v>0.43</v>
      </c>
      <c r="J21" s="78"/>
      <c r="K21" s="78"/>
      <c r="L21" s="78"/>
      <c r="M21" s="78"/>
      <c r="N21" s="78"/>
    </row>
    <row r="22" spans="1:14" x14ac:dyDescent="0.35">
      <c r="A22" s="121" t="s">
        <v>17</v>
      </c>
      <c r="B22" s="122" t="s">
        <v>70</v>
      </c>
      <c r="C22" s="123">
        <v>0.4</v>
      </c>
      <c r="D22" s="123" t="s">
        <v>161</v>
      </c>
      <c r="E22" s="123">
        <v>1.3</v>
      </c>
      <c r="F22" s="124" t="s">
        <v>274</v>
      </c>
      <c r="G22" s="125">
        <v>0.55000000000000004</v>
      </c>
      <c r="H22" s="123" t="s">
        <v>153</v>
      </c>
      <c r="I22" s="126">
        <v>0.43</v>
      </c>
      <c r="J22" s="78"/>
      <c r="K22" s="78"/>
      <c r="L22" s="78"/>
      <c r="M22" s="78"/>
      <c r="N22" s="78"/>
    </row>
    <row r="23" spans="1:14" x14ac:dyDescent="0.35">
      <c r="A23" s="121" t="s">
        <v>18</v>
      </c>
      <c r="B23" s="122" t="s">
        <v>71</v>
      </c>
      <c r="C23" s="123">
        <v>0.43</v>
      </c>
      <c r="D23" s="123" t="s">
        <v>161</v>
      </c>
      <c r="E23" s="123">
        <v>1.3</v>
      </c>
      <c r="F23" s="124" t="s">
        <v>274</v>
      </c>
      <c r="G23" s="125">
        <v>0.55000000000000004</v>
      </c>
      <c r="H23" s="123" t="s">
        <v>153</v>
      </c>
      <c r="I23" s="126">
        <v>0.43</v>
      </c>
      <c r="J23" s="78"/>
      <c r="K23" s="78"/>
      <c r="L23" s="78"/>
      <c r="M23" s="78"/>
      <c r="N23" s="78"/>
    </row>
    <row r="24" spans="1:14" x14ac:dyDescent="0.35">
      <c r="A24" s="121" t="s">
        <v>19</v>
      </c>
      <c r="B24" s="122" t="s">
        <v>72</v>
      </c>
      <c r="C24" s="123">
        <v>0.37</v>
      </c>
      <c r="D24" s="123" t="s">
        <v>161</v>
      </c>
      <c r="E24" s="123">
        <v>1.3</v>
      </c>
      <c r="F24" s="124" t="s">
        <v>274</v>
      </c>
      <c r="G24" s="125">
        <v>0.55000000000000004</v>
      </c>
      <c r="H24" s="123" t="s">
        <v>152</v>
      </c>
      <c r="I24" s="126">
        <v>0.43</v>
      </c>
      <c r="J24" s="78"/>
      <c r="K24" s="78"/>
      <c r="L24" s="78"/>
      <c r="M24" s="78"/>
      <c r="N24" s="78"/>
    </row>
    <row r="25" spans="1:14" x14ac:dyDescent="0.35">
      <c r="A25" s="121" t="s">
        <v>20</v>
      </c>
      <c r="B25" s="122" t="s">
        <v>73</v>
      </c>
      <c r="C25" s="123">
        <v>0.36</v>
      </c>
      <c r="D25" s="123" t="s">
        <v>161</v>
      </c>
      <c r="E25" s="123">
        <v>1.3</v>
      </c>
      <c r="F25" s="124" t="s">
        <v>274</v>
      </c>
      <c r="G25" s="125">
        <v>0.55000000000000004</v>
      </c>
      <c r="H25" s="123" t="s">
        <v>152</v>
      </c>
      <c r="I25" s="126">
        <v>0.43</v>
      </c>
      <c r="J25" s="78"/>
      <c r="K25" s="78"/>
      <c r="L25" s="78"/>
      <c r="M25" s="78"/>
      <c r="N25" s="78"/>
    </row>
    <row r="26" spans="1:14" x14ac:dyDescent="0.35">
      <c r="A26" s="121" t="s">
        <v>21</v>
      </c>
      <c r="B26" s="122" t="s">
        <v>74</v>
      </c>
      <c r="C26" s="123">
        <v>0.56000000000000005</v>
      </c>
      <c r="D26" s="123" t="s">
        <v>161</v>
      </c>
      <c r="E26" s="123">
        <v>1.56</v>
      </c>
      <c r="F26" s="124" t="s">
        <v>274</v>
      </c>
      <c r="G26" s="125">
        <v>0.53</v>
      </c>
      <c r="H26" s="123" t="s">
        <v>275</v>
      </c>
      <c r="I26" s="126">
        <v>0.25</v>
      </c>
      <c r="J26" s="78"/>
      <c r="K26" s="78"/>
      <c r="L26" s="78"/>
      <c r="M26" s="78"/>
      <c r="N26" s="78"/>
    </row>
    <row r="27" spans="1:14" x14ac:dyDescent="0.35">
      <c r="A27" s="121" t="s">
        <v>22</v>
      </c>
      <c r="B27" s="122" t="s">
        <v>75</v>
      </c>
      <c r="C27" s="123">
        <v>0.51</v>
      </c>
      <c r="D27" s="123" t="s">
        <v>161</v>
      </c>
      <c r="E27" s="123">
        <v>1.56</v>
      </c>
      <c r="F27" s="124" t="s">
        <v>274</v>
      </c>
      <c r="G27" s="125">
        <v>0.53</v>
      </c>
      <c r="H27" s="123" t="s">
        <v>275</v>
      </c>
      <c r="I27" s="126">
        <v>0.25</v>
      </c>
      <c r="J27" s="78"/>
      <c r="K27" s="78"/>
      <c r="L27" s="78"/>
      <c r="M27" s="78"/>
      <c r="N27" s="78"/>
    </row>
    <row r="28" spans="1:14" x14ac:dyDescent="0.35">
      <c r="A28" s="121" t="s">
        <v>23</v>
      </c>
      <c r="B28" s="122" t="s">
        <v>76</v>
      </c>
      <c r="C28" s="123">
        <v>0.51</v>
      </c>
      <c r="D28" s="123" t="s">
        <v>161</v>
      </c>
      <c r="E28" s="123">
        <v>1.56</v>
      </c>
      <c r="F28" s="124" t="s">
        <v>274</v>
      </c>
      <c r="G28" s="125">
        <v>0.53</v>
      </c>
      <c r="H28" s="123" t="s">
        <v>275</v>
      </c>
      <c r="I28" s="126">
        <v>0.25</v>
      </c>
      <c r="J28" s="78"/>
      <c r="K28" s="78"/>
      <c r="L28" s="78"/>
      <c r="M28" s="78"/>
      <c r="N28" s="78"/>
    </row>
    <row r="29" spans="1:14" x14ac:dyDescent="0.35">
      <c r="A29" s="121" t="s">
        <v>24</v>
      </c>
      <c r="B29" s="122" t="s">
        <v>24</v>
      </c>
      <c r="C29" s="123">
        <v>0.56000000000000005</v>
      </c>
      <c r="D29" s="123" t="s">
        <v>161</v>
      </c>
      <c r="E29" s="123">
        <v>1.56</v>
      </c>
      <c r="F29" s="124" t="s">
        <v>274</v>
      </c>
      <c r="G29" s="125">
        <v>0.53</v>
      </c>
      <c r="H29" s="123" t="s">
        <v>275</v>
      </c>
      <c r="I29" s="126">
        <v>0.25</v>
      </c>
      <c r="J29" s="78"/>
      <c r="K29" s="78"/>
      <c r="L29" s="78"/>
      <c r="M29" s="78"/>
      <c r="N29" s="78"/>
    </row>
    <row r="30" spans="1:14" x14ac:dyDescent="0.35">
      <c r="A30" s="121" t="s">
        <v>25</v>
      </c>
      <c r="B30" s="122" t="s">
        <v>77</v>
      </c>
      <c r="C30" s="123">
        <v>0.55000000000000004</v>
      </c>
      <c r="D30" s="123" t="s">
        <v>161</v>
      </c>
      <c r="E30" s="123">
        <v>1.56</v>
      </c>
      <c r="F30" s="124" t="s">
        <v>274</v>
      </c>
      <c r="G30" s="125">
        <v>0.53</v>
      </c>
      <c r="H30" s="123" t="s">
        <v>152</v>
      </c>
      <c r="I30" s="126">
        <v>0.25</v>
      </c>
      <c r="J30" s="78"/>
      <c r="K30" s="78"/>
      <c r="L30" s="78"/>
      <c r="M30" s="78"/>
      <c r="N30" s="78"/>
    </row>
    <row r="31" spans="1:14" x14ac:dyDescent="0.35">
      <c r="A31" s="121" t="s">
        <v>26</v>
      </c>
      <c r="B31" s="122" t="s">
        <v>78</v>
      </c>
      <c r="C31" s="123">
        <v>0.56000000000000005</v>
      </c>
      <c r="D31" s="123" t="s">
        <v>161</v>
      </c>
      <c r="E31" s="123">
        <v>1.56</v>
      </c>
      <c r="F31" s="124" t="s">
        <v>274</v>
      </c>
      <c r="G31" s="125">
        <v>0.43</v>
      </c>
      <c r="H31" s="123" t="s">
        <v>278</v>
      </c>
      <c r="I31" s="126">
        <v>0.25</v>
      </c>
      <c r="J31" s="78"/>
      <c r="K31" s="78"/>
      <c r="L31" s="78"/>
      <c r="M31" s="78"/>
      <c r="N31" s="78"/>
    </row>
    <row r="32" spans="1:14" x14ac:dyDescent="0.35">
      <c r="A32" s="121" t="s">
        <v>27</v>
      </c>
      <c r="B32" s="122" t="s">
        <v>79</v>
      </c>
      <c r="C32" s="123">
        <v>0.48</v>
      </c>
      <c r="D32" s="123" t="s">
        <v>161</v>
      </c>
      <c r="E32" s="123">
        <v>1.3</v>
      </c>
      <c r="F32" s="124" t="s">
        <v>274</v>
      </c>
      <c r="G32" s="125">
        <v>0.6</v>
      </c>
      <c r="H32" s="123" t="s">
        <v>281</v>
      </c>
      <c r="I32" s="126">
        <v>0.43</v>
      </c>
      <c r="J32" s="78"/>
      <c r="K32" s="78"/>
      <c r="L32" s="78"/>
      <c r="M32" s="78"/>
      <c r="N32" s="78"/>
    </row>
    <row r="33" spans="1:14" x14ac:dyDescent="0.35">
      <c r="A33" s="121" t="s">
        <v>28</v>
      </c>
      <c r="B33" s="122" t="s">
        <v>80</v>
      </c>
      <c r="C33" s="123">
        <v>0.42</v>
      </c>
      <c r="D33" s="123" t="s">
        <v>161</v>
      </c>
      <c r="E33" s="123">
        <v>1.3</v>
      </c>
      <c r="F33" s="124" t="s">
        <v>274</v>
      </c>
      <c r="G33" s="125">
        <v>0.6</v>
      </c>
      <c r="H33" s="123" t="s">
        <v>281</v>
      </c>
      <c r="I33" s="126">
        <v>0.43</v>
      </c>
      <c r="J33" s="78"/>
      <c r="K33" s="78"/>
      <c r="L33" s="78"/>
      <c r="M33" s="78"/>
      <c r="N33" s="78"/>
    </row>
    <row r="34" spans="1:14" x14ac:dyDescent="0.35">
      <c r="A34" s="121" t="s">
        <v>81</v>
      </c>
      <c r="B34" s="122" t="s">
        <v>163</v>
      </c>
      <c r="C34" s="123">
        <v>0.42</v>
      </c>
      <c r="D34" s="123" t="s">
        <v>103</v>
      </c>
      <c r="E34" s="123">
        <v>1.3</v>
      </c>
      <c r="F34" s="124" t="s">
        <v>274</v>
      </c>
      <c r="G34" s="125">
        <v>0.6</v>
      </c>
      <c r="H34" s="122" t="s">
        <v>280</v>
      </c>
      <c r="I34" s="126">
        <v>0.43</v>
      </c>
      <c r="J34" s="78"/>
      <c r="K34" s="78"/>
      <c r="L34" s="78"/>
      <c r="M34" s="78"/>
      <c r="N34" s="78"/>
    </row>
    <row r="35" spans="1:14" x14ac:dyDescent="0.35">
      <c r="A35" s="121" t="s">
        <v>29</v>
      </c>
      <c r="B35" s="122" t="s">
        <v>82</v>
      </c>
      <c r="C35" s="123">
        <v>0.5</v>
      </c>
      <c r="D35" s="123" t="s">
        <v>161</v>
      </c>
      <c r="E35" s="123">
        <v>1.56</v>
      </c>
      <c r="F35" s="124" t="s">
        <v>274</v>
      </c>
      <c r="G35" s="125">
        <v>0.43</v>
      </c>
      <c r="H35" s="123" t="s">
        <v>278</v>
      </c>
      <c r="I35" s="126">
        <v>0.25</v>
      </c>
      <c r="J35" s="78"/>
      <c r="K35" s="78"/>
      <c r="L35" s="78"/>
      <c r="M35" s="78"/>
      <c r="N35" s="78"/>
    </row>
    <row r="36" spans="1:14" x14ac:dyDescent="0.35">
      <c r="A36" s="121" t="s">
        <v>102</v>
      </c>
      <c r="B36" s="122" t="s">
        <v>101</v>
      </c>
      <c r="C36" s="123">
        <v>0.55000000000000004</v>
      </c>
      <c r="D36" s="123" t="s">
        <v>161</v>
      </c>
      <c r="E36" s="123">
        <v>1.56</v>
      </c>
      <c r="F36" s="124" t="s">
        <v>274</v>
      </c>
      <c r="G36" s="125">
        <v>0.53</v>
      </c>
      <c r="H36" s="123" t="s">
        <v>275</v>
      </c>
      <c r="I36" s="126">
        <v>0.25</v>
      </c>
      <c r="J36" s="78"/>
      <c r="K36" s="78"/>
      <c r="L36" s="78"/>
      <c r="M36" s="78"/>
      <c r="N36" s="78"/>
    </row>
    <row r="37" spans="1:14" x14ac:dyDescent="0.35">
      <c r="A37" s="121" t="s">
        <v>30</v>
      </c>
      <c r="B37" s="122" t="s">
        <v>104</v>
      </c>
      <c r="C37" s="123">
        <v>0.52</v>
      </c>
      <c r="D37" s="123" t="s">
        <v>161</v>
      </c>
      <c r="E37" s="123">
        <v>1.56</v>
      </c>
      <c r="F37" s="124" t="s">
        <v>274</v>
      </c>
      <c r="G37" s="125">
        <v>0.53</v>
      </c>
      <c r="H37" s="123" t="s">
        <v>275</v>
      </c>
      <c r="I37" s="126">
        <v>0.25</v>
      </c>
      <c r="J37" s="78"/>
      <c r="K37" s="78"/>
      <c r="L37" s="78"/>
      <c r="M37" s="78"/>
      <c r="N37" s="78"/>
    </row>
    <row r="38" spans="1:14" x14ac:dyDescent="0.35">
      <c r="A38" s="121" t="s">
        <v>31</v>
      </c>
      <c r="B38" s="122" t="s">
        <v>105</v>
      </c>
      <c r="C38" s="123">
        <v>0.52</v>
      </c>
      <c r="D38" s="123" t="s">
        <v>161</v>
      </c>
      <c r="E38" s="123">
        <v>1.56</v>
      </c>
      <c r="F38" s="124" t="s">
        <v>274</v>
      </c>
      <c r="G38" s="125">
        <v>0.43</v>
      </c>
      <c r="H38" s="123" t="s">
        <v>278</v>
      </c>
      <c r="I38" s="126">
        <v>0.25</v>
      </c>
      <c r="J38" s="78"/>
      <c r="K38" s="78"/>
      <c r="L38" s="78"/>
      <c r="M38" s="78"/>
      <c r="N38" s="78"/>
    </row>
    <row r="39" spans="1:14" x14ac:dyDescent="0.35">
      <c r="A39" s="121" t="s">
        <v>107</v>
      </c>
      <c r="B39" s="122" t="s">
        <v>132</v>
      </c>
      <c r="C39" s="123">
        <v>0.313</v>
      </c>
      <c r="D39" s="123" t="s">
        <v>130</v>
      </c>
      <c r="E39" s="123">
        <v>1.56</v>
      </c>
      <c r="F39" s="124" t="s">
        <v>274</v>
      </c>
      <c r="G39" s="125">
        <v>0.6</v>
      </c>
      <c r="H39" s="123" t="s">
        <v>283</v>
      </c>
      <c r="I39" s="126">
        <v>1.03</v>
      </c>
      <c r="J39" s="78"/>
      <c r="K39" s="78"/>
      <c r="L39" s="78"/>
      <c r="M39" s="78"/>
      <c r="N39" s="78"/>
    </row>
    <row r="40" spans="1:14" x14ac:dyDescent="0.35">
      <c r="A40" s="121" t="s">
        <v>108</v>
      </c>
      <c r="B40" s="122" t="s">
        <v>132</v>
      </c>
      <c r="C40" s="123">
        <v>0.35199999999999998</v>
      </c>
      <c r="D40" s="123" t="s">
        <v>130</v>
      </c>
      <c r="E40" s="123">
        <v>1.56</v>
      </c>
      <c r="F40" s="124" t="s">
        <v>274</v>
      </c>
      <c r="G40" s="125">
        <v>0.6</v>
      </c>
      <c r="H40" s="123" t="s">
        <v>283</v>
      </c>
      <c r="I40" s="126">
        <v>1.03</v>
      </c>
      <c r="J40" s="78"/>
      <c r="K40" s="78"/>
      <c r="L40" s="78"/>
      <c r="M40" s="78"/>
      <c r="N40" s="78"/>
    </row>
    <row r="41" spans="1:14" x14ac:dyDescent="0.35">
      <c r="A41" s="121" t="s">
        <v>121</v>
      </c>
      <c r="B41" s="122" t="s">
        <v>132</v>
      </c>
      <c r="C41" s="123">
        <v>0.32200000000000001</v>
      </c>
      <c r="D41" s="123" t="s">
        <v>130</v>
      </c>
      <c r="E41" s="123">
        <v>1.56</v>
      </c>
      <c r="F41" s="124" t="s">
        <v>274</v>
      </c>
      <c r="G41" s="125">
        <v>0.6</v>
      </c>
      <c r="H41" s="123" t="s">
        <v>283</v>
      </c>
      <c r="I41" s="126">
        <v>1.03</v>
      </c>
      <c r="J41" s="78"/>
      <c r="K41" s="78"/>
      <c r="L41" s="78"/>
      <c r="M41" s="78"/>
      <c r="N41" s="78"/>
    </row>
    <row r="42" spans="1:14" x14ac:dyDescent="0.35">
      <c r="A42" s="121" t="s">
        <v>122</v>
      </c>
      <c r="B42" s="122" t="s">
        <v>132</v>
      </c>
      <c r="C42" s="123">
        <v>0.311</v>
      </c>
      <c r="D42" s="123" t="s">
        <v>130</v>
      </c>
      <c r="E42" s="123">
        <v>1.56</v>
      </c>
      <c r="F42" s="124" t="s">
        <v>274</v>
      </c>
      <c r="G42" s="125">
        <v>0.6</v>
      </c>
      <c r="H42" s="123" t="s">
        <v>283</v>
      </c>
      <c r="I42" s="126">
        <v>1.03</v>
      </c>
      <c r="J42" s="78"/>
      <c r="K42" s="78"/>
      <c r="L42" s="78"/>
      <c r="M42" s="78"/>
      <c r="N42" s="78"/>
    </row>
    <row r="43" spans="1:14" x14ac:dyDescent="0.35">
      <c r="A43" s="121" t="s">
        <v>109</v>
      </c>
      <c r="B43" s="122" t="s">
        <v>132</v>
      </c>
      <c r="C43" s="123">
        <v>0.33900000000000002</v>
      </c>
      <c r="D43" s="123" t="s">
        <v>130</v>
      </c>
      <c r="E43" s="123">
        <v>1.56</v>
      </c>
      <c r="F43" s="124" t="s">
        <v>274</v>
      </c>
      <c r="G43" s="125">
        <v>0.6</v>
      </c>
      <c r="H43" s="123" t="s">
        <v>283</v>
      </c>
      <c r="I43" s="126">
        <v>1.03</v>
      </c>
      <c r="J43" s="78"/>
      <c r="K43" s="78"/>
      <c r="L43" s="78"/>
      <c r="M43" s="78"/>
      <c r="N43" s="78"/>
    </row>
    <row r="44" spans="1:14" x14ac:dyDescent="0.35">
      <c r="A44" s="121" t="s">
        <v>123</v>
      </c>
      <c r="B44" s="122" t="s">
        <v>132</v>
      </c>
      <c r="C44" s="123">
        <v>0.33600000000000002</v>
      </c>
      <c r="D44" s="123" t="s">
        <v>130</v>
      </c>
      <c r="E44" s="123">
        <v>1.56</v>
      </c>
      <c r="F44" s="124" t="s">
        <v>274</v>
      </c>
      <c r="G44" s="125">
        <v>0.6</v>
      </c>
      <c r="H44" s="123" t="s">
        <v>283</v>
      </c>
      <c r="I44" s="126">
        <v>1.03</v>
      </c>
      <c r="J44" s="78"/>
      <c r="K44" s="78"/>
      <c r="L44" s="78"/>
      <c r="M44" s="78"/>
      <c r="N44" s="78"/>
    </row>
    <row r="45" spans="1:14" x14ac:dyDescent="0.35">
      <c r="A45" s="121" t="s">
        <v>110</v>
      </c>
      <c r="B45" s="122" t="s">
        <v>132</v>
      </c>
      <c r="C45" s="123">
        <v>0.32900000000000001</v>
      </c>
      <c r="D45" s="123" t="s">
        <v>130</v>
      </c>
      <c r="E45" s="123">
        <v>1.56</v>
      </c>
      <c r="F45" s="124" t="s">
        <v>274</v>
      </c>
      <c r="G45" s="125">
        <v>0.6</v>
      </c>
      <c r="H45" s="123" t="s">
        <v>283</v>
      </c>
      <c r="I45" s="126">
        <v>1.03</v>
      </c>
      <c r="J45" s="78"/>
      <c r="K45" s="78"/>
      <c r="L45" s="78"/>
      <c r="M45" s="78"/>
      <c r="N45" s="78"/>
    </row>
    <row r="46" spans="1:14" x14ac:dyDescent="0.35">
      <c r="A46" s="121" t="s">
        <v>124</v>
      </c>
      <c r="B46" s="122" t="s">
        <v>132</v>
      </c>
      <c r="C46" s="123">
        <v>0.34300000000000003</v>
      </c>
      <c r="D46" s="123" t="s">
        <v>130</v>
      </c>
      <c r="E46" s="123">
        <v>1.56</v>
      </c>
      <c r="F46" s="124" t="s">
        <v>274</v>
      </c>
      <c r="G46" s="125">
        <v>0.6</v>
      </c>
      <c r="H46" s="123" t="s">
        <v>283</v>
      </c>
      <c r="I46" s="126">
        <v>1.03</v>
      </c>
      <c r="J46" s="78"/>
      <c r="K46" s="78"/>
      <c r="L46" s="78"/>
      <c r="M46" s="78"/>
      <c r="N46" s="78"/>
    </row>
    <row r="47" spans="1:14" x14ac:dyDescent="0.35">
      <c r="A47" s="121" t="s">
        <v>125</v>
      </c>
      <c r="B47" s="122" t="s">
        <v>132</v>
      </c>
      <c r="C47" s="123">
        <v>0.32500000000000001</v>
      </c>
      <c r="D47" s="123" t="s">
        <v>130</v>
      </c>
      <c r="E47" s="123">
        <v>1.56</v>
      </c>
      <c r="F47" s="124" t="s">
        <v>274</v>
      </c>
      <c r="G47" s="125">
        <v>0.6</v>
      </c>
      <c r="H47" s="123" t="s">
        <v>283</v>
      </c>
      <c r="I47" s="126">
        <v>1.03</v>
      </c>
      <c r="J47" s="78"/>
      <c r="K47" s="78"/>
      <c r="L47" s="78"/>
      <c r="M47" s="78"/>
      <c r="N47" s="78"/>
    </row>
    <row r="48" spans="1:14" x14ac:dyDescent="0.35">
      <c r="A48" s="121" t="s">
        <v>126</v>
      </c>
      <c r="B48" s="122" t="s">
        <v>132</v>
      </c>
      <c r="C48" s="123">
        <v>0.32</v>
      </c>
      <c r="D48" s="123" t="s">
        <v>130</v>
      </c>
      <c r="E48" s="123">
        <v>1.56</v>
      </c>
      <c r="F48" s="124" t="s">
        <v>274</v>
      </c>
      <c r="G48" s="125">
        <v>0.6</v>
      </c>
      <c r="H48" s="123" t="s">
        <v>283</v>
      </c>
      <c r="I48" s="126">
        <v>1.03</v>
      </c>
      <c r="J48" s="78"/>
      <c r="K48" s="78"/>
      <c r="L48" s="78"/>
      <c r="M48" s="78"/>
      <c r="N48" s="78"/>
    </row>
    <row r="49" spans="1:14" x14ac:dyDescent="0.35">
      <c r="A49" s="121" t="s">
        <v>111</v>
      </c>
      <c r="B49" s="122" t="s">
        <v>132</v>
      </c>
      <c r="C49" s="123">
        <v>0.28199999999999997</v>
      </c>
      <c r="D49" s="123" t="s">
        <v>130</v>
      </c>
      <c r="E49" s="123">
        <v>1.56</v>
      </c>
      <c r="F49" s="124" t="s">
        <v>274</v>
      </c>
      <c r="G49" s="125">
        <v>0.6</v>
      </c>
      <c r="H49" s="123" t="s">
        <v>283</v>
      </c>
      <c r="I49" s="126">
        <v>1.03</v>
      </c>
      <c r="J49" s="78"/>
      <c r="K49" s="78"/>
      <c r="L49" s="78"/>
      <c r="M49" s="78"/>
      <c r="N49" s="78"/>
    </row>
    <row r="50" spans="1:14" x14ac:dyDescent="0.35">
      <c r="A50" s="121" t="s">
        <v>127</v>
      </c>
      <c r="B50" s="122" t="s">
        <v>132</v>
      </c>
      <c r="C50" s="123">
        <v>0.32800000000000001</v>
      </c>
      <c r="D50" s="123" t="s">
        <v>130</v>
      </c>
      <c r="E50" s="123">
        <v>1.56</v>
      </c>
      <c r="F50" s="124" t="s">
        <v>274</v>
      </c>
      <c r="G50" s="125">
        <v>0.6</v>
      </c>
      <c r="H50" s="123" t="s">
        <v>283</v>
      </c>
      <c r="I50" s="126">
        <v>1.03</v>
      </c>
      <c r="J50" s="78"/>
      <c r="K50" s="78"/>
      <c r="L50" s="78"/>
      <c r="M50" s="78"/>
      <c r="N50" s="78"/>
    </row>
    <row r="51" spans="1:14" x14ac:dyDescent="0.35">
      <c r="A51" s="121" t="s">
        <v>112</v>
      </c>
      <c r="B51" s="122" t="s">
        <v>132</v>
      </c>
      <c r="C51" s="123">
        <v>0.32600000000000001</v>
      </c>
      <c r="D51" s="123" t="s">
        <v>130</v>
      </c>
      <c r="E51" s="123">
        <v>1.56</v>
      </c>
      <c r="F51" s="124" t="s">
        <v>274</v>
      </c>
      <c r="G51" s="125">
        <v>0.6</v>
      </c>
      <c r="H51" s="123" t="s">
        <v>283</v>
      </c>
      <c r="I51" s="126">
        <v>1.03</v>
      </c>
      <c r="J51" s="78"/>
      <c r="K51" s="78"/>
      <c r="L51" s="78"/>
      <c r="M51" s="78"/>
      <c r="N51" s="78"/>
    </row>
    <row r="52" spans="1:14" x14ac:dyDescent="0.35">
      <c r="A52" s="121" t="s">
        <v>113</v>
      </c>
      <c r="B52" s="122" t="s">
        <v>132</v>
      </c>
      <c r="C52" s="123">
        <v>0.35899999999999999</v>
      </c>
      <c r="D52" s="123" t="s">
        <v>130</v>
      </c>
      <c r="E52" s="123">
        <v>1.56</v>
      </c>
      <c r="F52" s="124" t="s">
        <v>274</v>
      </c>
      <c r="G52" s="125">
        <v>0.6</v>
      </c>
      <c r="H52" s="123" t="s">
        <v>283</v>
      </c>
      <c r="I52" s="126">
        <v>1.03</v>
      </c>
      <c r="J52" s="78"/>
      <c r="K52" s="78"/>
      <c r="L52" s="78"/>
      <c r="M52" s="78"/>
      <c r="N52" s="78"/>
    </row>
    <row r="53" spans="1:14" x14ac:dyDescent="0.35">
      <c r="A53" s="121" t="s">
        <v>114</v>
      </c>
      <c r="B53" s="122" t="s">
        <v>132</v>
      </c>
      <c r="C53" s="123">
        <v>0.34599999999999997</v>
      </c>
      <c r="D53" s="123" t="s">
        <v>130</v>
      </c>
      <c r="E53" s="123">
        <v>1.56</v>
      </c>
      <c r="F53" s="124" t="s">
        <v>274</v>
      </c>
      <c r="G53" s="125">
        <v>0.6</v>
      </c>
      <c r="H53" s="123" t="s">
        <v>283</v>
      </c>
      <c r="I53" s="126">
        <v>1.03</v>
      </c>
      <c r="J53" s="78"/>
      <c r="K53" s="78"/>
      <c r="L53" s="78"/>
      <c r="M53" s="78"/>
      <c r="N53" s="78"/>
    </row>
    <row r="54" spans="1:14" x14ac:dyDescent="0.35">
      <c r="A54" s="121" t="s">
        <v>115</v>
      </c>
      <c r="B54" s="122" t="s">
        <v>132</v>
      </c>
      <c r="C54" s="123">
        <v>0.32600000000000001</v>
      </c>
      <c r="D54" s="123" t="s">
        <v>130</v>
      </c>
      <c r="E54" s="123">
        <v>1.56</v>
      </c>
      <c r="F54" s="124" t="s">
        <v>274</v>
      </c>
      <c r="G54" s="125">
        <v>0.6</v>
      </c>
      <c r="H54" s="123" t="s">
        <v>283</v>
      </c>
      <c r="I54" s="126">
        <v>1.03</v>
      </c>
      <c r="J54" s="78"/>
      <c r="K54" s="78"/>
      <c r="L54" s="78"/>
      <c r="M54" s="78"/>
      <c r="N54" s="78"/>
    </row>
    <row r="55" spans="1:14" x14ac:dyDescent="0.35">
      <c r="A55" s="121" t="s">
        <v>116</v>
      </c>
      <c r="B55" s="122" t="s">
        <v>132</v>
      </c>
      <c r="C55" s="123">
        <v>0.30499999999999999</v>
      </c>
      <c r="D55" s="123" t="s">
        <v>130</v>
      </c>
      <c r="E55" s="123">
        <v>1.56</v>
      </c>
      <c r="F55" s="124" t="s">
        <v>274</v>
      </c>
      <c r="G55" s="125">
        <v>0.6</v>
      </c>
      <c r="H55" s="123" t="s">
        <v>283</v>
      </c>
      <c r="I55" s="126">
        <v>1.03</v>
      </c>
      <c r="J55" s="78"/>
      <c r="K55" s="78"/>
      <c r="L55" s="78"/>
      <c r="M55" s="78"/>
      <c r="N55" s="78"/>
    </row>
    <row r="56" spans="1:14" x14ac:dyDescent="0.35">
      <c r="A56" s="121" t="s">
        <v>128</v>
      </c>
      <c r="B56" s="122" t="s">
        <v>132</v>
      </c>
      <c r="C56" s="123">
        <v>0.32300000000000001</v>
      </c>
      <c r="D56" s="123" t="s">
        <v>130</v>
      </c>
      <c r="E56" s="123">
        <v>1.56</v>
      </c>
      <c r="F56" s="124" t="s">
        <v>274</v>
      </c>
      <c r="G56" s="125">
        <v>0.6</v>
      </c>
      <c r="H56" s="123" t="s">
        <v>283</v>
      </c>
      <c r="I56" s="126">
        <v>1.03</v>
      </c>
      <c r="J56" s="78"/>
      <c r="K56" s="78"/>
      <c r="L56" s="78"/>
      <c r="M56" s="78"/>
      <c r="N56" s="78"/>
    </row>
    <row r="57" spans="1:14" x14ac:dyDescent="0.35">
      <c r="A57" s="121" t="s">
        <v>129</v>
      </c>
      <c r="B57" s="122" t="s">
        <v>132</v>
      </c>
      <c r="C57" s="123">
        <v>0.36699999999999999</v>
      </c>
      <c r="D57" s="123" t="s">
        <v>130</v>
      </c>
      <c r="E57" s="123">
        <v>1.56</v>
      </c>
      <c r="F57" s="124" t="s">
        <v>274</v>
      </c>
      <c r="G57" s="125">
        <v>0.6</v>
      </c>
      <c r="H57" s="123" t="s">
        <v>283</v>
      </c>
      <c r="I57" s="126">
        <v>1.03</v>
      </c>
      <c r="J57" s="78"/>
      <c r="K57" s="78"/>
      <c r="L57" s="78"/>
      <c r="M57" s="78"/>
      <c r="N57" s="78"/>
    </row>
    <row r="58" spans="1:14" x14ac:dyDescent="0.35">
      <c r="A58" s="121" t="s">
        <v>117</v>
      </c>
      <c r="B58" s="122" t="s">
        <v>132</v>
      </c>
      <c r="C58" s="123">
        <v>0.36</v>
      </c>
      <c r="D58" s="123" t="s">
        <v>130</v>
      </c>
      <c r="E58" s="123">
        <v>1.56</v>
      </c>
      <c r="F58" s="124" t="s">
        <v>274</v>
      </c>
      <c r="G58" s="125">
        <v>0.6</v>
      </c>
      <c r="H58" s="123" t="s">
        <v>283</v>
      </c>
      <c r="I58" s="126">
        <v>1.03</v>
      </c>
      <c r="J58" s="78"/>
      <c r="K58" s="78"/>
      <c r="L58" s="78"/>
      <c r="M58" s="78"/>
      <c r="N58" s="78"/>
    </row>
    <row r="59" spans="1:14" x14ac:dyDescent="0.35">
      <c r="A59" s="121" t="s">
        <v>118</v>
      </c>
      <c r="B59" s="122" t="s">
        <v>132</v>
      </c>
      <c r="C59" s="123">
        <v>0.36799999999999999</v>
      </c>
      <c r="D59" s="123" t="s">
        <v>130</v>
      </c>
      <c r="E59" s="123">
        <v>1.56</v>
      </c>
      <c r="F59" s="124" t="s">
        <v>274</v>
      </c>
      <c r="G59" s="125">
        <v>0.6</v>
      </c>
      <c r="H59" s="123" t="s">
        <v>283</v>
      </c>
      <c r="I59" s="126">
        <v>1.03</v>
      </c>
      <c r="J59" s="78"/>
      <c r="K59" s="78"/>
      <c r="L59" s="78"/>
      <c r="M59" s="78"/>
      <c r="N59" s="78"/>
    </row>
    <row r="60" spans="1:14" x14ac:dyDescent="0.35">
      <c r="A60" s="121" t="s">
        <v>119</v>
      </c>
      <c r="B60" s="122" t="s">
        <v>132</v>
      </c>
      <c r="C60" s="123">
        <v>0.30599999999999999</v>
      </c>
      <c r="D60" s="123" t="s">
        <v>130</v>
      </c>
      <c r="E60" s="123">
        <v>1.56</v>
      </c>
      <c r="F60" s="124" t="s">
        <v>274</v>
      </c>
      <c r="G60" s="125">
        <v>0.6</v>
      </c>
      <c r="H60" s="123" t="s">
        <v>283</v>
      </c>
      <c r="I60" s="126">
        <v>1.03</v>
      </c>
      <c r="J60" s="78"/>
      <c r="K60" s="78"/>
      <c r="L60" s="78"/>
      <c r="M60" s="78"/>
      <c r="N60" s="78"/>
    </row>
    <row r="61" spans="1:14" x14ac:dyDescent="0.35">
      <c r="A61" s="121" t="s">
        <v>120</v>
      </c>
      <c r="B61" s="122" t="s">
        <v>132</v>
      </c>
      <c r="C61" s="123">
        <v>0.313</v>
      </c>
      <c r="D61" s="123" t="s">
        <v>130</v>
      </c>
      <c r="E61" s="123">
        <v>1.56</v>
      </c>
      <c r="F61" s="124" t="s">
        <v>274</v>
      </c>
      <c r="G61" s="125">
        <v>0.6</v>
      </c>
      <c r="H61" s="123" t="s">
        <v>283</v>
      </c>
      <c r="I61" s="126">
        <v>1.03</v>
      </c>
      <c r="J61" s="78"/>
      <c r="K61" s="78"/>
      <c r="L61" s="78"/>
      <c r="M61" s="78"/>
      <c r="N61" s="78"/>
    </row>
    <row r="62" spans="1:14" x14ac:dyDescent="0.35">
      <c r="A62" s="121" t="s">
        <v>32</v>
      </c>
      <c r="B62" s="122" t="s">
        <v>133</v>
      </c>
      <c r="C62" s="123">
        <v>0.37</v>
      </c>
      <c r="D62" s="123" t="s">
        <v>161</v>
      </c>
      <c r="E62" s="123">
        <v>1.56</v>
      </c>
      <c r="F62" s="124" t="s">
        <v>274</v>
      </c>
      <c r="G62" s="125">
        <v>0.6</v>
      </c>
      <c r="H62" s="123" t="s">
        <v>283</v>
      </c>
      <c r="I62" s="126">
        <v>1.03</v>
      </c>
      <c r="J62" s="78"/>
      <c r="K62" s="78"/>
      <c r="L62" s="78"/>
      <c r="M62" s="78"/>
      <c r="N62" s="78"/>
    </row>
    <row r="63" spans="1:14" x14ac:dyDescent="0.35">
      <c r="A63" s="121" t="s">
        <v>90</v>
      </c>
      <c r="B63" s="122" t="s">
        <v>83</v>
      </c>
      <c r="C63" s="123">
        <v>0.45</v>
      </c>
      <c r="D63" s="123" t="s">
        <v>161</v>
      </c>
      <c r="E63" s="123">
        <v>1.3</v>
      </c>
      <c r="F63" s="124" t="s">
        <v>274</v>
      </c>
      <c r="G63" s="125">
        <v>0.45</v>
      </c>
      <c r="H63" s="123" t="s">
        <v>276</v>
      </c>
      <c r="I63" s="126">
        <v>0.43</v>
      </c>
      <c r="J63" s="78"/>
      <c r="K63" s="78"/>
      <c r="L63" s="78"/>
      <c r="M63" s="78"/>
      <c r="N63" s="78"/>
    </row>
    <row r="64" spans="1:14" x14ac:dyDescent="0.35">
      <c r="A64" s="121" t="s">
        <v>33</v>
      </c>
      <c r="B64" s="122" t="s">
        <v>134</v>
      </c>
      <c r="C64" s="123">
        <v>0.39</v>
      </c>
      <c r="D64" s="123" t="s">
        <v>161</v>
      </c>
      <c r="E64" s="123">
        <v>1.3</v>
      </c>
      <c r="F64" s="124" t="s">
        <v>274</v>
      </c>
      <c r="G64" s="125">
        <v>0.45</v>
      </c>
      <c r="H64" s="123" t="s">
        <v>276</v>
      </c>
      <c r="I64" s="126">
        <v>0.43</v>
      </c>
      <c r="J64" s="78"/>
      <c r="K64" s="78"/>
      <c r="L64" s="78"/>
      <c r="M64" s="78"/>
      <c r="N64" s="78"/>
    </row>
    <row r="65" spans="1:14" x14ac:dyDescent="0.35">
      <c r="A65" s="121" t="s">
        <v>34</v>
      </c>
      <c r="B65" s="122" t="s">
        <v>135</v>
      </c>
      <c r="C65" s="123">
        <v>0.44</v>
      </c>
      <c r="D65" s="123" t="s">
        <v>161</v>
      </c>
      <c r="E65" s="123">
        <v>1.3</v>
      </c>
      <c r="F65" s="124" t="s">
        <v>274</v>
      </c>
      <c r="G65" s="125">
        <v>0.45</v>
      </c>
      <c r="H65" s="123" t="s">
        <v>276</v>
      </c>
      <c r="I65" s="126">
        <v>0.43</v>
      </c>
      <c r="J65" s="78"/>
      <c r="K65" s="78"/>
      <c r="L65" s="78"/>
      <c r="M65" s="78"/>
      <c r="N65" s="78"/>
    </row>
    <row r="66" spans="1:14" x14ac:dyDescent="0.35">
      <c r="A66" s="121" t="s">
        <v>35</v>
      </c>
      <c r="B66" s="122" t="s">
        <v>84</v>
      </c>
      <c r="C66" s="123">
        <v>0.46</v>
      </c>
      <c r="D66" s="123" t="s">
        <v>161</v>
      </c>
      <c r="E66" s="123">
        <v>1.3</v>
      </c>
      <c r="F66" s="124" t="s">
        <v>274</v>
      </c>
      <c r="G66" s="125">
        <v>0.45</v>
      </c>
      <c r="H66" s="123" t="s">
        <v>276</v>
      </c>
      <c r="I66" s="126">
        <v>0.43</v>
      </c>
      <c r="J66" s="78"/>
      <c r="K66" s="78"/>
      <c r="L66" s="78"/>
      <c r="M66" s="78"/>
      <c r="N66" s="78"/>
    </row>
    <row r="67" spans="1:14" x14ac:dyDescent="0.35">
      <c r="A67" s="121" t="s">
        <v>36</v>
      </c>
      <c r="B67" s="122" t="s">
        <v>85</v>
      </c>
      <c r="C67" s="123">
        <v>0.46</v>
      </c>
      <c r="D67" s="123" t="s">
        <v>161</v>
      </c>
      <c r="E67" s="123">
        <v>1.3</v>
      </c>
      <c r="F67" s="124" t="s">
        <v>274</v>
      </c>
      <c r="G67" s="125">
        <v>0.45</v>
      </c>
      <c r="H67" s="123" t="s">
        <v>152</v>
      </c>
      <c r="I67" s="126">
        <v>0.59</v>
      </c>
      <c r="J67" s="78"/>
      <c r="K67" s="78"/>
      <c r="L67" s="78"/>
      <c r="M67" s="78"/>
      <c r="N67" s="78"/>
    </row>
    <row r="68" spans="1:14" x14ac:dyDescent="0.35">
      <c r="A68" s="121" t="s">
        <v>37</v>
      </c>
      <c r="B68" s="122" t="s">
        <v>136</v>
      </c>
      <c r="C68" s="123">
        <v>0.44</v>
      </c>
      <c r="D68" s="123" t="s">
        <v>161</v>
      </c>
      <c r="E68" s="123">
        <v>1.3</v>
      </c>
      <c r="F68" s="124" t="s">
        <v>274</v>
      </c>
      <c r="G68" s="125">
        <v>0.45</v>
      </c>
      <c r="H68" s="123" t="s">
        <v>276</v>
      </c>
      <c r="I68" s="126">
        <v>0.43</v>
      </c>
      <c r="J68" s="78"/>
      <c r="K68" s="78"/>
      <c r="L68" s="78"/>
      <c r="M68" s="78"/>
      <c r="N68" s="78"/>
    </row>
    <row r="69" spans="1:14" x14ac:dyDescent="0.35">
      <c r="A69" s="121" t="s">
        <v>38</v>
      </c>
      <c r="B69" s="122" t="s">
        <v>86</v>
      </c>
      <c r="C69" s="123">
        <v>0.46</v>
      </c>
      <c r="D69" s="123" t="s">
        <v>161</v>
      </c>
      <c r="E69" s="123">
        <v>1.3</v>
      </c>
      <c r="F69" s="124" t="s">
        <v>274</v>
      </c>
      <c r="G69" s="125">
        <v>0.45</v>
      </c>
      <c r="H69" s="123" t="s">
        <v>276</v>
      </c>
      <c r="I69" s="126">
        <v>0.43</v>
      </c>
      <c r="J69" s="78"/>
      <c r="K69" s="78"/>
      <c r="L69" s="78"/>
      <c r="M69" s="78"/>
      <c r="N69" s="78"/>
    </row>
    <row r="70" spans="1:14" x14ac:dyDescent="0.35">
      <c r="A70" s="121" t="s">
        <v>39</v>
      </c>
      <c r="B70" s="122" t="s">
        <v>137</v>
      </c>
      <c r="C70" s="123">
        <v>0.48</v>
      </c>
      <c r="D70" s="123" t="s">
        <v>161</v>
      </c>
      <c r="E70" s="123">
        <v>2.4</v>
      </c>
      <c r="F70" s="123" t="s">
        <v>284</v>
      </c>
      <c r="G70" s="125">
        <v>0.45</v>
      </c>
      <c r="H70" s="123" t="s">
        <v>276</v>
      </c>
      <c r="I70" s="126">
        <v>0.43</v>
      </c>
      <c r="J70" s="78"/>
      <c r="K70" s="78"/>
      <c r="L70" s="78"/>
      <c r="M70" s="78"/>
      <c r="N70" s="78"/>
    </row>
    <row r="71" spans="1:14" x14ac:dyDescent="0.35">
      <c r="A71" s="121" t="s">
        <v>40</v>
      </c>
      <c r="B71" s="122" t="s">
        <v>87</v>
      </c>
      <c r="C71" s="123">
        <v>0.46</v>
      </c>
      <c r="D71" s="123" t="s">
        <v>150</v>
      </c>
      <c r="E71" s="123">
        <v>1.3</v>
      </c>
      <c r="F71" s="124" t="s">
        <v>274</v>
      </c>
      <c r="G71" s="125">
        <v>0.45</v>
      </c>
      <c r="H71" s="123" t="s">
        <v>276</v>
      </c>
      <c r="I71" s="126">
        <v>0.43</v>
      </c>
      <c r="J71" s="78"/>
      <c r="K71" s="78"/>
      <c r="L71" s="78"/>
      <c r="M71" s="78"/>
      <c r="N71" s="78"/>
    </row>
    <row r="72" spans="1:14" x14ac:dyDescent="0.35">
      <c r="A72" s="121" t="s">
        <v>41</v>
      </c>
      <c r="B72" s="122" t="s">
        <v>88</v>
      </c>
      <c r="C72" s="123">
        <v>0.44</v>
      </c>
      <c r="D72" s="123" t="s">
        <v>161</v>
      </c>
      <c r="E72" s="123">
        <v>1.3</v>
      </c>
      <c r="F72" s="124" t="s">
        <v>274</v>
      </c>
      <c r="G72" s="125">
        <v>0.45</v>
      </c>
      <c r="H72" s="123" t="s">
        <v>276</v>
      </c>
      <c r="I72" s="126">
        <v>0.43</v>
      </c>
      <c r="J72" s="78"/>
      <c r="K72" s="78"/>
      <c r="L72" s="78"/>
      <c r="M72" s="78"/>
      <c r="N72" s="78"/>
    </row>
    <row r="73" spans="1:14" x14ac:dyDescent="0.35">
      <c r="A73" s="121" t="s">
        <v>138</v>
      </c>
      <c r="B73" s="122" t="s">
        <v>140</v>
      </c>
      <c r="C73" s="123">
        <v>0.46</v>
      </c>
      <c r="D73" s="123" t="s">
        <v>151</v>
      </c>
      <c r="E73" s="123">
        <v>1.3</v>
      </c>
      <c r="F73" s="124" t="s">
        <v>274</v>
      </c>
      <c r="G73" s="125">
        <v>0.45</v>
      </c>
      <c r="H73" s="123" t="s">
        <v>276</v>
      </c>
      <c r="I73" s="126">
        <v>0.43</v>
      </c>
      <c r="J73" s="78"/>
      <c r="K73" s="78"/>
      <c r="L73" s="78"/>
      <c r="M73" s="78"/>
      <c r="N73" s="78"/>
    </row>
    <row r="74" spans="1:14" x14ac:dyDescent="0.35">
      <c r="A74" s="121" t="s">
        <v>42</v>
      </c>
      <c r="B74" s="122" t="s">
        <v>139</v>
      </c>
      <c r="C74" s="123">
        <v>0.34</v>
      </c>
      <c r="D74" s="123" t="s">
        <v>161</v>
      </c>
      <c r="E74" s="123">
        <v>1.3</v>
      </c>
      <c r="F74" s="124" t="s">
        <v>274</v>
      </c>
      <c r="G74" s="125">
        <v>0.45</v>
      </c>
      <c r="H74" s="123" t="s">
        <v>276</v>
      </c>
      <c r="I74" s="126">
        <v>0.43</v>
      </c>
      <c r="J74" s="78"/>
      <c r="K74" s="78"/>
      <c r="L74" s="78"/>
      <c r="M74" s="78"/>
      <c r="N74" s="78"/>
    </row>
    <row r="75" spans="1:14" x14ac:dyDescent="0.35">
      <c r="A75" s="121" t="s">
        <v>43</v>
      </c>
      <c r="B75" s="122" t="s">
        <v>162</v>
      </c>
      <c r="C75" s="123">
        <v>0.5</v>
      </c>
      <c r="D75" s="123" t="s">
        <v>161</v>
      </c>
      <c r="E75" s="123">
        <v>1.56</v>
      </c>
      <c r="F75" s="124" t="s">
        <v>274</v>
      </c>
      <c r="G75" s="125">
        <v>0.53</v>
      </c>
      <c r="H75" s="123" t="s">
        <v>275</v>
      </c>
      <c r="I75" s="126">
        <v>0.25</v>
      </c>
      <c r="J75" s="78"/>
      <c r="K75" s="78"/>
      <c r="L75" s="78"/>
      <c r="M75" s="78"/>
      <c r="N75" s="78"/>
    </row>
    <row r="76" spans="1:14" x14ac:dyDescent="0.35">
      <c r="A76" s="121" t="s">
        <v>44</v>
      </c>
      <c r="B76" s="122" t="s">
        <v>89</v>
      </c>
      <c r="C76" s="123">
        <v>0.57999999999999996</v>
      </c>
      <c r="D76" s="123" t="s">
        <v>161</v>
      </c>
      <c r="E76" s="123">
        <v>1.56</v>
      </c>
      <c r="F76" s="124" t="s">
        <v>274</v>
      </c>
      <c r="G76" s="125">
        <v>0.3</v>
      </c>
      <c r="H76" s="123" t="s">
        <v>277</v>
      </c>
      <c r="I76" s="126">
        <v>0.25</v>
      </c>
      <c r="J76" s="78"/>
      <c r="K76" s="78"/>
      <c r="L76" s="78"/>
      <c r="M76" s="78"/>
      <c r="N76" s="78"/>
    </row>
    <row r="77" spans="1:14" x14ac:dyDescent="0.35">
      <c r="A77" s="121" t="s">
        <v>47</v>
      </c>
      <c r="B77" s="122" t="s">
        <v>141</v>
      </c>
      <c r="C77" s="123">
        <v>0.37</v>
      </c>
      <c r="D77" s="123" t="s">
        <v>161</v>
      </c>
      <c r="E77" s="123">
        <v>1.3</v>
      </c>
      <c r="F77" s="124" t="s">
        <v>274</v>
      </c>
      <c r="G77" s="125">
        <v>0.55000000000000004</v>
      </c>
      <c r="H77" s="123" t="s">
        <v>152</v>
      </c>
      <c r="I77" s="126">
        <v>0.43</v>
      </c>
      <c r="J77" s="78"/>
      <c r="K77" s="78"/>
      <c r="L77" s="78"/>
      <c r="M77" s="78"/>
      <c r="N77" s="78"/>
    </row>
    <row r="78" spans="1:14" x14ac:dyDescent="0.35">
      <c r="A78" s="121" t="s">
        <v>45</v>
      </c>
      <c r="B78" s="122" t="s">
        <v>96</v>
      </c>
      <c r="C78" s="123">
        <v>0.37</v>
      </c>
      <c r="D78" s="123" t="s">
        <v>161</v>
      </c>
      <c r="E78" s="123">
        <v>1.3</v>
      </c>
      <c r="F78" s="124" t="s">
        <v>274</v>
      </c>
      <c r="G78" s="125">
        <v>0.55000000000000004</v>
      </c>
      <c r="H78" s="123" t="s">
        <v>152</v>
      </c>
      <c r="I78" s="126">
        <v>0.43</v>
      </c>
      <c r="J78" s="78"/>
      <c r="K78" s="78"/>
      <c r="L78" s="78"/>
      <c r="M78" s="78"/>
      <c r="N78" s="78"/>
    </row>
    <row r="79" spans="1:14" x14ac:dyDescent="0.35">
      <c r="A79" s="121" t="s">
        <v>46</v>
      </c>
      <c r="B79" s="122" t="s">
        <v>95</v>
      </c>
      <c r="C79" s="123">
        <v>0.38</v>
      </c>
      <c r="D79" s="123" t="s">
        <v>161</v>
      </c>
      <c r="E79" s="123">
        <v>1.3</v>
      </c>
      <c r="F79" s="124" t="s">
        <v>274</v>
      </c>
      <c r="G79" s="125">
        <v>0.55000000000000004</v>
      </c>
      <c r="H79" s="123" t="s">
        <v>153</v>
      </c>
      <c r="I79" s="126">
        <v>0.43</v>
      </c>
      <c r="J79" s="78"/>
      <c r="K79" s="78"/>
      <c r="L79" s="78"/>
      <c r="M79" s="78"/>
      <c r="N79" s="78"/>
    </row>
    <row r="80" spans="1:14" x14ac:dyDescent="0.35">
      <c r="A80" s="121" t="s">
        <v>48</v>
      </c>
      <c r="B80" s="122" t="s">
        <v>94</v>
      </c>
      <c r="C80" s="123">
        <v>0.36</v>
      </c>
      <c r="D80" s="123" t="s">
        <v>161</v>
      </c>
      <c r="E80" s="123">
        <v>1.3</v>
      </c>
      <c r="F80" s="124" t="s">
        <v>274</v>
      </c>
      <c r="G80" s="125">
        <v>0.55000000000000004</v>
      </c>
      <c r="H80" s="123" t="s">
        <v>153</v>
      </c>
      <c r="I80" s="126">
        <v>0.43</v>
      </c>
      <c r="J80" s="78"/>
      <c r="K80" s="78"/>
      <c r="L80" s="78"/>
      <c r="M80" s="78"/>
      <c r="N80" s="78"/>
    </row>
    <row r="81" spans="1:14" x14ac:dyDescent="0.35">
      <c r="A81" s="121" t="s">
        <v>49</v>
      </c>
      <c r="B81" s="122" t="s">
        <v>142</v>
      </c>
      <c r="C81" s="123">
        <v>0.37</v>
      </c>
      <c r="D81" s="123" t="s">
        <v>161</v>
      </c>
      <c r="E81" s="123">
        <v>1.56</v>
      </c>
      <c r="F81" s="124" t="s">
        <v>274</v>
      </c>
      <c r="G81" s="125">
        <v>0.43</v>
      </c>
      <c r="H81" s="123" t="s">
        <v>278</v>
      </c>
      <c r="I81" s="126">
        <v>0.25</v>
      </c>
      <c r="J81" s="78"/>
      <c r="K81" s="78"/>
      <c r="L81" s="78"/>
      <c r="M81" s="78"/>
      <c r="N81" s="78"/>
    </row>
    <row r="82" spans="1:14" x14ac:dyDescent="0.35">
      <c r="A82" s="121" t="s">
        <v>158</v>
      </c>
      <c r="B82" s="122" t="s">
        <v>159</v>
      </c>
      <c r="C82" s="123">
        <v>0.35</v>
      </c>
      <c r="D82" s="123" t="s">
        <v>160</v>
      </c>
      <c r="E82" s="123">
        <v>1.3</v>
      </c>
      <c r="F82" s="124" t="s">
        <v>274</v>
      </c>
      <c r="G82" s="125">
        <v>0.55000000000000004</v>
      </c>
      <c r="H82" s="123" t="s">
        <v>153</v>
      </c>
      <c r="I82" s="126">
        <v>0.43</v>
      </c>
      <c r="J82" s="78"/>
      <c r="K82" s="78"/>
      <c r="L82" s="78"/>
      <c r="M82" s="78"/>
      <c r="N82" s="78"/>
    </row>
    <row r="83" spans="1:14" x14ac:dyDescent="0.35">
      <c r="A83" s="121" t="s">
        <v>156</v>
      </c>
      <c r="B83" s="122" t="s">
        <v>157</v>
      </c>
      <c r="C83" s="123">
        <v>0.34</v>
      </c>
      <c r="D83" s="123" t="s">
        <v>161</v>
      </c>
      <c r="E83" s="123">
        <v>1.3</v>
      </c>
      <c r="F83" s="124" t="s">
        <v>274</v>
      </c>
      <c r="G83" s="125">
        <v>0.55000000000000004</v>
      </c>
      <c r="H83" s="123" t="s">
        <v>153</v>
      </c>
      <c r="I83" s="126">
        <v>0.43</v>
      </c>
      <c r="J83" s="78"/>
      <c r="K83" s="78"/>
      <c r="L83" s="78"/>
      <c r="M83" s="78"/>
      <c r="N83" s="78"/>
    </row>
    <row r="84" spans="1:14" x14ac:dyDescent="0.35">
      <c r="A84" s="121" t="s">
        <v>92</v>
      </c>
      <c r="B84" s="122" t="s">
        <v>93</v>
      </c>
      <c r="C84" s="123">
        <v>0.31</v>
      </c>
      <c r="D84" s="123" t="s">
        <v>161</v>
      </c>
      <c r="E84" s="123">
        <v>1.3</v>
      </c>
      <c r="F84" s="124" t="s">
        <v>274</v>
      </c>
      <c r="G84" s="125">
        <v>0.55000000000000004</v>
      </c>
      <c r="H84" s="123" t="s">
        <v>153</v>
      </c>
      <c r="I84" s="126">
        <v>0.43</v>
      </c>
      <c r="J84" s="78"/>
      <c r="K84" s="78"/>
      <c r="L84" s="78"/>
      <c r="M84" s="78"/>
      <c r="N84" s="78"/>
    </row>
    <row r="85" spans="1:14" x14ac:dyDescent="0.35">
      <c r="A85" s="121" t="s">
        <v>50</v>
      </c>
      <c r="B85" s="122" t="s">
        <v>143</v>
      </c>
      <c r="C85" s="123">
        <v>0.43</v>
      </c>
      <c r="D85" s="123" t="s">
        <v>161</v>
      </c>
      <c r="E85" s="123">
        <v>1.56</v>
      </c>
      <c r="F85" s="124" t="s">
        <v>274</v>
      </c>
      <c r="G85" s="125">
        <v>0.53</v>
      </c>
      <c r="H85" s="123" t="s">
        <v>275</v>
      </c>
      <c r="I85" s="126">
        <v>0.25</v>
      </c>
      <c r="J85" s="78"/>
      <c r="K85" s="78"/>
      <c r="L85" s="78"/>
      <c r="M85" s="78"/>
      <c r="N85" s="78"/>
    </row>
    <row r="86" spans="1:14" x14ac:dyDescent="0.35">
      <c r="A86" s="121" t="s">
        <v>51</v>
      </c>
      <c r="B86" s="122" t="s">
        <v>91</v>
      </c>
      <c r="C86" s="123">
        <v>0.38</v>
      </c>
      <c r="D86" s="123" t="s">
        <v>161</v>
      </c>
      <c r="E86" s="123">
        <v>1.56</v>
      </c>
      <c r="F86" s="124" t="s">
        <v>274</v>
      </c>
      <c r="G86" s="125">
        <v>0.6</v>
      </c>
      <c r="H86" s="123" t="s">
        <v>279</v>
      </c>
      <c r="I86" s="126">
        <v>0.25</v>
      </c>
      <c r="J86" s="78"/>
      <c r="K86" s="78"/>
      <c r="L86" s="78"/>
      <c r="M86" s="78"/>
      <c r="N86" s="78"/>
    </row>
    <row r="87" spans="1:14" x14ac:dyDescent="0.3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35">
      <c r="A88" s="121" t="s">
        <v>148</v>
      </c>
      <c r="B88" s="129"/>
      <c r="C88" s="123">
        <v>0.42</v>
      </c>
      <c r="D88" s="123" t="s">
        <v>161</v>
      </c>
      <c r="E88" s="123">
        <v>1.3</v>
      </c>
      <c r="F88" s="124" t="s">
        <v>274</v>
      </c>
      <c r="G88" s="130"/>
      <c r="H88" s="129"/>
      <c r="I88" s="131"/>
    </row>
    <row r="89" spans="1:14" ht="15" thickBot="1" x14ac:dyDescent="0.4">
      <c r="A89" s="132" t="s">
        <v>149</v>
      </c>
      <c r="B89" s="133"/>
      <c r="C89" s="134">
        <v>0.56999999999999995</v>
      </c>
      <c r="D89" s="135" t="s">
        <v>161</v>
      </c>
      <c r="E89" s="134">
        <v>1.56</v>
      </c>
      <c r="F89" s="134" t="s">
        <v>274</v>
      </c>
      <c r="G89" s="133"/>
      <c r="H89" s="133"/>
      <c r="I89" s="136"/>
    </row>
    <row r="93" spans="1:14" x14ac:dyDescent="0.35">
      <c r="A93" s="121" t="s">
        <v>208</v>
      </c>
    </row>
    <row r="94" spans="1:14" x14ac:dyDescent="0.35">
      <c r="A94" s="121" t="s">
        <v>209</v>
      </c>
    </row>
    <row r="95" spans="1:14" x14ac:dyDescent="0.35">
      <c r="A95" s="12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E1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90" t="s">
        <v>271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7" t="s">
        <v>207</v>
      </c>
      <c r="B5" s="138" t="s">
        <v>250</v>
      </c>
      <c r="C5" s="139" t="str">
        <f>Calculateur!S2</f>
        <v>ΔStock moyen de long terme (tCO₂/ha)</v>
      </c>
      <c r="D5" s="139" t="str">
        <f>Calculateur!T2</f>
        <v>Δstock CO₂ 30 ans (tCO₂/ha)</v>
      </c>
      <c r="E5" s="139" t="s">
        <v>228</v>
      </c>
      <c r="F5" s="139" t="s">
        <v>239</v>
      </c>
      <c r="G5" s="139" t="s">
        <v>240</v>
      </c>
      <c r="H5" s="140" t="s">
        <v>241</v>
      </c>
      <c r="I5" s="141" t="s">
        <v>242</v>
      </c>
      <c r="J5" s="142" t="s">
        <v>243</v>
      </c>
      <c r="K5" s="143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4" t="str">
        <f>IF('Données projet'!$B$9="","",'Données projet'!$B$9)</f>
        <v>Cèdre de l'Atlas</v>
      </c>
      <c r="B6" s="145">
        <f>'Données projet'!D9</f>
        <v>9.1791</v>
      </c>
      <c r="C6" s="146">
        <f ca="1">IF(OR('Données projet'!B9="",'Données projet'!C9="",'Données projet'!C9=0%),0,Calculateur!S3)</f>
        <v>198.17898804494365</v>
      </c>
      <c r="D6" s="146">
        <f>IF(OR('Données projet'!B9="",'Données projet'!C9="",'Données projet'!C9=0%),0,Calculateur!T3)</f>
        <v>186.24772922797723</v>
      </c>
      <c r="E6" s="146">
        <f ca="1">MIN(C6,D6)</f>
        <v>186.24772922797723</v>
      </c>
      <c r="F6" s="146">
        <f ca="1">E6*B6</f>
        <v>1709.5865313565257</v>
      </c>
      <c r="G6" s="146">
        <f ca="1">F6*(100%-'Données projet'!$C$24)*(100%-'Données projet'!$C$25)*(100%-'Données projet'!$C$26)*(100%-'Données projet'!$C$27)</f>
        <v>1307.8336964877421</v>
      </c>
      <c r="H6" s="147">
        <f>IF(OR('Données projet'!B9="",'Données projet'!C9="",'Données projet'!C9=0%),0,AVERAGE(Calculateur!$AC$3:$AC$33)*B6)</f>
        <v>0</v>
      </c>
      <c r="I6" s="148">
        <f>H6*(100%-'Données projet'!$C$24)*(100%-'Données projet'!$C$25)*(100%-'Données projet'!$C$26)*(100%-'Données projet'!$C$27)</f>
        <v>0</v>
      </c>
      <c r="J6" s="149">
        <f>IF(OR('Données projet'!B9="",'Données projet'!C9="",'Données projet'!C9=0%),0,SUM(Calculateur!$V$3:$V$33)*VLOOKUP('Données projet'!$B$9,Paramètres!$A$1:$I$89,9,0)*B6)</f>
        <v>0</v>
      </c>
      <c r="K6" s="150">
        <f>J6*(100%-'Données projet'!$C$24)*(100%-'Données projet'!$C$25)*(100%-'Données projet'!$C$26)*(100%-'Données projet'!$C$27)</f>
        <v>0</v>
      </c>
      <c r="L6" s="151">
        <f ca="1">G6+I6+K6</f>
        <v>1307.8336964877421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2" t="str">
        <f>IF('Données projet'!$B$10="","",'Données projet'!$B$10)</f>
        <v>Pin laricio</v>
      </c>
      <c r="B7" s="153">
        <f>'Données projet'!D10</f>
        <v>3.1248000000000005</v>
      </c>
      <c r="C7" s="146">
        <f ca="1">IF(OR('Données projet'!B10="",'Données projet'!C10="",'Données projet'!C10=0%),0,Calculateur!AN3)</f>
        <v>278.21846622758881</v>
      </c>
      <c r="D7" s="146">
        <f>IF(OR('Données projet'!B10="",'Données projet'!C10="",'Données projet'!C10=0%),0,Calculateur!AO3)</f>
        <v>245.37578316242906</v>
      </c>
      <c r="E7" s="146">
        <f t="shared" ref="E7:E15" ca="1" si="0">MIN(C7,D7)</f>
        <v>245.37578316242906</v>
      </c>
      <c r="F7" s="146">
        <f t="shared" ref="F7:F15" ca="1" si="1">E7*B7</f>
        <v>766.75024722595845</v>
      </c>
      <c r="G7" s="146">
        <f ca="1">F7*(100%-'Données projet'!$C$24)*(100%-'Données projet'!$C$25)*(100%-'Données projet'!$C$26)*(100%-'Données projet'!$C$27)</f>
        <v>586.56393912785825</v>
      </c>
      <c r="H7" s="154">
        <f>IF(OR('Données projet'!B10="",'Données projet'!C10="",'Données projet'!C10=0%),0,AVERAGE(Calculateur!$AX$3:$AX$33)*B7)</f>
        <v>26.035194232376075</v>
      </c>
      <c r="I7" s="148">
        <f>H7*(100%-'Données projet'!$C$24)*(100%-'Données projet'!$C$25)*(100%-'Données projet'!$C$26)*(100%-'Données projet'!$C$27)</f>
        <v>19.916923587767698</v>
      </c>
      <c r="J7" s="149">
        <f>IF(OR('Données projet'!B10="",'Données projet'!C10="",'Données projet'!C10=0%),0,SUM(Calculateur!$AQ$3:$AQ$33)*VLOOKUP('Données projet'!$B$10,Paramètres!$A$1:$I$89,9,0)*B7)</f>
        <v>191.90622683076924</v>
      </c>
      <c r="K7" s="150">
        <f>J7*(100%-'Données projet'!$C$24)*(100%-'Données projet'!$C$25)*(100%-'Données projet'!$C$26)*(100%-'Données projet'!$C$27)</f>
        <v>146.80826352553848</v>
      </c>
      <c r="L7" s="151">
        <f t="shared" ref="L7:L15" ca="1" si="2">G7+I7+K7</f>
        <v>753.28912624116435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2" t="str">
        <f>IF('Données projet'!$B$11="","",'Données projet'!$B$11)</f>
        <v>Chêne sessile</v>
      </c>
      <c r="B8" s="153">
        <f>'Données projet'!D11</f>
        <v>5.6636999999999995</v>
      </c>
      <c r="C8" s="146">
        <f ca="1">IF(OR('Données projet'!B11="",'Données projet'!C11="",'Données projet'!C11=0%),0,Calculateur!BI3)</f>
        <v>270.87836509222456</v>
      </c>
      <c r="D8" s="146">
        <f>IF(OR('Données projet'!B11="",'Données projet'!C11="",'Données projet'!C11=0%),0,Calculateur!BJ3)</f>
        <v>205.24998237949734</v>
      </c>
      <c r="E8" s="146">
        <f t="shared" ca="1" si="0"/>
        <v>205.24998237949734</v>
      </c>
      <c r="F8" s="146">
        <f t="shared" ca="1" si="1"/>
        <v>1162.474325202759</v>
      </c>
      <c r="G8" s="146">
        <f ca="1">F8*(100%-'Données projet'!$C$24)*(100%-'Données projet'!$C$25)*(100%-'Données projet'!$C$26)*(100%-'Données projet'!$C$27)</f>
        <v>889.29285878011069</v>
      </c>
      <c r="H8" s="154">
        <f>IF(OR('Données projet'!B11="",'Données projet'!C11="",'Données projet'!C11=0%),0,AVERAGE(Calculateur!$BS$3:$BS$33)*B8)</f>
        <v>0</v>
      </c>
      <c r="I8" s="148">
        <f>H8*(100%-'Données projet'!$C$24)*(100%-'Données projet'!$C$25)*(100%-'Données projet'!$C$26)*(100%-'Données projet'!$C$27)</f>
        <v>0</v>
      </c>
      <c r="J8" s="149">
        <f>IF(OR('Données projet'!B11="",'Données projet'!C11="",'Données projet'!C11=0%),0,SUM(Calculateur!$BL$3:$BL$33)*VLOOKUP('Données projet'!$B$11,Paramètres!$A$1:$I$89,9,0)*B8)</f>
        <v>0</v>
      </c>
      <c r="K8" s="150">
        <f>J8*(100%-'Données projet'!$C$24)*(100%-'Données projet'!$C$25)*(100%-'Données projet'!$C$26)*(100%-'Données projet'!$C$27)</f>
        <v>0</v>
      </c>
      <c r="L8" s="151">
        <f t="shared" ca="1" si="2"/>
        <v>889.29285878011069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2" t="str">
        <f>IF('Données projet'!$B$12="","",'Données projet'!$B$12)</f>
        <v>Chêne pubescent</v>
      </c>
      <c r="B9" s="153">
        <f>'Données projet'!D12</f>
        <v>0.56832300000000002</v>
      </c>
      <c r="C9" s="146">
        <f ca="1">IF(OR('Données projet'!B12="",'Données projet'!C12="",'Données projet'!C12=0%),0,Calculateur!CD3)</f>
        <v>312.29056285877169</v>
      </c>
      <c r="D9" s="146">
        <f>IF(OR('Données projet'!B12="",'Données projet'!C12="",'Données projet'!C12=0%),0,Calculateur!CE3)</f>
        <v>233.85454224241693</v>
      </c>
      <c r="E9" s="146">
        <f t="shared" ca="1" si="0"/>
        <v>233.85454224241693</v>
      </c>
      <c r="F9" s="146">
        <f t="shared" ca="1" si="1"/>
        <v>132.90491501083713</v>
      </c>
      <c r="G9" s="146">
        <f ca="1">F9*(100%-'Données projet'!$C$24)*(100%-'Données projet'!$C$25)*(100%-'Données projet'!$C$26)*(100%-'Données projet'!$C$27)</f>
        <v>101.6722599832904</v>
      </c>
      <c r="H9" s="154">
        <f>IF(OR('Données projet'!B12="",'Données projet'!C12="",'Données projet'!C12=0%),0,AVERAGE(Calculateur!$CN$3:$CN$33)*B9)</f>
        <v>0</v>
      </c>
      <c r="I9" s="148">
        <f>H9*(100%-'Données projet'!$C$24)*(100%-'Données projet'!$C$25)*(100%-'Données projet'!$C$26)*(100%-'Données projet'!$C$27)</f>
        <v>0</v>
      </c>
      <c r="J9" s="149">
        <f>IF(OR('Données projet'!B12="",'Données projet'!C12="",'Données projet'!C12=0%),0,SUM(Calculateur!$CG$3:$CG$33)*VLOOKUP('Données projet'!$B$12,Paramètres!$A$1:$I$89,9,0)*B9)</f>
        <v>0</v>
      </c>
      <c r="K9" s="150">
        <f>J9*(100%-'Données projet'!$C$24)*(100%-'Données projet'!$C$25)*(100%-'Données projet'!$C$26)*(100%-'Données projet'!$C$27)</f>
        <v>0</v>
      </c>
      <c r="L9" s="151">
        <f t="shared" ca="1" si="2"/>
        <v>101.6722599832904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2" t="str">
        <f>IF('Données projet'!$B$13="","",'Données projet'!$B$13)</f>
        <v>Chêne vert</v>
      </c>
      <c r="B10" s="153">
        <f>'Données projet'!D13</f>
        <v>0.19530000000000003</v>
      </c>
      <c r="C10" s="146">
        <f ca="1">IF(OR('Données projet'!B13="",'Données projet'!C13="",'Données projet'!C13=0%),0,Calculateur!CY3)</f>
        <v>292.22737648725354</v>
      </c>
      <c r="D10" s="146">
        <f>IF(OR('Données projet'!B13="",'Données projet'!C13="",'Données projet'!C13=0%),0,Calculateur!CZ3)</f>
        <v>182.84038581199871</v>
      </c>
      <c r="E10" s="146">
        <f t="shared" ca="1" si="0"/>
        <v>182.84038581199871</v>
      </c>
      <c r="F10" s="146">
        <f t="shared" ca="1" si="1"/>
        <v>35.708727349083354</v>
      </c>
      <c r="G10" s="146">
        <f ca="1">F10*(100%-'Données projet'!$C$24)*(100%-'Données projet'!$C$25)*(100%-'Données projet'!$C$26)*(100%-'Données projet'!$C$27)</f>
        <v>27.317176422048764</v>
      </c>
      <c r="H10" s="154">
        <f>IF(OR('Données projet'!B13="",'Données projet'!C13="",'Données projet'!C13=0%),0,AVERAGE(Calculateur!$DI$3:$DI$33)*B10)</f>
        <v>0</v>
      </c>
      <c r="I10" s="148">
        <f>H10*(100%-'Données projet'!$C$24)*(100%-'Données projet'!$C$25)*(100%-'Données projet'!$C$26)*(100%-'Données projet'!$C$27)</f>
        <v>0</v>
      </c>
      <c r="J10" s="149">
        <f>IF(OR('Données projet'!B13="",'Données projet'!C13="",'Données projet'!C13=0%),0,SUM(Calculateur!$DB$3:$DB$33)*VLOOKUP('Données projet'!$B$13,Paramètres!$A$1:$I$89,9,0)*B10)</f>
        <v>0</v>
      </c>
      <c r="K10" s="150">
        <f>J10*(100%-'Données projet'!$C$24)*(100%-'Données projet'!$C$25)*(100%-'Données projet'!$C$26)*(100%-'Données projet'!$C$27)</f>
        <v>0</v>
      </c>
      <c r="L10" s="151">
        <f t="shared" ca="1" si="2"/>
        <v>27.317176422048764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2" t="str">
        <f>IF('Données projet'!$B$14="","",'Données projet'!$B$14)</f>
        <v>Chêne-liège</v>
      </c>
      <c r="B11" s="153">
        <f>'Données projet'!D14</f>
        <v>0.28318500000000002</v>
      </c>
      <c r="C11" s="146">
        <f ca="1">IF(OR('Données projet'!B14="",'Données projet'!C14="",'Données projet'!C14=0%),0,Calculateur!DT3)</f>
        <v>276.52126514622455</v>
      </c>
      <c r="D11" s="146">
        <f>IF(OR('Données projet'!B14="",'Données projet'!C14="",'Données projet'!C14=0%),0,Calculateur!DU3)</f>
        <v>173.98404849503186</v>
      </c>
      <c r="E11" s="146">
        <f t="shared" ca="1" si="0"/>
        <v>173.98404849503186</v>
      </c>
      <c r="F11" s="146">
        <f t="shared" ca="1" si="1"/>
        <v>49.269672773065601</v>
      </c>
      <c r="G11" s="146">
        <f ca="1">F11*(100%-'Données projet'!$C$24)*(100%-'Données projet'!$C$25)*(100%-'Données projet'!$C$26)*(100%-'Données projet'!$C$27)</f>
        <v>37.691299671395186</v>
      </c>
      <c r="H11" s="154">
        <f>IF(OR('Données projet'!B14="",'Données projet'!C14="",'Données projet'!C14=0%),0,AVERAGE(Calculateur!$ED$3:$ED$33)*B11)</f>
        <v>0</v>
      </c>
      <c r="I11" s="148">
        <f>H11*(100%-'Données projet'!$C$24)*(100%-'Données projet'!$C$25)*(100%-'Données projet'!$C$26)*(100%-'Données projet'!$C$27)</f>
        <v>0</v>
      </c>
      <c r="J11" s="149">
        <f>IF(OR('Données projet'!B14="",'Données projet'!C14="",'Données projet'!C14=0%),0,SUM(Calculateur!$DW$3:$DW$33)*VLOOKUP('Données projet'!$B$14,Paramètres!$A$1:$I$89,9,0)*B11)</f>
        <v>0</v>
      </c>
      <c r="K11" s="150">
        <f>J11*(100%-'Données projet'!$C$24)*(100%-'Données projet'!$C$25)*(100%-'Données projet'!$C$26)*(100%-'Données projet'!$C$27)</f>
        <v>0</v>
      </c>
      <c r="L11" s="151">
        <f t="shared" ca="1" si="2"/>
        <v>37.691299671395186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2" t="str">
        <f>IF('Données projet'!$B$15="","",'Données projet'!$B$15)</f>
        <v>Alisier torminal</v>
      </c>
      <c r="B12" s="153">
        <f>'Données projet'!D15</f>
        <v>0.56832300000000002</v>
      </c>
      <c r="C12" s="146">
        <f ca="1">IF(OR('Données projet'!B15="",'Données projet'!C15="",'Données projet'!C15=0%),0,Calculateur!EO3)</f>
        <v>234.56750794375012</v>
      </c>
      <c r="D12" s="146">
        <f>IF(OR('Données projet'!B15="",'Données projet'!C15="",'Données projet'!C15=0%),0,Calculateur!EP3)</f>
        <v>150.32420541314724</v>
      </c>
      <c r="E12" s="146">
        <f t="shared" ca="1" si="0"/>
        <v>150.32420541314724</v>
      </c>
      <c r="F12" s="146">
        <f t="shared" ca="1" si="1"/>
        <v>85.432703393016084</v>
      </c>
      <c r="G12" s="146">
        <f ca="1">F12*(100%-'Données projet'!$C$24)*(100%-'Données projet'!$C$25)*(100%-'Données projet'!$C$26)*(100%-'Données projet'!$C$27)</f>
        <v>65.356018095657305</v>
      </c>
      <c r="H12" s="154">
        <f>IF(OR('Données projet'!B15="",'Données projet'!C15="",'Données projet'!C15=0%),0,AVERAGE(Calculateur!$EY$3:$EY$33)*B12)</f>
        <v>0</v>
      </c>
      <c r="I12" s="148">
        <f>H12*(100%-'Données projet'!$C$24)*(100%-'Données projet'!$C$25)*(100%-'Données projet'!$C$26)*(100%-'Données projet'!$C$27)</f>
        <v>0</v>
      </c>
      <c r="J12" s="149">
        <f>IF(OR('Données projet'!B15="",'Données projet'!C15="",'Données projet'!C15=0%),0,SUM(Calculateur!$ER$3:$ER$33)*VLOOKUP('Données projet'!$B$15,Paramètres!$A$1:$I$89,9,0)*B12)</f>
        <v>0</v>
      </c>
      <c r="K12" s="150">
        <f>J12*(100%-'Données projet'!$C$24)*(100%-'Données projet'!$C$25)*(100%-'Données projet'!$C$26)*(100%-'Données projet'!$C$27)</f>
        <v>0</v>
      </c>
      <c r="L12" s="151">
        <f t="shared" ca="1" si="2"/>
        <v>65.356018095657305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2" t="str">
        <f>IF('Données projet'!$B$16="","",'Données projet'!$B$16)</f>
        <v/>
      </c>
      <c r="B13" s="153">
        <f>'Données projet'!D16</f>
        <v>0</v>
      </c>
      <c r="C13" s="146">
        <f>IF(OR('Données projet'!B16="",'Données projet'!C16="",'Données projet'!C16=0%),0,Calculateur!FJ3)</f>
        <v>0</v>
      </c>
      <c r="D13" s="146">
        <f>IF(OR('Données projet'!B16="",'Données projet'!C16="",'Données projet'!C16=0%),0,Calculateur!FK3)</f>
        <v>0</v>
      </c>
      <c r="E13" s="146">
        <f t="shared" si="0"/>
        <v>0</v>
      </c>
      <c r="F13" s="146">
        <f t="shared" si="1"/>
        <v>0</v>
      </c>
      <c r="G13" s="146">
        <f>F13*(100%-'Données projet'!$C$24)*(100%-'Données projet'!$C$25)*(100%-'Données projet'!$C$26)*(100%-'Données projet'!$C$27)</f>
        <v>0</v>
      </c>
      <c r="H13" s="154">
        <f>IF(OR('Données projet'!B16="",'Données projet'!C16="",'Données projet'!C16=0%),0,AVERAGE(Calculateur!$FT$3:$FT$33)*B13)</f>
        <v>0</v>
      </c>
      <c r="I13" s="148">
        <f>H13*(100%-'Données projet'!$C$24)*(100%-'Données projet'!$C$25)*(100%-'Données projet'!$C$26)*(100%-'Données projet'!$C$27)</f>
        <v>0</v>
      </c>
      <c r="J13" s="149">
        <f>IF(OR('Données projet'!C16="",'Données projet'!C16=0%),0,SUM(Calculateur!$FM$3:$FM$33)*VLOOKUP('Données projet'!$B$16,Paramètres!$A$1:$I$89,9,0)*B13)</f>
        <v>0</v>
      </c>
      <c r="K13" s="150">
        <f>J13*(100%-'Données projet'!$C$24)*(100%-'Données projet'!$C$25)*(100%-'Données projet'!$C$26)*(100%-'Données projet'!$C$27)</f>
        <v>0</v>
      </c>
      <c r="L13" s="151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2" t="str">
        <f>IF('Données projet'!$B$17="","",'Données projet'!$B$17)</f>
        <v/>
      </c>
      <c r="B14" s="153">
        <f>'Données projet'!D17</f>
        <v>0</v>
      </c>
      <c r="C14" s="146">
        <f>IF(OR('Données projet'!B17="",'Données projet'!C17="",'Données projet'!C17=0%),0,Calculateur!GE3)</f>
        <v>0</v>
      </c>
      <c r="D14" s="146">
        <f>IF(OR('Données projet'!B17="",'Données projet'!C17="",'Données projet'!C17=0%),0,Calculateur!GF3)</f>
        <v>0</v>
      </c>
      <c r="E14" s="146">
        <f t="shared" si="0"/>
        <v>0</v>
      </c>
      <c r="F14" s="146">
        <f t="shared" si="1"/>
        <v>0</v>
      </c>
      <c r="G14" s="146">
        <f>F14*(100%-'Données projet'!$C$24)*(100%-'Données projet'!$C$25)*(100%-'Données projet'!$C$26)*(100%-'Données projet'!$C$27)</f>
        <v>0</v>
      </c>
      <c r="H14" s="154">
        <f>IF(OR('Données projet'!B17="",'Données projet'!C17="",'Données projet'!C17=0%),0,AVERAGE(Calculateur!$GO$3:$GO$33)*B14)</f>
        <v>0</v>
      </c>
      <c r="I14" s="148">
        <f>H14*(100%-'Données projet'!$C$24)*(100%-'Données projet'!$C$25)*(100%-'Données projet'!$C$26)*(100%-'Données projet'!$C$27)</f>
        <v>0</v>
      </c>
      <c r="J14" s="149">
        <f>IF(OR('Données projet'!B17="",'Données projet'!C17="",'Données projet'!C17=0%),0,SUM(Calculateur!$GH$3:$GH$33)*VLOOKUP('Données projet'!$B$17,Paramètres!$A$1:$I$89,9,0)*B14)</f>
        <v>0</v>
      </c>
      <c r="K14" s="150">
        <f>J14*(100%-'Données projet'!$C$24)*(100%-'Données projet'!$C$25)*(100%-'Données projet'!$C$26)*(100%-'Données projet'!$C$27)</f>
        <v>0</v>
      </c>
      <c r="L14" s="151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5" t="str">
        <f>IF('Données projet'!B18="","",'Données projet'!B18)</f>
        <v/>
      </c>
      <c r="B15" s="156">
        <f>'Données projet'!D18</f>
        <v>0</v>
      </c>
      <c r="C15" s="157">
        <f>IF(OR('Données projet'!B18="",'Données projet'!C18="",'Données projet'!C18=0%),0,Calculateur!GZ3)</f>
        <v>0</v>
      </c>
      <c r="D15" s="157">
        <f>IF(OR('Données projet'!B18="",'Données projet'!C18="",'Données projet'!C18=0%),0,Calculateur!HA3)</f>
        <v>0</v>
      </c>
      <c r="E15" s="157">
        <f t="shared" si="0"/>
        <v>0</v>
      </c>
      <c r="F15" s="158">
        <f t="shared" si="1"/>
        <v>0</v>
      </c>
      <c r="G15" s="158">
        <f>F15*(100%-'Données projet'!$C$24)*(100%-'Données projet'!$C$25)*(100%-'Données projet'!$C$26)*(100%-'Données projet'!$C$27)</f>
        <v>0</v>
      </c>
      <c r="H15" s="159">
        <f>IF(OR('Données projet'!B18="",'Données projet'!C18="",'Données projet'!C18=0%),0,AVERAGE(Calculateur!$HJ$3:$HJ$33)*B15)</f>
        <v>0</v>
      </c>
      <c r="I15" s="160">
        <f>H15*(100%-'Données projet'!$C$24)*(100%-'Données projet'!$C$25)*(100%-'Données projet'!$C$26)*(100%-'Données projet'!$C$27)</f>
        <v>0</v>
      </c>
      <c r="J15" s="161">
        <f>IF(OR('Données projet'!B18="",'Données projet'!C18="",'Données projet'!C18=0%),0,SUM(Calculateur!$HC$3:$HC$33)*VLOOKUP('Données projet'!$B$18,Paramètres!$A$1:$I$89,9,0)*B15)</f>
        <v>0</v>
      </c>
      <c r="K15" s="162">
        <f>J15*(100%-'Données projet'!$C$24)*(100%-'Données projet'!$C$25)*(100%-'Données projet'!$C$26)*(100%-'Données projet'!$C$27)</f>
        <v>0</v>
      </c>
      <c r="L15" s="163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8"/>
      <c r="B16" s="212"/>
      <c r="C16" s="213"/>
      <c r="D16" s="23"/>
      <c r="E16" s="23"/>
      <c r="F16" s="164">
        <f t="shared" ref="F16:L16" ca="1" si="3">SUM(F6:F15)</f>
        <v>3942.1271223112453</v>
      </c>
      <c r="G16" s="165">
        <f t="shared" ca="1" si="3"/>
        <v>3015.7272485681028</v>
      </c>
      <c r="H16" s="166">
        <f t="shared" si="3"/>
        <v>26.035194232376075</v>
      </c>
      <c r="I16" s="166">
        <f t="shared" si="3"/>
        <v>19.916923587767698</v>
      </c>
      <c r="J16" s="167">
        <f t="shared" si="3"/>
        <v>191.90622683076924</v>
      </c>
      <c r="K16" s="167">
        <f t="shared" si="3"/>
        <v>146.80826352553848</v>
      </c>
      <c r="L16" s="168">
        <f t="shared" ca="1" si="3"/>
        <v>3182.452435681409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8"/>
      <c r="B17" s="212"/>
      <c r="C17" s="213"/>
      <c r="D17" s="23"/>
      <c r="E17" s="23"/>
      <c r="F17" s="302" t="s">
        <v>246</v>
      </c>
      <c r="G17" s="303"/>
      <c r="H17" s="303"/>
      <c r="I17" s="303"/>
      <c r="J17" s="303"/>
      <c r="K17" s="303"/>
      <c r="L17" s="30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8"/>
      <c r="B18" s="212"/>
      <c r="C18" s="213"/>
      <c r="D18" s="23"/>
      <c r="E18" s="23"/>
      <c r="F18" s="289"/>
      <c r="G18" s="289"/>
      <c r="H18" s="289"/>
      <c r="I18" s="289"/>
      <c r="J18" s="289"/>
      <c r="K18" s="289"/>
      <c r="L18" s="28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9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9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9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9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9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9" t="str">
        <f>A11</f>
        <v>Chêne-liège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9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9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9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9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S1" zoomScale="80" zoomScaleNormal="80" workbookViewId="0">
      <selection activeCell="U36" sqref="U3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90" t="s">
        <v>272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6" t="s">
        <v>315</v>
      </c>
      <c r="I4" s="276"/>
      <c r="K4" s="318" t="s">
        <v>253</v>
      </c>
      <c r="L4" s="319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1"/>
      <c r="I6" s="171"/>
      <c r="J6" s="17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310" t="s">
        <v>310</v>
      </c>
      <c r="S7" s="311"/>
      <c r="T7" s="311"/>
      <c r="U7" s="311"/>
      <c r="V7" s="31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2" t="s">
        <v>311</v>
      </c>
      <c r="C9" s="23"/>
      <c r="D9" s="23"/>
      <c r="E9" s="23"/>
      <c r="F9" s="229"/>
      <c r="G9" s="92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5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2" t="s">
        <v>317</v>
      </c>
      <c r="C10" s="23"/>
      <c r="D10" s="23"/>
      <c r="E10" s="23"/>
      <c r="F10" s="229"/>
      <c r="G10" s="92" t="s">
        <v>316</v>
      </c>
      <c r="J10" s="199"/>
      <c r="K10" s="207"/>
      <c r="O10" s="23"/>
      <c r="P10" s="23"/>
      <c r="Q10" s="233"/>
      <c r="R10" s="23"/>
      <c r="S10" s="36" t="str">
        <f>B14</f>
        <v>Cèdre de l'Atlas</v>
      </c>
      <c r="T10" s="17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1404.1812227777784</v>
      </c>
      <c r="U10" s="177">
        <f>'Données projet'!D9</f>
        <v>9.1791</v>
      </c>
      <c r="V10" s="176">
        <f>U10*T10</f>
        <v>12889.119861999507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2" t="s">
        <v>312</v>
      </c>
      <c r="B11" s="23"/>
      <c r="C11" s="23"/>
      <c r="D11" s="23"/>
      <c r="E11" s="23"/>
      <c r="F11" s="229"/>
      <c r="G11" s="92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Pin laricio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1217.599080020394</v>
      </c>
      <c r="U11" s="177">
        <f>'Données projet'!D10</f>
        <v>3.1248000000000005</v>
      </c>
      <c r="V11" s="176">
        <f t="shared" ref="V11" si="0">U11*T11</f>
        <v>3804.7536052477276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Chêne sessile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1605.1838212450095</v>
      </c>
      <c r="U12" s="177">
        <f>'Données projet'!D11</f>
        <v>5.6636999999999995</v>
      </c>
      <c r="V12" s="176">
        <f t="shared" ref="V12:V19" si="1">U12*T12</f>
        <v>9091.2796083853591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9"/>
      <c r="J13" s="23"/>
      <c r="K13" s="207"/>
      <c r="L13" s="92" t="s">
        <v>257</v>
      </c>
      <c r="M13" s="23"/>
      <c r="N13" s="23"/>
      <c r="O13" s="23"/>
      <c r="P13" s="23"/>
      <c r="Q13" s="233"/>
      <c r="R13" s="23"/>
      <c r="S13" s="36" t="str">
        <f>B107</f>
        <v>Chêne pubescent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1645.2338235710599</v>
      </c>
      <c r="U13" s="177">
        <f>'Données projet'!D12</f>
        <v>0.56832300000000002</v>
      </c>
      <c r="V13" s="176">
        <f t="shared" si="1"/>
        <v>935.0242223133755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3" t="str">
        <f>IF('Données projet'!$B$9="","",'Données projet'!$B$9)</f>
        <v>Cèdre de l'Atlas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2"/>
      <c r="L14" s="201"/>
      <c r="M14" s="23"/>
      <c r="N14" s="23"/>
      <c r="O14" s="4"/>
      <c r="P14" s="4"/>
      <c r="Q14" s="234"/>
      <c r="R14" s="4"/>
      <c r="S14" s="36" t="str">
        <f>B138</f>
        <v>Chêne vert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668.28913381888822</v>
      </c>
      <c r="U14" s="177">
        <f>'Données projet'!D13</f>
        <v>0.19530000000000003</v>
      </c>
      <c r="V14" s="176">
        <f t="shared" si="1"/>
        <v>130.5168678348289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9"/>
      <c r="G15" s="321" t="s">
        <v>318</v>
      </c>
      <c r="H15" s="189">
        <v>1</v>
      </c>
      <c r="I15" s="190">
        <v>2882</v>
      </c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Chêne-liège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960.45820245885056</v>
      </c>
      <c r="U15" s="177">
        <f>'Données projet'!D14</f>
        <v>0.28318500000000002</v>
      </c>
      <c r="V15" s="176">
        <f t="shared" si="1"/>
        <v>271.98735606330962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21"/>
      <c r="H16" s="189"/>
      <c r="I16" s="190"/>
      <c r="J16" s="201"/>
      <c r="K16" s="207"/>
      <c r="L16" s="318" t="s">
        <v>254</v>
      </c>
      <c r="M16" s="319"/>
      <c r="N16" s="2">
        <v>20</v>
      </c>
      <c r="O16" s="23"/>
      <c r="P16" s="23"/>
      <c r="Q16" s="233"/>
      <c r="R16" s="23"/>
      <c r="S16" s="36" t="str">
        <f>B200</f>
        <v>Alisier torminal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321.31411637002918</v>
      </c>
      <c r="U16" s="177">
        <f>'Données projet'!D15</f>
        <v>0.56832300000000002</v>
      </c>
      <c r="V16" s="176">
        <f t="shared" si="1"/>
        <v>182.6102025577641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8" t="s">
        <v>132</v>
      </c>
      <c r="C17" s="197" t="s">
        <v>132</v>
      </c>
      <c r="D17" s="196" t="s">
        <v>132</v>
      </c>
      <c r="E17" s="192"/>
      <c r="F17" s="229"/>
      <c r="G17" s="321"/>
      <c r="J17" s="201"/>
      <c r="K17" s="207"/>
      <c r="L17" s="278" t="s">
        <v>289</v>
      </c>
      <c r="M17" s="280"/>
      <c r="N17" s="174">
        <f>VLOOKUP(N16,Calculateur!$A$2:$H$153,3,0)/VLOOKUP('Scénario référence'!$G$15,Paramètres!A1:I89,3,0)/VLOOKUP('Scénario référence'!$G$15,Paramètres!A1:I89,5,0)</f>
        <v>20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7">
        <f>'Données projet'!D16</f>
        <v>0</v>
      </c>
      <c r="V17" s="176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8" t="s">
        <v>132</v>
      </c>
      <c r="C18" s="197" t="s">
        <v>132</v>
      </c>
      <c r="D18" s="196" t="s">
        <v>132</v>
      </c>
      <c r="E18" s="192"/>
      <c r="F18" s="229"/>
      <c r="G18" s="321"/>
      <c r="J18" s="201"/>
      <c r="K18" s="207"/>
      <c r="L18" s="278" t="s">
        <v>255</v>
      </c>
      <c r="M18" s="280"/>
      <c r="N18" s="191">
        <v>20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7">
        <f>'Données projet'!D17</f>
        <v>0</v>
      </c>
      <c r="V18" s="176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8" t="s">
        <v>132</v>
      </c>
      <c r="C19" s="197" t="s">
        <v>132</v>
      </c>
      <c r="D19" s="196" t="s">
        <v>132</v>
      </c>
      <c r="E19" s="192"/>
      <c r="F19" s="229"/>
      <c r="G19" s="321"/>
      <c r="H19" s="211" t="s">
        <v>178</v>
      </c>
      <c r="I19" s="211" t="s">
        <v>287</v>
      </c>
      <c r="J19" s="92"/>
      <c r="K19" s="172"/>
      <c r="L19" s="318" t="s">
        <v>288</v>
      </c>
      <c r="M19" s="319"/>
      <c r="N19" s="178">
        <f>N17*N18</f>
        <v>400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7">
        <f>'Données projet'!D18</f>
        <v>0</v>
      </c>
      <c r="V19" s="176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8" t="s">
        <v>132</v>
      </c>
      <c r="C20" s="197" t="s">
        <v>132</v>
      </c>
      <c r="D20" s="196" t="s">
        <v>132</v>
      </c>
      <c r="E20" s="192"/>
      <c r="F20" s="229"/>
      <c r="G20" s="321"/>
      <c r="H20" s="189">
        <v>1</v>
      </c>
      <c r="I20" s="190">
        <v>9710</v>
      </c>
      <c r="J20" s="4"/>
      <c r="K20" s="172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8" t="s">
        <v>132</v>
      </c>
      <c r="C21" s="197" t="s">
        <v>132</v>
      </c>
      <c r="D21" s="196" t="s">
        <v>132</v>
      </c>
      <c r="E21" s="192"/>
      <c r="F21" s="229"/>
      <c r="H21" s="189"/>
      <c r="I21" s="190"/>
      <c r="K21" s="172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8" t="s">
        <v>132</v>
      </c>
      <c r="C22" s="197" t="s">
        <v>132</v>
      </c>
      <c r="D22" s="196" t="s">
        <v>132</v>
      </c>
      <c r="E22" s="192"/>
      <c r="F22" s="229"/>
      <c r="H22" s="189"/>
      <c r="I22" s="190"/>
      <c r="K22" s="172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9">
        <f>'Données projet'!A36</f>
        <v>30</v>
      </c>
      <c r="B23" s="180">
        <f>'Données projet'!D36</f>
        <v>0</v>
      </c>
      <c r="C23" s="273"/>
      <c r="D23" s="181">
        <f>B23*C23</f>
        <v>0</v>
      </c>
      <c r="E23" s="192"/>
      <c r="F23" s="229"/>
      <c r="H23" s="189"/>
      <c r="I23" s="190"/>
      <c r="K23" s="207"/>
      <c r="L23" s="320" t="s">
        <v>260</v>
      </c>
      <c r="M23" s="320"/>
      <c r="N23" s="320"/>
      <c r="O23" s="23"/>
      <c r="P23" s="23"/>
      <c r="Q23" s="233"/>
      <c r="R23" s="23"/>
      <c r="S23" s="36" t="s">
        <v>264</v>
      </c>
      <c r="T23" s="31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-100303.16760574168</v>
      </c>
      <c r="U23" s="315"/>
      <c r="V23" s="31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9">
        <f>'Données projet'!A37</f>
        <v>42</v>
      </c>
      <c r="B24" s="180">
        <f>'Données projet'!D37</f>
        <v>179.84615384615384</v>
      </c>
      <c r="C24" s="274">
        <v>10</v>
      </c>
      <c r="D24" s="181">
        <f t="shared" ref="D24:D42" si="2">B24*C24</f>
        <v>1798.4615384615383</v>
      </c>
      <c r="E24" s="192">
        <v>150</v>
      </c>
      <c r="F24" s="232"/>
      <c r="H24" s="189"/>
      <c r="I24" s="190"/>
      <c r="K24" s="207"/>
      <c r="O24" s="23"/>
      <c r="P24" s="23"/>
      <c r="Q24" s="233"/>
      <c r="R24" s="23"/>
      <c r="S24" s="36" t="s">
        <v>261</v>
      </c>
      <c r="T24" s="316">
        <f ca="1">'Scénario référence'!$B$8*$M$30*'Données projet'!$C$5+('Scénario référence'!B9+'Scénario référence'!B10+'Scénario référence'!F8+'Scénario référence'!F9)*$N$19/(1+M4)^N16*'Données projet'!$C$5</f>
        <v>3239.1900198559747</v>
      </c>
      <c r="U24" s="316"/>
      <c r="V24" s="31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9">
        <f>'Données projet'!A38</f>
        <v>49</v>
      </c>
      <c r="B25" s="180">
        <f>'Données projet'!D38</f>
        <v>94.476923076923072</v>
      </c>
      <c r="C25" s="274">
        <v>18</v>
      </c>
      <c r="D25" s="181">
        <f t="shared" si="2"/>
        <v>1700.5846153846153</v>
      </c>
      <c r="E25" s="192">
        <v>150</v>
      </c>
      <c r="F25" s="232"/>
      <c r="H25" s="189"/>
      <c r="I25" s="190"/>
      <c r="K25" s="207"/>
      <c r="L25" s="129" t="s">
        <v>285</v>
      </c>
      <c r="M25" s="129"/>
      <c r="N25" s="129"/>
      <c r="O25" s="129"/>
      <c r="P25" s="191"/>
      <c r="Q25" s="233"/>
      <c r="R25" s="23"/>
      <c r="S25" s="185" t="s">
        <v>266</v>
      </c>
      <c r="T25" s="317">
        <f ca="1">T23-T24</f>
        <v>-103542.35762559765</v>
      </c>
      <c r="U25" s="317"/>
      <c r="V25" s="31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9">
        <f>'Données projet'!A39</f>
        <v>56</v>
      </c>
      <c r="B26" s="180">
        <f>'Données projet'!D39</f>
        <v>72.769230769230759</v>
      </c>
      <c r="C26" s="274">
        <v>25</v>
      </c>
      <c r="D26" s="181">
        <f t="shared" si="2"/>
        <v>1819.2307692307691</v>
      </c>
      <c r="E26" s="192">
        <v>150</v>
      </c>
      <c r="F26" s="232"/>
      <c r="G26" s="228"/>
      <c r="H26" s="189"/>
      <c r="I26" s="190"/>
      <c r="K26" s="207"/>
      <c r="L26" s="304" t="s">
        <v>258</v>
      </c>
      <c r="M26" s="305"/>
      <c r="N26" s="305"/>
      <c r="O26" s="305"/>
      <c r="P26" s="306"/>
      <c r="Q26" s="233"/>
      <c r="R26" s="23"/>
      <c r="S26" s="185" t="s">
        <v>265</v>
      </c>
      <c r="T26" s="314" t="str">
        <f ca="1">IF(T25&lt;0,"Votre projet est additionnel","Votre projet n'est pas additionnel")</f>
        <v>Votre projet est additionnel</v>
      </c>
      <c r="U26" s="314"/>
      <c r="V26" s="31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9">
        <f>'Données projet'!A40</f>
        <v>63</v>
      </c>
      <c r="B27" s="180">
        <f>'Données projet'!D40</f>
        <v>71.123076923076923</v>
      </c>
      <c r="C27" s="274">
        <v>35</v>
      </c>
      <c r="D27" s="181">
        <f t="shared" si="2"/>
        <v>2489.3076923076924</v>
      </c>
      <c r="E27" s="192">
        <v>150</v>
      </c>
      <c r="F27" s="232"/>
      <c r="G27" s="228"/>
      <c r="H27" s="189"/>
      <c r="I27" s="190"/>
      <c r="K27" s="207"/>
      <c r="L27" s="307"/>
      <c r="M27" s="308"/>
      <c r="N27" s="308"/>
      <c r="O27" s="308"/>
      <c r="P27" s="309"/>
      <c r="Q27" s="233"/>
      <c r="R27" s="23"/>
      <c r="S27" s="313" t="s">
        <v>267</v>
      </c>
      <c r="T27" s="313"/>
      <c r="U27" s="313"/>
      <c r="V27" s="31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9">
        <f>'Données projet'!A41</f>
        <v>71</v>
      </c>
      <c r="B28" s="180">
        <f>'Données projet'!D41</f>
        <v>80.399999999999991</v>
      </c>
      <c r="C28" s="274">
        <v>40</v>
      </c>
      <c r="D28" s="181">
        <f t="shared" si="2"/>
        <v>3215.9999999999995</v>
      </c>
      <c r="E28" s="192">
        <v>150</v>
      </c>
      <c r="F28" s="232"/>
      <c r="G28" s="204"/>
      <c r="H28" s="189"/>
      <c r="I28" s="190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9">
        <f>'Données projet'!A42</f>
        <v>79</v>
      </c>
      <c r="B29" s="180">
        <f>'Données projet'!D42</f>
        <v>77.338461538461544</v>
      </c>
      <c r="C29" s="274">
        <v>45</v>
      </c>
      <c r="D29" s="181">
        <f t="shared" si="2"/>
        <v>3480.2307692307695</v>
      </c>
      <c r="E29" s="192">
        <v>150</v>
      </c>
      <c r="F29" s="232"/>
      <c r="G29" s="202"/>
      <c r="H29" s="189"/>
      <c r="I29" s="190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9">
        <f>'Données projet'!A43</f>
        <v>87</v>
      </c>
      <c r="B30" s="180">
        <f>'Données projet'!D43</f>
        <v>77.330769230769235</v>
      </c>
      <c r="C30" s="274">
        <v>45</v>
      </c>
      <c r="D30" s="181">
        <f t="shared" si="2"/>
        <v>3479.8846153846157</v>
      </c>
      <c r="E30" s="192">
        <v>150</v>
      </c>
      <c r="F30" s="232"/>
      <c r="G30" s="202"/>
      <c r="H30" s="189"/>
      <c r="I30" s="190"/>
      <c r="K30" s="182"/>
      <c r="L30" s="36" t="s">
        <v>259</v>
      </c>
      <c r="M30" s="183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9">
        <f>'Données projet'!A44</f>
        <v>95</v>
      </c>
      <c r="B31" s="180">
        <f>'Données projet'!D44</f>
        <v>234.42307692307691</v>
      </c>
      <c r="C31" s="274">
        <v>56</v>
      </c>
      <c r="D31" s="181">
        <f t="shared" si="2"/>
        <v>13127.692307692307</v>
      </c>
      <c r="E31" s="192">
        <v>150</v>
      </c>
      <c r="F31" s="232"/>
      <c r="G31" s="202"/>
      <c r="H31" s="189"/>
      <c r="I31" s="190"/>
      <c r="K31" s="172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9">
        <f>'Données projet'!A45</f>
        <v>105</v>
      </c>
      <c r="B32" s="180">
        <f>'Données projet'!D45</f>
        <v>309.71538461538461</v>
      </c>
      <c r="C32" s="192">
        <v>56</v>
      </c>
      <c r="D32" s="181">
        <f t="shared" si="2"/>
        <v>17344.061538461538</v>
      </c>
      <c r="E32" s="192">
        <v>150</v>
      </c>
      <c r="F32" s="232"/>
      <c r="G32" s="202"/>
      <c r="H32" s="189"/>
      <c r="I32" s="190"/>
      <c r="K32" s="172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9">
        <f>'Données projet'!A46</f>
        <v>0</v>
      </c>
      <c r="B33" s="180">
        <f>'Données projet'!D46</f>
        <v>0</v>
      </c>
      <c r="C33" s="192"/>
      <c r="D33" s="181">
        <f t="shared" si="2"/>
        <v>0</v>
      </c>
      <c r="E33" s="192"/>
      <c r="F33" s="232"/>
      <c r="G33" s="202"/>
      <c r="H33" s="189"/>
      <c r="I33" s="190"/>
      <c r="K33" s="172"/>
      <c r="L33" s="4"/>
      <c r="M33" s="4"/>
      <c r="N33" s="4"/>
      <c r="O33" s="193">
        <v>0</v>
      </c>
      <c r="P33" s="184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9">
        <f>'Données projet'!A47</f>
        <v>0</v>
      </c>
      <c r="B34" s="180">
        <f>'Données projet'!D47</f>
        <v>0</v>
      </c>
      <c r="C34" s="192"/>
      <c r="D34" s="181">
        <f t="shared" si="2"/>
        <v>0</v>
      </c>
      <c r="E34" s="192"/>
      <c r="F34" s="232"/>
      <c r="G34" s="202"/>
      <c r="H34" s="189"/>
      <c r="I34" s="190"/>
      <c r="K34" s="172"/>
      <c r="L34" s="97"/>
      <c r="M34" s="97"/>
      <c r="N34" s="249"/>
      <c r="O34" s="193">
        <f>IF(O33+1&lt;=MIN('Données projet'!$E$9:$E$18),O33+1,"STOP")</f>
        <v>1</v>
      </c>
      <c r="P34" s="184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9">
        <f>'Données projet'!A48</f>
        <v>0</v>
      </c>
      <c r="B35" s="180">
        <f>'Données projet'!D48</f>
        <v>0</v>
      </c>
      <c r="C35" s="192"/>
      <c r="D35" s="181">
        <f t="shared" si="2"/>
        <v>0</v>
      </c>
      <c r="E35" s="192"/>
      <c r="F35" s="232"/>
      <c r="G35" s="202"/>
      <c r="H35" s="189"/>
      <c r="I35" s="190"/>
      <c r="K35" s="172"/>
      <c r="L35" s="97"/>
      <c r="M35" s="97"/>
      <c r="N35" s="249"/>
      <c r="O35" s="193">
        <f>IF(O34+1&lt;=MIN('Données projet'!$E$9:$E$18),O34+1,"STOP")</f>
        <v>2</v>
      </c>
      <c r="P35" s="184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9">
        <f>'Données projet'!A49</f>
        <v>0</v>
      </c>
      <c r="B36" s="180">
        <f>'Données projet'!D49</f>
        <v>0</v>
      </c>
      <c r="C36" s="192"/>
      <c r="D36" s="181">
        <f t="shared" si="2"/>
        <v>0</v>
      </c>
      <c r="E36" s="192"/>
      <c r="F36" s="232"/>
      <c r="G36" s="202"/>
      <c r="H36" s="189"/>
      <c r="I36" s="190"/>
      <c r="K36" s="172"/>
      <c r="L36" s="23"/>
      <c r="M36" s="23"/>
      <c r="N36" s="23"/>
      <c r="O36" s="193">
        <f>IF(O35+1&lt;=MIN('Données projet'!$E$9:$E$18),O35+1,"STOP")</f>
        <v>3</v>
      </c>
      <c r="P36" s="184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9">
        <f>'Données projet'!A50</f>
        <v>0</v>
      </c>
      <c r="B37" s="180">
        <f>'Données projet'!D50</f>
        <v>0</v>
      </c>
      <c r="C37" s="192"/>
      <c r="D37" s="181">
        <f t="shared" si="2"/>
        <v>0</v>
      </c>
      <c r="E37" s="192"/>
      <c r="F37" s="232"/>
      <c r="G37" s="202"/>
      <c r="H37" s="189"/>
      <c r="I37" s="190"/>
      <c r="K37" s="172"/>
      <c r="L37" s="23"/>
      <c r="M37" s="23"/>
      <c r="N37" s="23"/>
      <c r="O37" s="193">
        <f>IF(O36+1&lt;=MIN('Données projet'!$E$9:$E$18),O36+1,"STOP")</f>
        <v>4</v>
      </c>
      <c r="P37" s="184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9">
        <f>'Données projet'!A51</f>
        <v>0</v>
      </c>
      <c r="B38" s="180">
        <f>'Données projet'!D51</f>
        <v>0</v>
      </c>
      <c r="C38" s="192"/>
      <c r="D38" s="181">
        <f t="shared" si="2"/>
        <v>0</v>
      </c>
      <c r="E38" s="192"/>
      <c r="F38" s="232"/>
      <c r="G38" s="202"/>
      <c r="H38" s="189"/>
      <c r="I38" s="190"/>
      <c r="K38" s="172"/>
      <c r="L38" s="23"/>
      <c r="M38" s="23"/>
      <c r="N38" s="23"/>
      <c r="O38" s="193">
        <f>IF(O37+1&lt;=MIN('Données projet'!$E$9:$E$18),O37+1,"STOP")</f>
        <v>5</v>
      </c>
      <c r="P38" s="184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9">
        <f>'Données projet'!A52</f>
        <v>0</v>
      </c>
      <c r="B39" s="180">
        <f>'Données projet'!D52</f>
        <v>0</v>
      </c>
      <c r="C39" s="192"/>
      <c r="D39" s="181">
        <f t="shared" si="2"/>
        <v>0</v>
      </c>
      <c r="E39" s="192"/>
      <c r="F39" s="232"/>
      <c r="G39" s="202"/>
      <c r="H39" s="189"/>
      <c r="I39" s="190"/>
      <c r="K39" s="207"/>
      <c r="L39" s="23"/>
      <c r="M39" s="23"/>
      <c r="N39" s="23"/>
      <c r="O39" s="193">
        <f>IF(O38+1&lt;=MIN('Données projet'!$E$9:$E$18),O38+1,"STOP")</f>
        <v>6</v>
      </c>
      <c r="P39" s="184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9">
        <f>'Données projet'!A53</f>
        <v>0</v>
      </c>
      <c r="B40" s="180">
        <f>'Données projet'!D53</f>
        <v>0</v>
      </c>
      <c r="C40" s="192"/>
      <c r="D40" s="181">
        <f t="shared" si="2"/>
        <v>0</v>
      </c>
      <c r="E40" s="192"/>
      <c r="F40" s="232"/>
      <c r="G40" s="202"/>
      <c r="H40" s="189"/>
      <c r="I40" s="190"/>
      <c r="K40" s="207"/>
      <c r="L40" s="23"/>
      <c r="M40" s="23"/>
      <c r="N40" s="23"/>
      <c r="O40" s="193">
        <f>IF(O39+1&lt;=MIN('Données projet'!$E$9:$E$18),O39+1,"STOP")</f>
        <v>7</v>
      </c>
      <c r="P40" s="184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9">
        <f>'Données projet'!A54</f>
        <v>0</v>
      </c>
      <c r="B41" s="180">
        <f>'Données projet'!D54</f>
        <v>0</v>
      </c>
      <c r="C41" s="192"/>
      <c r="D41" s="181">
        <f t="shared" si="2"/>
        <v>0</v>
      </c>
      <c r="E41" s="192"/>
      <c r="F41" s="232"/>
      <c r="G41" s="202"/>
      <c r="H41" s="189"/>
      <c r="I41" s="190"/>
      <c r="K41" s="207"/>
      <c r="L41" s="23"/>
      <c r="M41" s="23"/>
      <c r="N41" s="23"/>
      <c r="O41" s="193">
        <f>IF(O40+1&lt;=MIN('Données projet'!$E$9:$E$18),O40+1,"STOP")</f>
        <v>8</v>
      </c>
      <c r="P41" s="184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9">
        <f>'Données projet'!A55</f>
        <v>0</v>
      </c>
      <c r="B42" s="180">
        <f>'Données projet'!D55</f>
        <v>0</v>
      </c>
      <c r="C42" s="192"/>
      <c r="D42" s="181">
        <f t="shared" si="2"/>
        <v>0</v>
      </c>
      <c r="E42" s="192"/>
      <c r="F42" s="232"/>
      <c r="G42" s="202"/>
      <c r="H42" s="189"/>
      <c r="I42" s="190"/>
      <c r="K42" s="207"/>
      <c r="L42" s="23"/>
      <c r="M42" s="23"/>
      <c r="N42" s="23"/>
      <c r="O42" s="193">
        <f>IF(O41+1&lt;=MIN('Données projet'!$E$9:$E$18),O41+1,"STOP")</f>
        <v>9</v>
      </c>
      <c r="P42" s="184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6"/>
      <c r="B43" s="186"/>
      <c r="C43" s="186"/>
      <c r="D43" s="226"/>
      <c r="E43" s="226"/>
      <c r="F43" s="237"/>
      <c r="G43" s="202"/>
      <c r="H43" s="189"/>
      <c r="I43" s="190"/>
      <c r="K43" s="207"/>
      <c r="L43" s="23"/>
      <c r="M43" s="23"/>
      <c r="N43" s="23"/>
      <c r="O43" s="193">
        <f>IF(O42+1&lt;=MIN('Données projet'!$E$9:$E$18),O42+1,"STOP")</f>
        <v>10</v>
      </c>
      <c r="P43" s="184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9"/>
      <c r="G44" s="202"/>
      <c r="H44" s="189"/>
      <c r="I44" s="190"/>
      <c r="K44" s="207"/>
      <c r="L44" s="23"/>
      <c r="M44" s="23"/>
      <c r="N44" s="23"/>
      <c r="O44" s="193">
        <f>IF(O43+1&lt;=MIN('Données projet'!$E$9:$E$18),O43+1,"STOP")</f>
        <v>11</v>
      </c>
      <c r="P44" s="184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3" t="str">
        <f>IF('Données projet'!$B$10="","",'Données projet'!$B$10)</f>
        <v>Pin laricio</v>
      </c>
      <c r="C45" s="4"/>
      <c r="D45" s="4"/>
      <c r="E45" s="4"/>
      <c r="F45" s="229"/>
      <c r="G45" s="202"/>
      <c r="H45" s="189"/>
      <c r="I45" s="190"/>
      <c r="J45" s="23"/>
      <c r="K45" s="207"/>
      <c r="L45" s="23"/>
      <c r="M45" s="23"/>
      <c r="N45" s="23"/>
      <c r="O45" s="193">
        <f>IF(O44+1&lt;=MIN('Données projet'!$E$9:$E$18),O44+1,"STOP")</f>
        <v>12</v>
      </c>
      <c r="P45" s="184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9"/>
      <c r="G46" s="202"/>
      <c r="H46" s="189"/>
      <c r="I46" s="190"/>
      <c r="J46" s="23"/>
      <c r="K46" s="207"/>
      <c r="L46" s="203"/>
      <c r="M46" s="203"/>
      <c r="N46" s="203"/>
      <c r="O46" s="193">
        <f>IF(O45+1&lt;=MIN('Données projet'!$E$9:$E$18),O45+1,"STOP")</f>
        <v>13</v>
      </c>
      <c r="P46" s="187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89"/>
      <c r="I47" s="190"/>
      <c r="J47" s="23"/>
      <c r="K47" s="207"/>
      <c r="L47" s="4"/>
      <c r="M47" s="4"/>
      <c r="N47" s="4"/>
      <c r="O47" s="193">
        <f>IF(O46+1&lt;=MIN('Données projet'!$E$9:$E$18),O46+1,"STOP")</f>
        <v>14</v>
      </c>
      <c r="P47" s="184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8" t="s">
        <v>132</v>
      </c>
      <c r="C48" s="197" t="s">
        <v>132</v>
      </c>
      <c r="D48" s="196" t="s">
        <v>132</v>
      </c>
      <c r="E48" s="192"/>
      <c r="F48" s="230"/>
      <c r="G48" s="202"/>
      <c r="H48" s="189"/>
      <c r="I48" s="190"/>
      <c r="J48" s="23"/>
      <c r="K48" s="207"/>
      <c r="L48" s="4"/>
      <c r="M48" s="4"/>
      <c r="N48" s="4"/>
      <c r="O48" s="193">
        <f>IF(O47+1&lt;=MIN('Données projet'!$E$9:$E$18),O47+1,"STOP")</f>
        <v>15</v>
      </c>
      <c r="P48" s="184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4" customFormat="1" ht="17.25" customHeight="1" x14ac:dyDescent="0.35">
      <c r="A49" s="49">
        <v>1</v>
      </c>
      <c r="B49" s="198" t="s">
        <v>132</v>
      </c>
      <c r="C49" s="197" t="s">
        <v>132</v>
      </c>
      <c r="D49" s="196" t="s">
        <v>132</v>
      </c>
      <c r="E49" s="192"/>
      <c r="F49" s="230"/>
      <c r="G49" s="203"/>
      <c r="H49" s="189"/>
      <c r="I49" s="190"/>
      <c r="J49" s="203"/>
      <c r="K49" s="209"/>
      <c r="L49" s="4"/>
      <c r="M49" s="4"/>
      <c r="N49" s="4"/>
      <c r="O49" s="193">
        <f>IF(O48+1&lt;=MIN('Données projet'!$E$9:$E$18),O48+1,"STOP")</f>
        <v>16</v>
      </c>
      <c r="P49" s="184">
        <f t="shared" si="3"/>
        <v>0</v>
      </c>
      <c r="Q49" s="235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</row>
    <row r="50" spans="1:56" x14ac:dyDescent="0.35">
      <c r="A50" s="49">
        <v>2</v>
      </c>
      <c r="B50" s="198" t="s">
        <v>132</v>
      </c>
      <c r="C50" s="197" t="s">
        <v>132</v>
      </c>
      <c r="D50" s="196" t="s">
        <v>132</v>
      </c>
      <c r="E50" s="192"/>
      <c r="F50" s="230"/>
      <c r="G50" s="23"/>
      <c r="H50" s="189"/>
      <c r="I50" s="190"/>
      <c r="J50" s="23"/>
      <c r="K50" s="172"/>
      <c r="L50" s="4"/>
      <c r="M50" s="4"/>
      <c r="N50" s="4"/>
      <c r="O50" s="193">
        <f>IF(O49+1&lt;=MIN('Données projet'!$E$9:$E$18),O49+1,"STOP")</f>
        <v>17</v>
      </c>
      <c r="P50" s="184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8" t="s">
        <v>132</v>
      </c>
      <c r="C51" s="197" t="s">
        <v>132</v>
      </c>
      <c r="D51" s="196" t="s">
        <v>132</v>
      </c>
      <c r="E51" s="192"/>
      <c r="F51" s="230"/>
      <c r="G51" s="23"/>
      <c r="H51" s="189"/>
      <c r="I51" s="190"/>
      <c r="J51" s="23"/>
      <c r="K51" s="172"/>
      <c r="L51" s="4"/>
      <c r="M51" s="4"/>
      <c r="N51" s="4"/>
      <c r="O51" s="193">
        <f>IF(O50+1&lt;=MIN('Données projet'!$E$9:$E$18),O50+1,"STOP")</f>
        <v>18</v>
      </c>
      <c r="P51" s="184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8" t="s">
        <v>132</v>
      </c>
      <c r="C52" s="197" t="s">
        <v>132</v>
      </c>
      <c r="D52" s="196" t="s">
        <v>132</v>
      </c>
      <c r="E52" s="192"/>
      <c r="F52" s="230"/>
      <c r="G52" s="23"/>
      <c r="H52" s="189"/>
      <c r="I52" s="190"/>
      <c r="J52" s="23"/>
      <c r="K52" s="172"/>
      <c r="L52" s="4"/>
      <c r="M52" s="4"/>
      <c r="N52" s="4"/>
      <c r="O52" s="193">
        <f>IF(O51+1&lt;=MIN('Données projet'!$E$9:$E$18),O51+1,"STOP")</f>
        <v>19</v>
      </c>
      <c r="P52" s="184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8" t="s">
        <v>132</v>
      </c>
      <c r="C53" s="197" t="s">
        <v>132</v>
      </c>
      <c r="D53" s="196" t="s">
        <v>132</v>
      </c>
      <c r="E53" s="192"/>
      <c r="F53" s="230"/>
      <c r="G53" s="204"/>
      <c r="H53" s="189"/>
      <c r="I53" s="190"/>
      <c r="J53" s="23"/>
      <c r="K53" s="172"/>
      <c r="L53" s="4"/>
      <c r="M53" s="4"/>
      <c r="N53" s="4"/>
      <c r="O53" s="193">
        <f>IF(O52+1&lt;=MIN('Données projet'!$E$9:$E$18),O52+1,"STOP")</f>
        <v>20</v>
      </c>
      <c r="P53" s="184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9">
        <f>'Données projet'!A62</f>
        <v>19</v>
      </c>
      <c r="B54" s="180">
        <f>'Données projet'!D62</f>
        <v>46.53846153846154</v>
      </c>
      <c r="C54" s="273">
        <v>10</v>
      </c>
      <c r="D54" s="178">
        <f>B54*C54</f>
        <v>465.38461538461542</v>
      </c>
      <c r="E54" s="192">
        <v>150</v>
      </c>
      <c r="F54" s="231"/>
      <c r="G54" s="204"/>
      <c r="H54" s="189"/>
      <c r="I54" s="190"/>
      <c r="J54" s="23"/>
      <c r="K54" s="172"/>
      <c r="L54" s="4"/>
      <c r="M54" s="4"/>
      <c r="N54" s="4"/>
      <c r="O54" s="193">
        <f>IF(O53+1&lt;=MIN('Données projet'!$E$9:$E$18),O53+1,"STOP")</f>
        <v>21</v>
      </c>
      <c r="P54" s="184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9">
        <f>'Données projet'!A63</f>
        <v>24</v>
      </c>
      <c r="B55" s="180">
        <f>'Données projet'!D63</f>
        <v>40.41538461538461</v>
      </c>
      <c r="C55" s="274">
        <v>10</v>
      </c>
      <c r="D55" s="178">
        <f t="shared" ref="D55:D73" si="4">B55*C55</f>
        <v>404.15384615384608</v>
      </c>
      <c r="E55" s="192">
        <v>150</v>
      </c>
      <c r="F55" s="231"/>
      <c r="G55" s="204"/>
      <c r="H55" s="189"/>
      <c r="I55" s="190"/>
      <c r="J55" s="23"/>
      <c r="K55" s="172"/>
      <c r="L55" s="4"/>
      <c r="M55" s="4"/>
      <c r="N55" s="4"/>
      <c r="O55" s="193">
        <f>IF(O54+1&lt;=MIN('Données projet'!$E$9:$E$18),O54+1,"STOP")</f>
        <v>22</v>
      </c>
      <c r="P55" s="184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9">
        <f>'Données projet'!A64</f>
        <v>30</v>
      </c>
      <c r="B56" s="180">
        <f>'Données projet'!D64</f>
        <v>55.869230769230761</v>
      </c>
      <c r="C56" s="274">
        <v>10</v>
      </c>
      <c r="D56" s="178">
        <f t="shared" si="4"/>
        <v>558.69230769230762</v>
      </c>
      <c r="E56" s="192">
        <v>150</v>
      </c>
      <c r="F56" s="231"/>
      <c r="G56" s="204"/>
      <c r="H56" s="189"/>
      <c r="I56" s="190"/>
      <c r="J56" s="23"/>
      <c r="K56" s="172"/>
      <c r="L56" s="4"/>
      <c r="M56" s="4"/>
      <c r="N56" s="4"/>
      <c r="O56" s="193">
        <f>IF(O55+1&lt;=MIN('Données projet'!$E$9:$E$18),O55+1,"STOP")</f>
        <v>23</v>
      </c>
      <c r="P56" s="184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9">
        <f>'Données projet'!A65</f>
        <v>37</v>
      </c>
      <c r="B57" s="180">
        <f>'Données projet'!D65</f>
        <v>43.623076923076923</v>
      </c>
      <c r="C57" s="274">
        <v>15</v>
      </c>
      <c r="D57" s="178">
        <f t="shared" si="4"/>
        <v>654.34615384615381</v>
      </c>
      <c r="E57" s="192">
        <v>150</v>
      </c>
      <c r="F57" s="231"/>
      <c r="G57" s="204"/>
      <c r="H57" s="189"/>
      <c r="I57" s="190"/>
      <c r="J57" s="23"/>
      <c r="K57" s="172"/>
      <c r="L57" s="4"/>
      <c r="M57" s="4"/>
      <c r="N57" s="4"/>
      <c r="O57" s="193">
        <f>IF(O56+1&lt;=MIN('Données projet'!$E$9:$E$18),O56+1,"STOP")</f>
        <v>24</v>
      </c>
      <c r="P57" s="184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9">
        <f>'Données projet'!A66</f>
        <v>46</v>
      </c>
      <c r="B58" s="180">
        <f>'Données projet'!D66</f>
        <v>72.561538461538461</v>
      </c>
      <c r="C58" s="274">
        <v>25</v>
      </c>
      <c r="D58" s="178">
        <f t="shared" si="4"/>
        <v>1814.0384615384614</v>
      </c>
      <c r="E58" s="192">
        <v>150</v>
      </c>
      <c r="F58" s="231"/>
      <c r="G58" s="204"/>
      <c r="H58" s="189"/>
      <c r="I58" s="190"/>
      <c r="J58" s="23"/>
      <c r="K58" s="172"/>
      <c r="L58" s="4"/>
      <c r="M58" s="4"/>
      <c r="N58" s="4"/>
      <c r="O58" s="193">
        <f>IF(O57+1&lt;=MIN('Données projet'!$E$9:$E$18),O57+1,"STOP")</f>
        <v>25</v>
      </c>
      <c r="P58" s="184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9">
        <f>'Données projet'!A67</f>
        <v>56</v>
      </c>
      <c r="B59" s="180">
        <f>'Données projet'!D67</f>
        <v>60.092307692307692</v>
      </c>
      <c r="C59" s="274">
        <v>25</v>
      </c>
      <c r="D59" s="178">
        <f t="shared" si="4"/>
        <v>1502.3076923076924</v>
      </c>
      <c r="E59" s="192">
        <v>150</v>
      </c>
      <c r="F59" s="231"/>
      <c r="G59" s="204"/>
      <c r="H59" s="189"/>
      <c r="I59" s="190"/>
      <c r="J59" s="23"/>
      <c r="K59" s="172"/>
      <c r="L59" s="4"/>
      <c r="M59" s="4"/>
      <c r="N59" s="4"/>
      <c r="O59" s="193">
        <f>IF(O58+1&lt;=MIN('Données projet'!$E$9:$E$18),O58+1,"STOP")</f>
        <v>26</v>
      </c>
      <c r="P59" s="184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9">
        <f>'Données projet'!A68</f>
        <v>66</v>
      </c>
      <c r="B60" s="180">
        <f>'Données projet'!D68</f>
        <v>68.146153846153851</v>
      </c>
      <c r="C60" s="274">
        <v>25</v>
      </c>
      <c r="D60" s="178">
        <f t="shared" si="4"/>
        <v>1703.6538461538462</v>
      </c>
      <c r="E60" s="192">
        <v>150</v>
      </c>
      <c r="F60" s="231"/>
      <c r="G60" s="205"/>
      <c r="H60" s="189"/>
      <c r="I60" s="190"/>
      <c r="J60" s="23"/>
      <c r="K60" s="172"/>
      <c r="L60" s="4"/>
      <c r="M60" s="4"/>
      <c r="N60" s="4"/>
      <c r="O60" s="193">
        <f>IF(O59+1&lt;=MIN('Données projet'!$E$9:$E$18),O59+1,"STOP")</f>
        <v>27</v>
      </c>
      <c r="P60" s="184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9">
        <f>'Données projet'!A69</f>
        <v>76</v>
      </c>
      <c r="B61" s="180">
        <f>'Données projet'!D69</f>
        <v>520.22307692307686</v>
      </c>
      <c r="C61" s="274">
        <v>25</v>
      </c>
      <c r="D61" s="178">
        <f t="shared" si="4"/>
        <v>13005.576923076922</v>
      </c>
      <c r="E61" s="192">
        <v>150</v>
      </c>
      <c r="F61" s="231"/>
      <c r="G61" s="205"/>
      <c r="H61" s="189"/>
      <c r="I61" s="190"/>
      <c r="J61" s="23"/>
      <c r="K61" s="172"/>
      <c r="L61" s="4"/>
      <c r="M61" s="4"/>
      <c r="N61" s="4"/>
      <c r="O61" s="193">
        <f>IF(O60+1&lt;=MIN('Données projet'!$E$9:$E$18),O60+1,"STOP")</f>
        <v>28</v>
      </c>
      <c r="P61" s="184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9">
        <f>'Données projet'!A70</f>
        <v>0</v>
      </c>
      <c r="B62" s="180">
        <f>'Données projet'!D70</f>
        <v>0</v>
      </c>
      <c r="C62" s="274"/>
      <c r="D62" s="178">
        <f t="shared" si="4"/>
        <v>0</v>
      </c>
      <c r="E62" s="192"/>
      <c r="F62" s="231"/>
      <c r="G62" s="205"/>
      <c r="H62" s="189"/>
      <c r="I62" s="190"/>
      <c r="J62" s="23"/>
      <c r="K62" s="172"/>
      <c r="L62" s="4"/>
      <c r="M62" s="4"/>
      <c r="N62" s="4"/>
      <c r="O62" s="193">
        <f>IF(O61+1&lt;=MIN('Données projet'!$E$9:$E$18),O61+1,"STOP")</f>
        <v>29</v>
      </c>
      <c r="P62" s="184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9">
        <f>'Données projet'!A71</f>
        <v>0</v>
      </c>
      <c r="B63" s="180">
        <f>'Données projet'!D71</f>
        <v>0</v>
      </c>
      <c r="C63" s="274"/>
      <c r="D63" s="178">
        <f t="shared" si="4"/>
        <v>0</v>
      </c>
      <c r="E63" s="192"/>
      <c r="F63" s="231"/>
      <c r="G63" s="205"/>
      <c r="H63" s="189"/>
      <c r="I63" s="190"/>
      <c r="J63" s="23"/>
      <c r="K63" s="172"/>
      <c r="L63" s="4"/>
      <c r="M63" s="4"/>
      <c r="N63" s="4"/>
      <c r="O63" s="193">
        <f>IF(O62+1&lt;=MIN('Données projet'!$E$9:$E$18),O62+1,"STOP")</f>
        <v>30</v>
      </c>
      <c r="P63" s="184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9">
        <f>'Données projet'!A72</f>
        <v>0</v>
      </c>
      <c r="B64" s="180">
        <f>'Données projet'!D72</f>
        <v>0</v>
      </c>
      <c r="C64" s="274"/>
      <c r="D64" s="178">
        <f t="shared" si="4"/>
        <v>0</v>
      </c>
      <c r="E64" s="192"/>
      <c r="F64" s="231"/>
      <c r="G64" s="205"/>
      <c r="H64" s="189"/>
      <c r="I64" s="190"/>
      <c r="J64" s="206"/>
      <c r="K64" s="172"/>
      <c r="L64" s="4"/>
      <c r="M64" s="4"/>
      <c r="N64" s="4"/>
      <c r="O64" s="193">
        <f>IF(O63+1&lt;=MIN('Données projet'!$E$9:$E$18),O63+1,"STOP")</f>
        <v>31</v>
      </c>
      <c r="P64" s="184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9">
        <f>'Données projet'!A73</f>
        <v>0</v>
      </c>
      <c r="B65" s="180">
        <f>'Données projet'!D73</f>
        <v>0</v>
      </c>
      <c r="C65" s="190"/>
      <c r="D65" s="178">
        <f t="shared" si="4"/>
        <v>0</v>
      </c>
      <c r="E65" s="192"/>
      <c r="F65" s="231"/>
      <c r="G65" s="205"/>
      <c r="H65" s="189"/>
      <c r="I65" s="190"/>
      <c r="J65" s="188"/>
      <c r="K65" s="172"/>
      <c r="L65" s="4"/>
      <c r="M65" s="4"/>
      <c r="N65" s="4"/>
      <c r="O65" s="193">
        <f>IF(O64+1&lt;=MIN('Données projet'!$E$9:$E$18),O64+1,"STOP")</f>
        <v>32</v>
      </c>
      <c r="P65" s="184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9">
        <f>'Données projet'!A74</f>
        <v>0</v>
      </c>
      <c r="B66" s="180">
        <f>'Données projet'!D74</f>
        <v>0</v>
      </c>
      <c r="C66" s="190"/>
      <c r="D66" s="178">
        <f t="shared" si="4"/>
        <v>0</v>
      </c>
      <c r="E66" s="192"/>
      <c r="F66" s="231"/>
      <c r="G66" s="205"/>
      <c r="H66" s="189"/>
      <c r="I66" s="190"/>
      <c r="J66" s="188"/>
      <c r="K66" s="172"/>
      <c r="L66" s="4"/>
      <c r="M66" s="4"/>
      <c r="N66" s="4"/>
      <c r="O66" s="193">
        <f>IF(O65+1&lt;=MIN('Données projet'!$E$9:$E$18),O65+1,"STOP")</f>
        <v>33</v>
      </c>
      <c r="P66" s="184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9">
        <f>'Données projet'!A75</f>
        <v>0</v>
      </c>
      <c r="B67" s="180">
        <f>'Données projet'!D75</f>
        <v>0</v>
      </c>
      <c r="C67" s="190"/>
      <c r="D67" s="178">
        <f t="shared" si="4"/>
        <v>0</v>
      </c>
      <c r="E67" s="192"/>
      <c r="F67" s="231"/>
      <c r="G67" s="205"/>
      <c r="H67" s="189"/>
      <c r="I67" s="190"/>
      <c r="J67" s="188"/>
      <c r="K67" s="172"/>
      <c r="L67" s="4"/>
      <c r="M67" s="4"/>
      <c r="N67" s="4"/>
      <c r="O67" s="193">
        <f>IF(O66+1&lt;=MIN('Données projet'!$E$9:$E$18),O66+1,"STOP")</f>
        <v>34</v>
      </c>
      <c r="P67" s="184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9">
        <f>'Données projet'!A76</f>
        <v>0</v>
      </c>
      <c r="B68" s="180">
        <f>'Données projet'!D76</f>
        <v>0</v>
      </c>
      <c r="C68" s="190"/>
      <c r="D68" s="178">
        <f t="shared" si="4"/>
        <v>0</v>
      </c>
      <c r="E68" s="192"/>
      <c r="F68" s="231"/>
      <c r="G68" s="205"/>
      <c r="H68" s="189"/>
      <c r="I68" s="190"/>
      <c r="J68" s="188"/>
      <c r="K68" s="172"/>
      <c r="L68" s="4"/>
      <c r="M68" s="4"/>
      <c r="N68" s="4"/>
      <c r="O68" s="193">
        <f>IF(O67+1&lt;=MIN('Données projet'!$E$9:$E$18),O67+1,"STOP")</f>
        <v>35</v>
      </c>
      <c r="P68" s="184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9">
        <f>'Données projet'!A77</f>
        <v>0</v>
      </c>
      <c r="B69" s="180">
        <f>'Données projet'!D77</f>
        <v>0</v>
      </c>
      <c r="C69" s="190"/>
      <c r="D69" s="178">
        <f t="shared" si="4"/>
        <v>0</v>
      </c>
      <c r="E69" s="192"/>
      <c r="F69" s="231"/>
      <c r="G69" s="205"/>
      <c r="H69" s="189"/>
      <c r="I69" s="190"/>
      <c r="J69" s="188"/>
      <c r="K69" s="172"/>
      <c r="L69" s="4"/>
      <c r="M69" s="4"/>
      <c r="N69" s="4"/>
      <c r="O69" s="193">
        <f>IF(O68+1&lt;=MIN('Données projet'!$E$9:$E$18),O68+1,"STOP")</f>
        <v>36</v>
      </c>
      <c r="P69" s="184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9">
        <f>'Données projet'!A78</f>
        <v>0</v>
      </c>
      <c r="B70" s="180">
        <f>'Données projet'!D78</f>
        <v>0</v>
      </c>
      <c r="C70" s="190"/>
      <c r="D70" s="178">
        <f t="shared" si="4"/>
        <v>0</v>
      </c>
      <c r="E70" s="192"/>
      <c r="F70" s="231"/>
      <c r="G70" s="205"/>
      <c r="H70" s="189"/>
      <c r="I70" s="190"/>
      <c r="J70" s="188"/>
      <c r="K70" s="172"/>
      <c r="L70" s="4"/>
      <c r="M70" s="4"/>
      <c r="N70" s="4"/>
      <c r="O70" s="193">
        <f>IF(O69+1&lt;=MIN('Données projet'!$E$9:$E$18),O69+1,"STOP")</f>
        <v>37</v>
      </c>
      <c r="P70" s="184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9">
        <f>'Données projet'!A79</f>
        <v>0</v>
      </c>
      <c r="B71" s="180">
        <f>'Données projet'!D79</f>
        <v>0</v>
      </c>
      <c r="C71" s="190"/>
      <c r="D71" s="178">
        <f t="shared" si="4"/>
        <v>0</v>
      </c>
      <c r="E71" s="192"/>
      <c r="F71" s="231"/>
      <c r="G71" s="205"/>
      <c r="H71" s="189"/>
      <c r="I71" s="190"/>
      <c r="J71" s="188"/>
      <c r="K71" s="172"/>
      <c r="L71" s="4"/>
      <c r="M71" s="4"/>
      <c r="N71" s="4"/>
      <c r="O71" s="193">
        <f>IF(O70+1&lt;=MIN('Données projet'!$E$9:$E$18),O70+1,"STOP")</f>
        <v>38</v>
      </c>
      <c r="P71" s="184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9">
        <f>'Données projet'!A80</f>
        <v>0</v>
      </c>
      <c r="B72" s="180">
        <f>'Données projet'!D80</f>
        <v>0</v>
      </c>
      <c r="C72" s="190"/>
      <c r="D72" s="178">
        <f t="shared" si="4"/>
        <v>0</v>
      </c>
      <c r="E72" s="192"/>
      <c r="F72" s="231"/>
      <c r="G72" s="205"/>
      <c r="H72" s="189"/>
      <c r="I72" s="190"/>
      <c r="J72" s="4"/>
      <c r="K72" s="172"/>
      <c r="L72" s="4"/>
      <c r="M72" s="4"/>
      <c r="N72" s="4"/>
      <c r="O72" s="193">
        <f>IF(O71+1&lt;=MIN('Données projet'!$E$9:$E$18),O71+1,"STOP")</f>
        <v>39</v>
      </c>
      <c r="P72" s="184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9">
        <f>'Données projet'!A81</f>
        <v>0</v>
      </c>
      <c r="B73" s="180">
        <f>'Données projet'!D81</f>
        <v>0</v>
      </c>
      <c r="C73" s="190"/>
      <c r="D73" s="178">
        <f t="shared" si="4"/>
        <v>0</v>
      </c>
      <c r="E73" s="192"/>
      <c r="F73" s="231"/>
      <c r="G73" s="205"/>
      <c r="H73" s="189"/>
      <c r="I73" s="190"/>
      <c r="J73" s="4"/>
      <c r="K73" s="172"/>
      <c r="L73" s="4"/>
      <c r="M73" s="4"/>
      <c r="N73" s="4"/>
      <c r="O73" s="193">
        <f>IF(O72+1&lt;=MIN('Données projet'!$E$9:$E$18),O72+1,"STOP")</f>
        <v>40</v>
      </c>
      <c r="P73" s="184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9"/>
      <c r="G74" s="205"/>
      <c r="H74" s="189"/>
      <c r="I74" s="190"/>
      <c r="J74" s="4"/>
      <c r="K74" s="172"/>
      <c r="L74" s="4"/>
      <c r="M74" s="4"/>
      <c r="N74" s="4"/>
      <c r="O74" s="193">
        <f>IF(O73+1&lt;=MIN('Données projet'!$E$9:$E$18),O73+1,"STOP")</f>
        <v>41</v>
      </c>
      <c r="P74" s="184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9"/>
      <c r="G75" s="205"/>
      <c r="H75" s="189"/>
      <c r="I75" s="190"/>
      <c r="J75" s="4"/>
      <c r="K75" s="172"/>
      <c r="L75" s="4"/>
      <c r="M75" s="4"/>
      <c r="N75" s="4"/>
      <c r="O75" s="193">
        <f>IF(O74+1&lt;=MIN('Données projet'!$E$9:$E$18),O74+1,"STOP")</f>
        <v>42</v>
      </c>
      <c r="P75" s="184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3" t="str">
        <f>IF('Données projet'!B11="","",'Données projet'!B11)</f>
        <v>Chêne sessile</v>
      </c>
      <c r="C76" s="4"/>
      <c r="D76" s="4"/>
      <c r="E76" s="4"/>
      <c r="F76" s="229"/>
      <c r="G76" s="205"/>
      <c r="H76" s="189"/>
      <c r="I76" s="190"/>
      <c r="J76" s="4"/>
      <c r="K76" s="172"/>
      <c r="L76" s="4"/>
      <c r="M76" s="4"/>
      <c r="N76" s="4"/>
      <c r="O76" s="193">
        <f>IF(O75+1&lt;=MIN('Données projet'!$E$9:$E$18),O75+1,"STOP")</f>
        <v>43</v>
      </c>
      <c r="P76" s="184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9"/>
      <c r="G77" s="205"/>
      <c r="H77" s="189"/>
      <c r="I77" s="190"/>
      <c r="J77" s="4"/>
      <c r="K77" s="172"/>
      <c r="L77" s="4"/>
      <c r="M77" s="4"/>
      <c r="N77" s="4"/>
      <c r="O77" s="193">
        <f>IF(O76+1&lt;=MIN('Données projet'!$E$9:$E$18),O76+1,"STOP")</f>
        <v>44</v>
      </c>
      <c r="P77" s="184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89"/>
      <c r="I78" s="190"/>
      <c r="J78" s="4"/>
      <c r="K78" s="172"/>
      <c r="L78" s="4"/>
      <c r="M78" s="4"/>
      <c r="N78" s="4"/>
      <c r="O78" s="193">
        <f>IF(O77+1&lt;=MIN('Données projet'!$E$9:$E$18),O77+1,"STOP")</f>
        <v>45</v>
      </c>
      <c r="P78" s="184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8" t="s">
        <v>132</v>
      </c>
      <c r="C79" s="197" t="s">
        <v>132</v>
      </c>
      <c r="D79" s="196" t="s">
        <v>132</v>
      </c>
      <c r="E79" s="192"/>
      <c r="F79" s="230"/>
      <c r="G79" s="205"/>
      <c r="H79" s="189"/>
      <c r="I79" s="190"/>
      <c r="J79" s="4"/>
      <c r="K79" s="172"/>
      <c r="L79" s="4"/>
      <c r="M79" s="4"/>
      <c r="N79" s="4"/>
      <c r="O79" s="193">
        <f>IF(O78+1&lt;=MIN('Données projet'!$E$9:$E$18),O78+1,"STOP")</f>
        <v>46</v>
      </c>
      <c r="P79" s="184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8" t="s">
        <v>132</v>
      </c>
      <c r="C80" s="197" t="s">
        <v>132</v>
      </c>
      <c r="D80" s="196" t="s">
        <v>132</v>
      </c>
      <c r="E80" s="192"/>
      <c r="F80" s="230"/>
      <c r="G80" s="23"/>
      <c r="H80" s="189"/>
      <c r="I80" s="190"/>
      <c r="J80" s="4"/>
      <c r="K80" s="172"/>
      <c r="L80" s="4"/>
      <c r="M80" s="4"/>
      <c r="N80" s="4"/>
      <c r="O80" s="193">
        <f>IF(O79+1&lt;=MIN('Données projet'!$E$9:$E$18),O79+1,"STOP")</f>
        <v>47</v>
      </c>
      <c r="P80" s="184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8" t="s">
        <v>132</v>
      </c>
      <c r="C81" s="197" t="s">
        <v>132</v>
      </c>
      <c r="D81" s="196" t="s">
        <v>132</v>
      </c>
      <c r="E81" s="192"/>
      <c r="F81" s="230"/>
      <c r="G81" s="23"/>
      <c r="H81" s="189"/>
      <c r="I81" s="190"/>
      <c r="J81" s="4"/>
      <c r="K81" s="172"/>
      <c r="L81" s="4"/>
      <c r="M81" s="4"/>
      <c r="N81" s="4"/>
      <c r="O81" s="193">
        <f>IF(O80+1&lt;=MIN('Données projet'!$E$9:$E$18),O80+1,"STOP")</f>
        <v>48</v>
      </c>
      <c r="P81" s="184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8" t="s">
        <v>132</v>
      </c>
      <c r="C82" s="197" t="s">
        <v>132</v>
      </c>
      <c r="D82" s="196" t="s">
        <v>132</v>
      </c>
      <c r="E82" s="192"/>
      <c r="F82" s="230"/>
      <c r="G82" s="23"/>
      <c r="H82" s="189"/>
      <c r="I82" s="190"/>
      <c r="J82" s="4"/>
      <c r="K82" s="172"/>
      <c r="L82" s="4"/>
      <c r="M82" s="4"/>
      <c r="N82" s="4"/>
      <c r="O82" s="193">
        <f>IF(O81+1&lt;=MIN('Données projet'!$E$9:$E$18),O81+1,"STOP")</f>
        <v>49</v>
      </c>
      <c r="P82" s="184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8" t="s">
        <v>132</v>
      </c>
      <c r="C83" s="197" t="s">
        <v>132</v>
      </c>
      <c r="D83" s="196" t="s">
        <v>132</v>
      </c>
      <c r="E83" s="192"/>
      <c r="F83" s="230"/>
      <c r="G83" s="23"/>
      <c r="H83" s="189"/>
      <c r="I83" s="190"/>
      <c r="J83" s="4"/>
      <c r="K83" s="172"/>
      <c r="L83" s="4"/>
      <c r="M83" s="4"/>
      <c r="N83" s="4"/>
      <c r="O83" s="193">
        <f>IF(O82+1&lt;=MIN('Données projet'!$E$9:$E$18),O82+1,"STOP")</f>
        <v>50</v>
      </c>
      <c r="P83" s="184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8" t="s">
        <v>132</v>
      </c>
      <c r="C84" s="197" t="s">
        <v>132</v>
      </c>
      <c r="D84" s="196" t="s">
        <v>132</v>
      </c>
      <c r="E84" s="192"/>
      <c r="F84" s="230"/>
      <c r="G84" s="204"/>
      <c r="H84" s="189"/>
      <c r="I84" s="190"/>
      <c r="J84" s="4"/>
      <c r="K84" s="172"/>
      <c r="L84" s="4"/>
      <c r="M84" s="4"/>
      <c r="N84" s="4"/>
      <c r="O84" s="193">
        <f>IF(O83+1&lt;=MIN('Données projet'!$E$9:$E$18),O83+1,"STOP")</f>
        <v>51</v>
      </c>
      <c r="P84" s="184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9">
        <f>'Données projet'!A88</f>
        <v>30</v>
      </c>
      <c r="B85" s="180">
        <f>'Données projet'!D88</f>
        <v>0</v>
      </c>
      <c r="C85" s="273">
        <v>10</v>
      </c>
      <c r="D85" s="178">
        <f>B85*C85</f>
        <v>0</v>
      </c>
      <c r="E85" s="192">
        <v>150</v>
      </c>
      <c r="F85" s="231"/>
      <c r="G85" s="204"/>
      <c r="H85" s="189"/>
      <c r="I85" s="190"/>
      <c r="J85" s="4"/>
      <c r="K85" s="172"/>
      <c r="L85" s="4"/>
      <c r="M85" s="4"/>
      <c r="N85" s="4"/>
      <c r="O85" s="193">
        <f>IF(O84+1&lt;=MIN('Données projet'!$E$9:$E$18),O84+1,"STOP")</f>
        <v>52</v>
      </c>
      <c r="P85" s="184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9">
        <f>'Données projet'!A89</f>
        <v>35</v>
      </c>
      <c r="B86" s="180">
        <f>'Données projet'!D89</f>
        <v>60.602564102564102</v>
      </c>
      <c r="C86" s="274">
        <v>10</v>
      </c>
      <c r="D86" s="178">
        <f t="shared" ref="D86:D104" si="6">B86*C86</f>
        <v>606.02564102564099</v>
      </c>
      <c r="E86" s="192">
        <v>150</v>
      </c>
      <c r="F86" s="231"/>
      <c r="G86" s="204"/>
      <c r="H86" s="189"/>
      <c r="I86" s="190"/>
      <c r="J86" s="4"/>
      <c r="K86" s="172"/>
      <c r="L86" s="4"/>
      <c r="M86" s="4"/>
      <c r="N86" s="4"/>
      <c r="O86" s="193">
        <f>IF(O85+1&lt;=MIN('Données projet'!$E$9:$E$18),O85+1,"STOP")</f>
        <v>53</v>
      </c>
      <c r="P86" s="184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9">
        <f>'Données projet'!A90</f>
        <v>41</v>
      </c>
      <c r="B87" s="180">
        <f>'Données projet'!D90</f>
        <v>38.512820512820511</v>
      </c>
      <c r="C87" s="274">
        <v>10</v>
      </c>
      <c r="D87" s="178">
        <f t="shared" si="6"/>
        <v>385.12820512820508</v>
      </c>
      <c r="E87" s="192">
        <v>150</v>
      </c>
      <c r="F87" s="231"/>
      <c r="G87" s="204"/>
      <c r="H87" s="189"/>
      <c r="I87" s="190"/>
      <c r="J87" s="4"/>
      <c r="K87" s="172"/>
      <c r="L87" s="4"/>
      <c r="M87" s="4"/>
      <c r="N87" s="4"/>
      <c r="O87" s="193">
        <f>IF(O86+1&lt;=MIN('Données projet'!$E$9:$E$18),O86+1,"STOP")</f>
        <v>54</v>
      </c>
      <c r="P87" s="184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9">
        <f>'Données projet'!A91</f>
        <v>48</v>
      </c>
      <c r="B88" s="180">
        <f>'Données projet'!D91</f>
        <v>48.025641025641022</v>
      </c>
      <c r="C88" s="274">
        <v>50</v>
      </c>
      <c r="D88" s="178">
        <f t="shared" si="6"/>
        <v>2401.2820512820513</v>
      </c>
      <c r="E88" s="192">
        <v>150</v>
      </c>
      <c r="F88" s="231"/>
      <c r="G88" s="204"/>
      <c r="H88" s="189"/>
      <c r="I88" s="190"/>
      <c r="J88" s="4"/>
      <c r="K88" s="172"/>
      <c r="L88" s="4"/>
      <c r="M88" s="4"/>
      <c r="N88" s="4"/>
      <c r="O88" s="193">
        <f>IF(O87+1&lt;=MIN('Données projet'!$E$9:$E$18),O87+1,"STOP")</f>
        <v>55</v>
      </c>
      <c r="P88" s="184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9">
        <f>'Données projet'!A92</f>
        <v>55</v>
      </c>
      <c r="B89" s="180">
        <f>'Données projet'!D92</f>
        <v>45.147435897435898</v>
      </c>
      <c r="C89" s="274">
        <v>50</v>
      </c>
      <c r="D89" s="178">
        <f t="shared" si="6"/>
        <v>2257.3717948717949</v>
      </c>
      <c r="E89" s="192">
        <v>150</v>
      </c>
      <c r="F89" s="231"/>
      <c r="G89" s="204"/>
      <c r="H89" s="189"/>
      <c r="I89" s="190"/>
      <c r="J89" s="4"/>
      <c r="K89" s="172"/>
      <c r="L89" s="4"/>
      <c r="M89" s="4"/>
      <c r="N89" s="4"/>
      <c r="O89" s="193">
        <f>IF(O88+1&lt;=MIN('Données projet'!$E$9:$E$18),O88+1,"STOP")</f>
        <v>56</v>
      </c>
      <c r="P89" s="184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9">
        <f>'Données projet'!A93</f>
        <v>63</v>
      </c>
      <c r="B90" s="180">
        <f>'Données projet'!D93</f>
        <v>41.724358974358978</v>
      </c>
      <c r="C90" s="274">
        <v>50</v>
      </c>
      <c r="D90" s="178">
        <f t="shared" si="6"/>
        <v>2086.2179487179487</v>
      </c>
      <c r="E90" s="192">
        <v>150</v>
      </c>
      <c r="F90" s="231"/>
      <c r="G90" s="204"/>
      <c r="H90" s="189"/>
      <c r="I90" s="190"/>
      <c r="J90" s="4"/>
      <c r="K90" s="172"/>
      <c r="L90" s="4"/>
      <c r="M90" s="4"/>
      <c r="N90" s="4"/>
      <c r="O90" s="193">
        <f>IF(O89+1&lt;=MIN('Données projet'!$E$9:$E$18),O89+1,"STOP")</f>
        <v>57</v>
      </c>
      <c r="P90" s="184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9">
        <f>'Données projet'!A94</f>
        <v>71</v>
      </c>
      <c r="B91" s="180">
        <f>'Données projet'!D94</f>
        <v>39.935897435897431</v>
      </c>
      <c r="C91" s="274">
        <v>100</v>
      </c>
      <c r="D91" s="178">
        <f t="shared" si="6"/>
        <v>3993.5897435897432</v>
      </c>
      <c r="E91" s="192">
        <v>150</v>
      </c>
      <c r="F91" s="231"/>
      <c r="G91" s="205"/>
      <c r="H91" s="189"/>
      <c r="I91" s="190"/>
      <c r="J91" s="4"/>
      <c r="K91" s="172"/>
      <c r="L91" s="4"/>
      <c r="M91" s="4"/>
      <c r="N91" s="4"/>
      <c r="O91" s="193">
        <f>IF(O90+1&lt;=MIN('Données projet'!$E$9:$E$18),O90+1,"STOP")</f>
        <v>58</v>
      </c>
      <c r="P91" s="184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9">
        <f>'Données projet'!A95</f>
        <v>80</v>
      </c>
      <c r="B92" s="180">
        <f>'Données projet'!D95</f>
        <v>45.608974358974358</v>
      </c>
      <c r="C92" s="274">
        <v>100</v>
      </c>
      <c r="D92" s="178">
        <f t="shared" si="6"/>
        <v>4560.8974358974356</v>
      </c>
      <c r="E92" s="192">
        <v>150</v>
      </c>
      <c r="F92" s="231"/>
      <c r="G92" s="205"/>
      <c r="H92" s="189"/>
      <c r="I92" s="190"/>
      <c r="J92" s="4"/>
      <c r="K92" s="172"/>
      <c r="L92" s="4"/>
      <c r="M92" s="4"/>
      <c r="N92" s="4"/>
      <c r="O92" s="193">
        <f>IF(O91+1&lt;=MIN('Données projet'!$E$9:$E$18),O91+1,"STOP")</f>
        <v>59</v>
      </c>
      <c r="P92" s="184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9">
        <f>'Données projet'!A96</f>
        <v>89</v>
      </c>
      <c r="B93" s="180">
        <f>'Données projet'!D96</f>
        <v>49.391025641025635</v>
      </c>
      <c r="C93" s="274">
        <v>150</v>
      </c>
      <c r="D93" s="178">
        <f t="shared" si="6"/>
        <v>7408.6538461538457</v>
      </c>
      <c r="E93" s="192">
        <v>150</v>
      </c>
      <c r="F93" s="231"/>
      <c r="G93" s="205"/>
      <c r="H93" s="189"/>
      <c r="I93" s="190"/>
      <c r="J93" s="4"/>
      <c r="K93" s="172"/>
      <c r="L93" s="4"/>
      <c r="M93" s="4"/>
      <c r="N93" s="4"/>
      <c r="O93" s="193">
        <f>IF(O92+1&lt;=MIN('Données projet'!$E$9:$E$18),O92+1,"STOP")</f>
        <v>60</v>
      </c>
      <c r="P93" s="184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9">
        <f>'Données projet'!A97</f>
        <v>99</v>
      </c>
      <c r="B94" s="180">
        <f>'Données projet'!D97</f>
        <v>48.019230769230766</v>
      </c>
      <c r="C94" s="274">
        <v>150</v>
      </c>
      <c r="D94" s="178">
        <f t="shared" si="6"/>
        <v>7202.8846153846152</v>
      </c>
      <c r="E94" s="192">
        <v>150</v>
      </c>
      <c r="F94" s="231"/>
      <c r="G94" s="205"/>
      <c r="H94" s="189"/>
      <c r="I94" s="190"/>
      <c r="J94" s="4"/>
      <c r="K94" s="172"/>
      <c r="L94" s="4"/>
      <c r="M94" s="4"/>
      <c r="N94" s="4"/>
      <c r="O94" s="193">
        <f>IF(O93+1&lt;=MIN('Données projet'!$E$9:$E$18),O93+1,"STOP")</f>
        <v>61</v>
      </c>
      <c r="P94" s="184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9">
        <f>'Données projet'!A98</f>
        <v>109</v>
      </c>
      <c r="B95" s="180">
        <f>'Données projet'!D98</f>
        <v>51.28846153846154</v>
      </c>
      <c r="C95" s="274">
        <v>150</v>
      </c>
      <c r="D95" s="178">
        <f t="shared" si="6"/>
        <v>7693.2692307692314</v>
      </c>
      <c r="E95" s="192">
        <v>150</v>
      </c>
      <c r="F95" s="231"/>
      <c r="G95" s="205"/>
      <c r="H95" s="189"/>
      <c r="I95" s="190"/>
      <c r="J95" s="4"/>
      <c r="K95" s="172"/>
      <c r="L95" s="4"/>
      <c r="M95" s="4"/>
      <c r="N95" s="4"/>
      <c r="O95" s="193">
        <f>IF(O94+1&lt;=MIN('Données projet'!$E$9:$E$18),O94+1,"STOP")</f>
        <v>62</v>
      </c>
      <c r="P95" s="184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9">
        <f>'Données projet'!A99</f>
        <v>119</v>
      </c>
      <c r="B96" s="180">
        <f>'Données projet'!D99</f>
        <v>150.02564102564102</v>
      </c>
      <c r="C96" s="274">
        <v>200</v>
      </c>
      <c r="D96" s="178">
        <f t="shared" si="6"/>
        <v>30005.128205128203</v>
      </c>
      <c r="E96" s="192">
        <v>150</v>
      </c>
      <c r="F96" s="231"/>
      <c r="G96" s="205"/>
      <c r="H96" s="189"/>
      <c r="I96" s="190"/>
      <c r="J96" s="4"/>
      <c r="K96" s="172"/>
      <c r="L96" s="4"/>
      <c r="M96" s="4"/>
      <c r="N96" s="4"/>
      <c r="O96" s="193">
        <f>IF(O95+1&lt;=MIN('Données projet'!$E$9:$E$18),O95+1,"STOP")</f>
        <v>63</v>
      </c>
      <c r="P96" s="184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9">
        <f>'Données projet'!A100</f>
        <v>123</v>
      </c>
      <c r="B97" s="180">
        <f>'Données projet'!D100</f>
        <v>77.17307692307692</v>
      </c>
      <c r="C97" s="190">
        <v>200</v>
      </c>
      <c r="D97" s="178">
        <f t="shared" si="6"/>
        <v>15434.615384615385</v>
      </c>
      <c r="E97" s="192">
        <v>150</v>
      </c>
      <c r="F97" s="231"/>
      <c r="G97" s="205"/>
      <c r="H97" s="189"/>
      <c r="I97" s="190"/>
      <c r="J97" s="4"/>
      <c r="K97" s="172"/>
      <c r="L97" s="4"/>
      <c r="M97" s="4"/>
      <c r="N97" s="4"/>
      <c r="O97" s="193">
        <f>IF(O96+1&lt;=MIN('Données projet'!$E$9:$E$18),O96+1,"STOP")</f>
        <v>64</v>
      </c>
      <c r="P97" s="184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9">
        <f>'Données projet'!A101</f>
        <v>127</v>
      </c>
      <c r="B98" s="180">
        <f>'Données projet'!D101</f>
        <v>49.916666666666671</v>
      </c>
      <c r="C98" s="190">
        <v>200</v>
      </c>
      <c r="D98" s="178">
        <f t="shared" si="6"/>
        <v>9983.3333333333339</v>
      </c>
      <c r="E98" s="192">
        <v>150</v>
      </c>
      <c r="F98" s="231"/>
      <c r="G98" s="205"/>
      <c r="H98" s="189"/>
      <c r="I98" s="190"/>
      <c r="J98" s="4"/>
      <c r="K98" s="172"/>
      <c r="L98" s="4"/>
      <c r="M98" s="4"/>
      <c r="N98" s="4"/>
      <c r="O98" s="193">
        <f>IF(O97+1&lt;=MIN('Données projet'!$E$9:$E$18),O97+1,"STOP")</f>
        <v>65</v>
      </c>
      <c r="P98" s="184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9">
        <f>'Données projet'!A102</f>
        <v>131</v>
      </c>
      <c r="B99" s="180">
        <f>'Données projet'!D102</f>
        <v>110.91025641025641</v>
      </c>
      <c r="C99" s="190">
        <v>200</v>
      </c>
      <c r="D99" s="178">
        <f t="shared" si="6"/>
        <v>22182.051282051281</v>
      </c>
      <c r="E99" s="192">
        <v>150</v>
      </c>
      <c r="F99" s="231"/>
      <c r="G99" s="205"/>
      <c r="H99" s="189"/>
      <c r="I99" s="190"/>
      <c r="J99" s="4"/>
      <c r="K99" s="172"/>
      <c r="L99" s="4"/>
      <c r="M99" s="4"/>
      <c r="N99" s="4"/>
      <c r="O99" s="193">
        <f>IF(O98+1&lt;=MIN('Données projet'!$E$9:$E$18),O98+1,"STOP")</f>
        <v>66</v>
      </c>
      <c r="P99" s="184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9">
        <f>'Données projet'!A103</f>
        <v>0</v>
      </c>
      <c r="B100" s="180">
        <f>'Données projet'!D103</f>
        <v>0</v>
      </c>
      <c r="C100" s="190"/>
      <c r="D100" s="178">
        <f t="shared" si="6"/>
        <v>0</v>
      </c>
      <c r="E100" s="192"/>
      <c r="F100" s="231"/>
      <c r="G100" s="205"/>
      <c r="H100" s="189"/>
      <c r="I100" s="190"/>
      <c r="J100" s="4"/>
      <c r="K100" s="172"/>
      <c r="L100" s="4"/>
      <c r="M100" s="4"/>
      <c r="N100" s="4"/>
      <c r="O100" s="193">
        <f>IF(O99+1&lt;=MIN('Données projet'!$E$9:$E$18),O99+1,"STOP")</f>
        <v>67</v>
      </c>
      <c r="P100" s="184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9">
        <f>'Données projet'!A104</f>
        <v>0</v>
      </c>
      <c r="B101" s="180">
        <f>'Données projet'!D104</f>
        <v>0</v>
      </c>
      <c r="C101" s="190"/>
      <c r="D101" s="178">
        <f t="shared" si="6"/>
        <v>0</v>
      </c>
      <c r="E101" s="192"/>
      <c r="F101" s="231"/>
      <c r="G101" s="205"/>
      <c r="H101" s="189"/>
      <c r="I101" s="190"/>
      <c r="J101" s="4"/>
      <c r="K101" s="172"/>
      <c r="L101" s="4"/>
      <c r="M101" s="4"/>
      <c r="N101" s="4"/>
      <c r="O101" s="193">
        <f>IF(O100+1&lt;=MIN('Données projet'!$E$9:$E$18),O100+1,"STOP")</f>
        <v>68</v>
      </c>
      <c r="P101" s="184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9">
        <f>'Données projet'!A105</f>
        <v>0</v>
      </c>
      <c r="B102" s="180">
        <f>'Données projet'!D105</f>
        <v>0</v>
      </c>
      <c r="C102" s="190"/>
      <c r="D102" s="178">
        <f t="shared" si="6"/>
        <v>0</v>
      </c>
      <c r="E102" s="192"/>
      <c r="F102" s="231"/>
      <c r="G102" s="205"/>
      <c r="H102" s="189"/>
      <c r="I102" s="190"/>
      <c r="J102" s="4"/>
      <c r="K102" s="172"/>
      <c r="L102" s="4"/>
      <c r="M102" s="4"/>
      <c r="N102" s="4"/>
      <c r="O102" s="193">
        <f>IF(O101+1&lt;=MIN('Données projet'!$E$9:$E$18),O101+1,"STOP")</f>
        <v>69</v>
      </c>
      <c r="P102" s="184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9">
        <f>'Données projet'!A106</f>
        <v>0</v>
      </c>
      <c r="B103" s="180">
        <f>'Données projet'!D106</f>
        <v>0</v>
      </c>
      <c r="C103" s="190"/>
      <c r="D103" s="178">
        <f t="shared" si="6"/>
        <v>0</v>
      </c>
      <c r="E103" s="192"/>
      <c r="F103" s="231"/>
      <c r="G103" s="205"/>
      <c r="H103" s="189"/>
      <c r="I103" s="190"/>
      <c r="J103" s="4"/>
      <c r="K103" s="172"/>
      <c r="L103" s="4"/>
      <c r="M103" s="4"/>
      <c r="N103" s="4"/>
      <c r="O103" s="193">
        <f>IF(O102+1&lt;=MIN('Données projet'!$E$9:$E$18),O102+1,"STOP")</f>
        <v>70</v>
      </c>
      <c r="P103" s="184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9">
        <f>'Données projet'!A107</f>
        <v>0</v>
      </c>
      <c r="B104" s="180">
        <f>'Données projet'!D107</f>
        <v>0</v>
      </c>
      <c r="C104" s="190"/>
      <c r="D104" s="178">
        <f t="shared" si="6"/>
        <v>0</v>
      </c>
      <c r="E104" s="192"/>
      <c r="F104" s="231"/>
      <c r="G104" s="205"/>
      <c r="H104" s="189"/>
      <c r="I104" s="190"/>
      <c r="J104" s="4"/>
      <c r="K104" s="172"/>
      <c r="L104" s="4"/>
      <c r="M104" s="4"/>
      <c r="N104" s="4"/>
      <c r="O104" s="193">
        <f>IF(O103+1&lt;=MIN('Données projet'!$E$9:$E$18),O103+1,"STOP")</f>
        <v>71</v>
      </c>
      <c r="P104" s="184">
        <f t="shared" si="7"/>
        <v>0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9"/>
      <c r="G105" s="205"/>
      <c r="H105" s="189"/>
      <c r="I105" s="190"/>
      <c r="J105" s="4"/>
      <c r="K105" s="172"/>
      <c r="L105" s="4"/>
      <c r="M105" s="4"/>
      <c r="N105" s="4"/>
      <c r="O105" s="193">
        <f>IF(O104+1&lt;=MIN('Données projet'!$E$9:$E$18),O104+1,"STOP")</f>
        <v>72</v>
      </c>
      <c r="P105" s="184">
        <f t="shared" si="7"/>
        <v>0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9"/>
      <c r="G106" s="205"/>
      <c r="H106" s="189"/>
      <c r="I106" s="190"/>
      <c r="J106" s="4"/>
      <c r="K106" s="172"/>
      <c r="L106" s="4"/>
      <c r="M106" s="4"/>
      <c r="N106" s="4"/>
      <c r="O106" s="193">
        <f>IF(O105+1&lt;=MIN('Données projet'!$E$9:$E$18),O105+1,"STOP")</f>
        <v>73</v>
      </c>
      <c r="P106" s="184">
        <f t="shared" si="7"/>
        <v>0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3" t="str">
        <f>IF('Données projet'!B12="","",'Données projet'!B12)</f>
        <v>Chêne pubescent</v>
      </c>
      <c r="C107" s="4"/>
      <c r="D107" s="4"/>
      <c r="E107" s="4"/>
      <c r="F107" s="229"/>
      <c r="G107" s="205"/>
      <c r="H107" s="189"/>
      <c r="I107" s="190"/>
      <c r="J107" s="4"/>
      <c r="K107" s="172"/>
      <c r="L107" s="4"/>
      <c r="M107" s="4"/>
      <c r="N107" s="4"/>
      <c r="O107" s="193">
        <f>IF(O106+1&lt;=MIN('Données projet'!$E$9:$E$18),O106+1,"STOP")</f>
        <v>74</v>
      </c>
      <c r="P107" s="184">
        <f t="shared" si="7"/>
        <v>0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9"/>
      <c r="G108" s="205"/>
      <c r="H108" s="189"/>
      <c r="I108" s="190"/>
      <c r="J108" s="4"/>
      <c r="K108" s="172"/>
      <c r="L108" s="4"/>
      <c r="M108" s="4"/>
      <c r="N108" s="4"/>
      <c r="O108" s="193">
        <f>IF(O107+1&lt;=MIN('Données projet'!$E$9:$E$18),O107+1,"STOP")</f>
        <v>75</v>
      </c>
      <c r="P108" s="184">
        <f t="shared" si="7"/>
        <v>0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89"/>
      <c r="I109" s="190"/>
      <c r="J109" s="4"/>
      <c r="K109" s="172"/>
      <c r="L109" s="4"/>
      <c r="M109" s="4"/>
      <c r="N109" s="4"/>
      <c r="O109" s="193">
        <f>IF(O108+1&lt;=MIN('Données projet'!$E$9:$E$18),O108+1,"STOP")</f>
        <v>76</v>
      </c>
      <c r="P109" s="184">
        <f t="shared" si="7"/>
        <v>0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8" t="s">
        <v>132</v>
      </c>
      <c r="C110" s="197" t="s">
        <v>132</v>
      </c>
      <c r="D110" s="196" t="s">
        <v>132</v>
      </c>
      <c r="E110" s="192"/>
      <c r="F110" s="230"/>
      <c r="G110" s="205"/>
      <c r="H110" s="189"/>
      <c r="I110" s="190"/>
      <c r="J110" s="4"/>
      <c r="K110" s="172"/>
      <c r="L110" s="4"/>
      <c r="M110" s="4"/>
      <c r="N110" s="4"/>
      <c r="O110" s="193" t="str">
        <f>IF(O109+1&lt;=MIN('Données projet'!$E$9:$E$18),O109+1,"STOP")</f>
        <v>STOP</v>
      </c>
      <c r="P110" s="184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8" t="s">
        <v>132</v>
      </c>
      <c r="C111" s="197" t="s">
        <v>132</v>
      </c>
      <c r="D111" s="196" t="s">
        <v>132</v>
      </c>
      <c r="E111" s="192"/>
      <c r="F111" s="230"/>
      <c r="G111" s="23"/>
      <c r="H111" s="189"/>
      <c r="I111" s="190"/>
      <c r="J111" s="4"/>
      <c r="K111" s="172"/>
      <c r="L111" s="4"/>
      <c r="M111" s="4"/>
      <c r="N111" s="4"/>
      <c r="O111" s="193" t="e">
        <f>IF(O110+1&lt;=MIN('Données projet'!$E$9:$E$18),O110+1,"STOP")</f>
        <v>#VALUE!</v>
      </c>
      <c r="P111" s="184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8" t="s">
        <v>132</v>
      </c>
      <c r="C112" s="197" t="s">
        <v>132</v>
      </c>
      <c r="D112" s="196" t="s">
        <v>132</v>
      </c>
      <c r="E112" s="192"/>
      <c r="F112" s="230"/>
      <c r="G112" s="23"/>
      <c r="H112" s="189"/>
      <c r="I112" s="190"/>
      <c r="J112" s="4"/>
      <c r="K112" s="172"/>
      <c r="L112" s="4"/>
      <c r="M112" s="4"/>
      <c r="N112" s="4"/>
      <c r="O112" s="193" t="e">
        <f>IF(O111+1&lt;=MIN('Données projet'!$E$9:$E$18),O111+1,"STOP")</f>
        <v>#VALUE!</v>
      </c>
      <c r="P112" s="184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8" t="s">
        <v>132</v>
      </c>
      <c r="C113" s="197" t="s">
        <v>132</v>
      </c>
      <c r="D113" s="196" t="s">
        <v>132</v>
      </c>
      <c r="E113" s="192"/>
      <c r="F113" s="230"/>
      <c r="G113" s="23"/>
      <c r="H113" s="189"/>
      <c r="I113" s="190"/>
      <c r="J113" s="4"/>
      <c r="K113" s="172"/>
      <c r="L113" s="4"/>
      <c r="M113" s="4"/>
      <c r="N113" s="4"/>
      <c r="O113" s="193" t="e">
        <f>IF(O112+1&lt;=MIN('Données projet'!$E$9:$E$18),O112+1,"STOP")</f>
        <v>#VALUE!</v>
      </c>
      <c r="P113" s="184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8" t="s">
        <v>132</v>
      </c>
      <c r="C114" s="197" t="s">
        <v>132</v>
      </c>
      <c r="D114" s="196" t="s">
        <v>132</v>
      </c>
      <c r="E114" s="192"/>
      <c r="F114" s="230"/>
      <c r="G114" s="23"/>
      <c r="H114" s="189"/>
      <c r="I114" s="190"/>
      <c r="J114" s="4"/>
      <c r="K114" s="172"/>
      <c r="L114" s="4"/>
      <c r="M114" s="4"/>
      <c r="N114" s="4"/>
      <c r="O114" s="193" t="e">
        <f>IF(O113+1&lt;=MIN('Données projet'!$E$9:$E$18),O113+1,"STOP")</f>
        <v>#VALUE!</v>
      </c>
      <c r="P114" s="184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8" t="s">
        <v>132</v>
      </c>
      <c r="C115" s="197" t="s">
        <v>132</v>
      </c>
      <c r="D115" s="196" t="s">
        <v>132</v>
      </c>
      <c r="E115" s="192"/>
      <c r="F115" s="230"/>
      <c r="G115" s="204"/>
      <c r="H115" s="189"/>
      <c r="I115" s="190"/>
      <c r="J115" s="4"/>
      <c r="K115" s="172"/>
      <c r="L115" s="4"/>
      <c r="M115" s="4"/>
      <c r="N115" s="4"/>
      <c r="O115" s="193" t="e">
        <f>IF(O114+1&lt;=MIN('Données projet'!$E$9:$E$18),O114+1,"STOP")</f>
        <v>#VALUE!</v>
      </c>
      <c r="P115" s="184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9">
        <f>'Données projet'!A114</f>
        <v>30</v>
      </c>
      <c r="B116" s="180">
        <f>'Données projet'!D114</f>
        <v>0</v>
      </c>
      <c r="C116" s="273"/>
      <c r="D116" s="178">
        <f>B116*C116</f>
        <v>0</v>
      </c>
      <c r="E116" s="192"/>
      <c r="F116" s="231"/>
      <c r="G116" s="204"/>
      <c r="H116" s="189"/>
      <c r="I116" s="190"/>
      <c r="J116" s="4"/>
      <c r="K116" s="172"/>
      <c r="L116" s="4"/>
      <c r="M116" s="4"/>
      <c r="N116" s="4"/>
      <c r="O116" s="193" t="e">
        <f>IF(O115+1&lt;=MIN('Données projet'!$E$9:$E$18),O115+1,"STOP")</f>
        <v>#VALUE!</v>
      </c>
      <c r="P116" s="184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9">
        <f>'Données projet'!A115</f>
        <v>35</v>
      </c>
      <c r="B117" s="180">
        <f>'Données projet'!D115</f>
        <v>60.602564102564102</v>
      </c>
      <c r="C117" s="274">
        <v>10</v>
      </c>
      <c r="D117" s="178">
        <f t="shared" ref="D117:D135" si="8">B117*C117</f>
        <v>606.02564102564099</v>
      </c>
      <c r="E117" s="192">
        <v>150</v>
      </c>
      <c r="F117" s="231"/>
      <c r="G117" s="204"/>
      <c r="H117" s="189"/>
      <c r="I117" s="190"/>
      <c r="J117" s="4"/>
      <c r="K117" s="172"/>
      <c r="L117" s="4"/>
      <c r="M117" s="4"/>
      <c r="N117" s="4"/>
      <c r="O117" s="193" t="e">
        <f>IF(O116+1&lt;=MIN('Données projet'!$E$9:$E$18),O116+1,"STOP")</f>
        <v>#VALUE!</v>
      </c>
      <c r="P117" s="184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9">
        <f>'Données projet'!A116</f>
        <v>41</v>
      </c>
      <c r="B118" s="180">
        <f>'Données projet'!D116</f>
        <v>38.512820512820511</v>
      </c>
      <c r="C118" s="274">
        <v>10</v>
      </c>
      <c r="D118" s="178">
        <f t="shared" si="8"/>
        <v>385.12820512820508</v>
      </c>
      <c r="E118" s="192">
        <v>150</v>
      </c>
      <c r="F118" s="231"/>
      <c r="G118" s="204"/>
      <c r="H118" s="189"/>
      <c r="I118" s="190"/>
      <c r="J118" s="4"/>
      <c r="K118" s="172"/>
      <c r="L118" s="4"/>
      <c r="M118" s="4"/>
      <c r="N118" s="4"/>
      <c r="O118" s="193" t="e">
        <f>IF(O117+1&lt;=MIN('Données projet'!$E$9:$E$18),O117+1,"STOP")</f>
        <v>#VALUE!</v>
      </c>
      <c r="P118" s="184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9">
        <f>'Données projet'!A117</f>
        <v>48</v>
      </c>
      <c r="B119" s="180">
        <f>'Données projet'!D117</f>
        <v>48.025641025641022</v>
      </c>
      <c r="C119" s="274">
        <v>50</v>
      </c>
      <c r="D119" s="178">
        <f t="shared" si="8"/>
        <v>2401.2820512820513</v>
      </c>
      <c r="E119" s="192">
        <v>150</v>
      </c>
      <c r="F119" s="231"/>
      <c r="G119" s="204"/>
      <c r="H119" s="189"/>
      <c r="I119" s="190"/>
      <c r="J119" s="4"/>
      <c r="K119" s="172"/>
      <c r="L119" s="4"/>
      <c r="M119" s="4"/>
      <c r="N119" s="4"/>
      <c r="O119" s="193" t="e">
        <f>IF(O118+1&lt;=MIN('Données projet'!$E$9:$E$18),O118+1,"STOP")</f>
        <v>#VALUE!</v>
      </c>
      <c r="P119" s="184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9">
        <f>'Données projet'!A118</f>
        <v>55</v>
      </c>
      <c r="B120" s="180">
        <f>'Données projet'!D118</f>
        <v>45.147435897435898</v>
      </c>
      <c r="C120" s="274">
        <v>50</v>
      </c>
      <c r="D120" s="178">
        <f t="shared" si="8"/>
        <v>2257.3717948717949</v>
      </c>
      <c r="E120" s="192">
        <v>150</v>
      </c>
      <c r="F120" s="231"/>
      <c r="G120" s="204"/>
      <c r="H120" s="189"/>
      <c r="I120" s="190"/>
      <c r="J120" s="4"/>
      <c r="K120" s="172"/>
      <c r="L120" s="4"/>
      <c r="M120" s="4"/>
      <c r="N120" s="4"/>
      <c r="O120" s="193" t="e">
        <f>IF(O119+1&lt;=MIN('Données projet'!$E$9:$E$18),O119+1,"STOP")</f>
        <v>#VALUE!</v>
      </c>
      <c r="P120" s="184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9">
        <f>'Données projet'!A119</f>
        <v>63</v>
      </c>
      <c r="B121" s="180">
        <f>'Données projet'!D119</f>
        <v>41.724358974358978</v>
      </c>
      <c r="C121" s="274">
        <v>50</v>
      </c>
      <c r="D121" s="178">
        <f t="shared" si="8"/>
        <v>2086.2179487179487</v>
      </c>
      <c r="E121" s="192">
        <v>150</v>
      </c>
      <c r="F121" s="231"/>
      <c r="G121" s="204"/>
      <c r="H121" s="189"/>
      <c r="I121" s="190"/>
      <c r="J121" s="4"/>
      <c r="K121" s="172"/>
      <c r="L121" s="4"/>
      <c r="M121" s="4"/>
      <c r="N121" s="4"/>
      <c r="O121" s="193" t="e">
        <f>IF(O120+1&lt;=MIN('Données projet'!$E$9:$E$18),O120+1,"STOP")</f>
        <v>#VALUE!</v>
      </c>
      <c r="P121" s="184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9">
        <f>'Données projet'!A120</f>
        <v>71</v>
      </c>
      <c r="B122" s="180">
        <f>'Données projet'!D120</f>
        <v>39.935897435897431</v>
      </c>
      <c r="C122" s="274">
        <v>100</v>
      </c>
      <c r="D122" s="178">
        <f t="shared" si="8"/>
        <v>3993.5897435897432</v>
      </c>
      <c r="E122" s="192">
        <v>150</v>
      </c>
      <c r="F122" s="231"/>
      <c r="G122" s="205"/>
      <c r="H122" s="189"/>
      <c r="I122" s="190"/>
      <c r="J122" s="4"/>
      <c r="K122" s="172"/>
      <c r="L122" s="4"/>
      <c r="M122" s="4"/>
      <c r="N122" s="4"/>
      <c r="O122" s="193" t="e">
        <f>IF(O121+1&lt;=MIN('Données projet'!$E$9:$E$18),O121+1,"STOP")</f>
        <v>#VALUE!</v>
      </c>
      <c r="P122" s="184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9">
        <f>'Données projet'!A121</f>
        <v>80</v>
      </c>
      <c r="B123" s="180">
        <f>'Données projet'!D121</f>
        <v>45.608974358974358</v>
      </c>
      <c r="C123" s="274">
        <v>100</v>
      </c>
      <c r="D123" s="178">
        <f t="shared" si="8"/>
        <v>4560.8974358974356</v>
      </c>
      <c r="E123" s="192">
        <v>150</v>
      </c>
      <c r="F123" s="231"/>
      <c r="G123" s="205"/>
      <c r="H123" s="189"/>
      <c r="I123" s="190"/>
      <c r="J123" s="4"/>
      <c r="K123" s="172"/>
      <c r="L123" s="4"/>
      <c r="M123" s="4"/>
      <c r="N123" s="4"/>
      <c r="O123" s="193" t="e">
        <f>IF(O122+1&lt;=MIN('Données projet'!$E$9:$E$18),O122+1,"STOP")</f>
        <v>#VALUE!</v>
      </c>
      <c r="P123" s="184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9">
        <f>'Données projet'!A122</f>
        <v>89</v>
      </c>
      <c r="B124" s="180">
        <f>'Données projet'!D122</f>
        <v>49.391025641025635</v>
      </c>
      <c r="C124" s="274">
        <v>150</v>
      </c>
      <c r="D124" s="178">
        <f t="shared" si="8"/>
        <v>7408.6538461538457</v>
      </c>
      <c r="E124" s="192">
        <v>150</v>
      </c>
      <c r="F124" s="231"/>
      <c r="G124" s="205"/>
      <c r="H124" s="189"/>
      <c r="I124" s="190"/>
      <c r="J124" s="4"/>
      <c r="K124" s="172"/>
      <c r="L124" s="4"/>
      <c r="M124" s="4"/>
      <c r="N124" s="4"/>
      <c r="O124" s="193" t="e">
        <f>IF(O123+1&lt;=MIN('Données projet'!$E$9:$E$18),O123+1,"STOP")</f>
        <v>#VALUE!</v>
      </c>
      <c r="P124" s="184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9">
        <f>'Données projet'!A123</f>
        <v>99</v>
      </c>
      <c r="B125" s="180">
        <f>'Données projet'!D123</f>
        <v>48.019230769230766</v>
      </c>
      <c r="C125" s="274">
        <v>150</v>
      </c>
      <c r="D125" s="178">
        <f t="shared" si="8"/>
        <v>7202.8846153846152</v>
      </c>
      <c r="E125" s="192">
        <v>150</v>
      </c>
      <c r="F125" s="231"/>
      <c r="G125" s="205"/>
      <c r="H125" s="189"/>
      <c r="I125" s="190"/>
      <c r="J125" s="4"/>
      <c r="K125" s="172"/>
      <c r="L125" s="4"/>
      <c r="M125" s="4"/>
      <c r="N125" s="4"/>
      <c r="O125" s="193" t="e">
        <f>IF(O124+1&lt;=MIN('Données projet'!$E$9:$E$18),O124+1,"STOP")</f>
        <v>#VALUE!</v>
      </c>
      <c r="P125" s="184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9">
        <f>'Données projet'!A124</f>
        <v>109</v>
      </c>
      <c r="B126" s="180">
        <f>'Données projet'!D124</f>
        <v>51.28846153846154</v>
      </c>
      <c r="C126" s="274">
        <v>150</v>
      </c>
      <c r="D126" s="178">
        <f t="shared" si="8"/>
        <v>7693.2692307692314</v>
      </c>
      <c r="E126" s="192">
        <v>150</v>
      </c>
      <c r="F126" s="231"/>
      <c r="G126" s="205"/>
      <c r="H126" s="189"/>
      <c r="I126" s="190"/>
      <c r="J126" s="4"/>
      <c r="K126" s="172"/>
      <c r="L126" s="4"/>
      <c r="M126" s="4"/>
      <c r="N126" s="4"/>
      <c r="O126" s="193" t="e">
        <f>IF(O125+1&lt;=MIN('Données projet'!$E$9:$E$18),O125+1,"STOP")</f>
        <v>#VALUE!</v>
      </c>
      <c r="P126" s="184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9">
        <f>'Données projet'!A125</f>
        <v>119</v>
      </c>
      <c r="B127" s="180">
        <f>'Données projet'!D125</f>
        <v>150.02564102564102</v>
      </c>
      <c r="C127" s="274">
        <v>200</v>
      </c>
      <c r="D127" s="178">
        <f t="shared" si="8"/>
        <v>30005.128205128203</v>
      </c>
      <c r="E127" s="192">
        <v>150</v>
      </c>
      <c r="F127" s="231"/>
      <c r="G127" s="205"/>
      <c r="H127" s="189"/>
      <c r="I127" s="190"/>
      <c r="J127" s="4"/>
      <c r="K127" s="172"/>
      <c r="L127" s="4"/>
      <c r="M127" s="4"/>
      <c r="N127" s="4"/>
      <c r="O127" s="193" t="e">
        <f>IF(O126+1&lt;=MIN('Données projet'!$E$9:$E$18),O126+1,"STOP")</f>
        <v>#VALUE!</v>
      </c>
      <c r="P127" s="184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9">
        <f>'Données projet'!A126</f>
        <v>123</v>
      </c>
      <c r="B128" s="180">
        <f>'Données projet'!D126</f>
        <v>77.17307692307692</v>
      </c>
      <c r="C128" s="190">
        <v>200</v>
      </c>
      <c r="D128" s="178">
        <f t="shared" si="8"/>
        <v>15434.615384615385</v>
      </c>
      <c r="E128" s="192">
        <v>150</v>
      </c>
      <c r="F128" s="231"/>
      <c r="G128" s="205"/>
      <c r="H128" s="189"/>
      <c r="I128" s="190"/>
      <c r="J128" s="4"/>
      <c r="K128" s="172"/>
      <c r="L128" s="4"/>
      <c r="M128" s="4"/>
      <c r="N128" s="4"/>
      <c r="O128" s="193" t="e">
        <f>IF(O127+1&lt;=MIN('Données projet'!$E$9:$E$18),O127+1,"STOP")</f>
        <v>#VALUE!</v>
      </c>
      <c r="P128" s="184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9">
        <f>'Données projet'!A127</f>
        <v>127</v>
      </c>
      <c r="B129" s="180">
        <f>'Données projet'!D127</f>
        <v>49.916666666666671</v>
      </c>
      <c r="C129" s="190">
        <v>200</v>
      </c>
      <c r="D129" s="178">
        <f t="shared" si="8"/>
        <v>9983.3333333333339</v>
      </c>
      <c r="E129" s="192">
        <v>150</v>
      </c>
      <c r="F129" s="231"/>
      <c r="G129" s="205"/>
      <c r="H129" s="189"/>
      <c r="I129" s="190"/>
      <c r="J129" s="4"/>
      <c r="K129" s="172"/>
      <c r="L129" s="4"/>
      <c r="M129" s="4"/>
      <c r="N129" s="4"/>
      <c r="O129" s="193" t="e">
        <f>IF(O128+1&lt;=MIN('Données projet'!$E$9:$E$18),O128+1,"STOP")</f>
        <v>#VALUE!</v>
      </c>
      <c r="P129" s="184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9">
        <f>'Données projet'!A128</f>
        <v>131</v>
      </c>
      <c r="B130" s="180">
        <f>'Données projet'!D128</f>
        <v>110.91025641025641</v>
      </c>
      <c r="C130" s="190">
        <v>200</v>
      </c>
      <c r="D130" s="178">
        <f t="shared" si="8"/>
        <v>22182.051282051281</v>
      </c>
      <c r="E130" s="192">
        <v>150</v>
      </c>
      <c r="F130" s="231"/>
      <c r="G130" s="205"/>
      <c r="H130" s="189"/>
      <c r="I130" s="190"/>
      <c r="J130" s="4"/>
      <c r="K130" s="172"/>
      <c r="L130" s="4"/>
      <c r="M130" s="4"/>
      <c r="N130" s="4"/>
      <c r="O130" s="193" t="e">
        <f>IF(O129+1&lt;=MIN('Données projet'!$E$9:$E$18),O129+1,"STOP")</f>
        <v>#VALUE!</v>
      </c>
      <c r="P130" s="184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9">
        <f>'Données projet'!A129</f>
        <v>0</v>
      </c>
      <c r="B131" s="180">
        <f>'Données projet'!D129</f>
        <v>0</v>
      </c>
      <c r="C131" s="190"/>
      <c r="D131" s="178">
        <f t="shared" si="8"/>
        <v>0</v>
      </c>
      <c r="E131" s="192"/>
      <c r="F131" s="231"/>
      <c r="G131" s="205"/>
      <c r="H131" s="189"/>
      <c r="I131" s="190"/>
      <c r="J131" s="4"/>
      <c r="K131" s="172"/>
      <c r="L131" s="4"/>
      <c r="M131" s="4"/>
      <c r="N131" s="4"/>
      <c r="O131" s="193" t="e">
        <f>IF(O130+1&lt;=MIN('Données projet'!$E$9:$E$18),O130+1,"STOP")</f>
        <v>#VALUE!</v>
      </c>
      <c r="P131" s="184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9">
        <f>'Données projet'!A130</f>
        <v>0</v>
      </c>
      <c r="B132" s="180">
        <f>'Données projet'!D130</f>
        <v>0</v>
      </c>
      <c r="C132" s="190"/>
      <c r="D132" s="178">
        <f t="shared" si="8"/>
        <v>0</v>
      </c>
      <c r="E132" s="192"/>
      <c r="F132" s="231"/>
      <c r="G132" s="205"/>
      <c r="H132" s="189"/>
      <c r="I132" s="190"/>
      <c r="J132" s="4"/>
      <c r="K132" s="172"/>
      <c r="L132" s="4"/>
      <c r="M132" s="4"/>
      <c r="N132" s="4"/>
      <c r="O132" s="193" t="e">
        <f>IF(O131+1&lt;=MIN('Données projet'!$E$9:$E$18),O131+1,"STOP")</f>
        <v>#VALUE!</v>
      </c>
      <c r="P132" s="184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9">
        <f>'Données projet'!A131</f>
        <v>0</v>
      </c>
      <c r="B133" s="180">
        <f>'Données projet'!D131</f>
        <v>0</v>
      </c>
      <c r="C133" s="190"/>
      <c r="D133" s="178">
        <f t="shared" si="8"/>
        <v>0</v>
      </c>
      <c r="E133" s="192"/>
      <c r="F133" s="231"/>
      <c r="G133" s="205"/>
      <c r="H133" s="189"/>
      <c r="I133" s="190"/>
      <c r="J133" s="4"/>
      <c r="K133" s="172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9">
        <f>'Données projet'!A132</f>
        <v>0</v>
      </c>
      <c r="B134" s="180">
        <f>'Données projet'!D132</f>
        <v>0</v>
      </c>
      <c r="C134" s="190"/>
      <c r="D134" s="178">
        <f t="shared" si="8"/>
        <v>0</v>
      </c>
      <c r="E134" s="192"/>
      <c r="F134" s="231"/>
      <c r="G134" s="205"/>
      <c r="H134" s="189"/>
      <c r="I134" s="190"/>
      <c r="J134" s="4"/>
      <c r="K134" s="172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9">
        <f>'Données projet'!A133</f>
        <v>0</v>
      </c>
      <c r="B135" s="180">
        <f>'Données projet'!D133</f>
        <v>0</v>
      </c>
      <c r="C135" s="190"/>
      <c r="D135" s="178">
        <f t="shared" si="8"/>
        <v>0</v>
      </c>
      <c r="E135" s="192"/>
      <c r="F135" s="231"/>
      <c r="G135" s="205"/>
      <c r="H135" s="189"/>
      <c r="I135" s="190"/>
      <c r="J135" s="4"/>
      <c r="K135" s="172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9"/>
      <c r="G136" s="205"/>
      <c r="H136" s="189"/>
      <c r="I136" s="190"/>
      <c r="J136" s="4"/>
      <c r="K136" s="172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9"/>
      <c r="G137" s="205"/>
      <c r="H137" s="189"/>
      <c r="I137" s="190"/>
      <c r="J137" s="4"/>
      <c r="K137" s="172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3" t="str">
        <f>IF('Données projet'!B13="","",'Données projet'!B13)</f>
        <v>Chêne vert</v>
      </c>
      <c r="C138" s="4"/>
      <c r="D138" s="4"/>
      <c r="E138" s="4"/>
      <c r="F138" s="229"/>
      <c r="G138" s="205"/>
      <c r="H138" s="189"/>
      <c r="I138" s="190"/>
      <c r="J138" s="4"/>
      <c r="K138" s="172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9"/>
      <c r="G139" s="205"/>
      <c r="H139" s="189"/>
      <c r="I139" s="190"/>
      <c r="J139" s="4"/>
      <c r="K139" s="172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89"/>
      <c r="I140" s="190"/>
      <c r="J140" s="4"/>
      <c r="K140" s="172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8" t="s">
        <v>132</v>
      </c>
      <c r="C141" s="197" t="s">
        <v>132</v>
      </c>
      <c r="D141" s="196" t="s">
        <v>132</v>
      </c>
      <c r="E141" s="192"/>
      <c r="F141" s="230"/>
      <c r="G141" s="205"/>
      <c r="H141" s="189"/>
      <c r="I141" s="190"/>
      <c r="J141" s="4"/>
      <c r="K141" s="172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8" t="s">
        <v>132</v>
      </c>
      <c r="C142" s="197" t="s">
        <v>132</v>
      </c>
      <c r="D142" s="196" t="s">
        <v>132</v>
      </c>
      <c r="E142" s="192"/>
      <c r="F142" s="230"/>
      <c r="G142" s="23"/>
      <c r="H142" s="189"/>
      <c r="I142" s="190"/>
      <c r="J142" s="4"/>
      <c r="K142" s="172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8" t="s">
        <v>132</v>
      </c>
      <c r="C143" s="197" t="s">
        <v>132</v>
      </c>
      <c r="D143" s="196" t="s">
        <v>132</v>
      </c>
      <c r="E143" s="192"/>
      <c r="F143" s="230"/>
      <c r="G143" s="23"/>
      <c r="H143" s="189"/>
      <c r="I143" s="190"/>
      <c r="J143" s="4"/>
      <c r="K143" s="172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8" t="s">
        <v>132</v>
      </c>
      <c r="C144" s="197" t="s">
        <v>132</v>
      </c>
      <c r="D144" s="196" t="s">
        <v>132</v>
      </c>
      <c r="E144" s="192"/>
      <c r="F144" s="230"/>
      <c r="G144" s="23"/>
      <c r="H144" s="189"/>
      <c r="I144" s="190"/>
      <c r="J144" s="4"/>
      <c r="K144" s="172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8" t="s">
        <v>132</v>
      </c>
      <c r="C145" s="197" t="s">
        <v>132</v>
      </c>
      <c r="D145" s="196" t="s">
        <v>132</v>
      </c>
      <c r="E145" s="192"/>
      <c r="F145" s="230"/>
      <c r="G145" s="23"/>
      <c r="H145" s="189"/>
      <c r="I145" s="190"/>
      <c r="J145" s="4"/>
      <c r="K145" s="172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8" t="s">
        <v>132</v>
      </c>
      <c r="C146" s="197" t="s">
        <v>132</v>
      </c>
      <c r="D146" s="196" t="s">
        <v>132</v>
      </c>
      <c r="E146" s="192"/>
      <c r="F146" s="230"/>
      <c r="G146" s="204"/>
      <c r="H146" s="189"/>
      <c r="I146" s="190"/>
      <c r="J146" s="4"/>
      <c r="K146" s="172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30</v>
      </c>
      <c r="B147" s="174">
        <f>'Données projet'!D140</f>
        <v>0</v>
      </c>
      <c r="C147" s="273"/>
      <c r="D147" s="181">
        <f>B147*C147</f>
        <v>0</v>
      </c>
      <c r="E147" s="192"/>
      <c r="F147" s="232"/>
      <c r="G147" s="204"/>
      <c r="H147" s="189"/>
      <c r="I147" s="190"/>
      <c r="J147" s="4"/>
      <c r="K147" s="172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44</v>
      </c>
      <c r="B148" s="174">
        <f>'Données projet'!D141</f>
        <v>64.416666666666657</v>
      </c>
      <c r="C148" s="274">
        <v>10</v>
      </c>
      <c r="D148" s="181">
        <f t="shared" ref="D148:D166" si="10">B148*C148</f>
        <v>644.16666666666652</v>
      </c>
      <c r="E148" s="192">
        <v>150</v>
      </c>
      <c r="F148" s="232"/>
      <c r="G148" s="204"/>
      <c r="H148" s="189"/>
      <c r="I148" s="190"/>
      <c r="J148" s="4"/>
      <c r="K148" s="172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51</v>
      </c>
      <c r="B149" s="174">
        <f>'Données projet'!D142</f>
        <v>37.685897435897431</v>
      </c>
      <c r="C149" s="274">
        <v>10</v>
      </c>
      <c r="D149" s="181">
        <f t="shared" si="10"/>
        <v>376.85897435897431</v>
      </c>
      <c r="E149" s="192">
        <v>150</v>
      </c>
      <c r="F149" s="232"/>
      <c r="G149" s="204"/>
      <c r="H149" s="189"/>
      <c r="I149" s="190"/>
      <c r="J149" s="4"/>
      <c r="K149" s="172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59</v>
      </c>
      <c r="B150" s="174">
        <f>'Données projet'!D143</f>
        <v>38.942307692307693</v>
      </c>
      <c r="C150" s="274">
        <v>50</v>
      </c>
      <c r="D150" s="181">
        <f t="shared" si="10"/>
        <v>1947.1153846153848</v>
      </c>
      <c r="E150" s="192">
        <v>150</v>
      </c>
      <c r="F150" s="232"/>
      <c r="G150" s="204"/>
      <c r="H150" s="189"/>
      <c r="I150" s="190"/>
      <c r="J150" s="4"/>
      <c r="K150" s="172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67</v>
      </c>
      <c r="B151" s="174">
        <f>'Données projet'!D144</f>
        <v>31.993589743589741</v>
      </c>
      <c r="C151" s="274">
        <v>50</v>
      </c>
      <c r="D151" s="181">
        <f t="shared" si="10"/>
        <v>1599.6794871794871</v>
      </c>
      <c r="E151" s="192">
        <v>150</v>
      </c>
      <c r="F151" s="232"/>
      <c r="G151" s="204"/>
      <c r="H151" s="189"/>
      <c r="I151" s="190"/>
      <c r="J151" s="4"/>
      <c r="K151" s="172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75</v>
      </c>
      <c r="B152" s="174">
        <f>'Données projet'!D145</f>
        <v>30.916666666666664</v>
      </c>
      <c r="C152" s="274">
        <v>50</v>
      </c>
      <c r="D152" s="181">
        <f t="shared" si="10"/>
        <v>1545.8333333333333</v>
      </c>
      <c r="E152" s="192">
        <v>150</v>
      </c>
      <c r="F152" s="232"/>
      <c r="G152" s="204"/>
      <c r="H152" s="189"/>
      <c r="I152" s="190"/>
      <c r="J152" s="4"/>
      <c r="K152" s="172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84</v>
      </c>
      <c r="B153" s="174">
        <f>'Données projet'!D146</f>
        <v>35.083333333333329</v>
      </c>
      <c r="C153" s="274">
        <v>100</v>
      </c>
      <c r="D153" s="181">
        <f t="shared" si="10"/>
        <v>3508.333333333333</v>
      </c>
      <c r="E153" s="192">
        <v>150</v>
      </c>
      <c r="F153" s="232"/>
      <c r="G153" s="202"/>
      <c r="H153" s="189"/>
      <c r="I153" s="190"/>
      <c r="J153" s="4"/>
      <c r="K153" s="172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93</v>
      </c>
      <c r="B154" s="174">
        <f>'Données projet'!D147</f>
        <v>30.083333333333332</v>
      </c>
      <c r="C154" s="274">
        <v>100</v>
      </c>
      <c r="D154" s="181">
        <f t="shared" si="10"/>
        <v>3008.333333333333</v>
      </c>
      <c r="E154" s="192">
        <v>150</v>
      </c>
      <c r="F154" s="232"/>
      <c r="G154" s="202"/>
      <c r="H154" s="189"/>
      <c r="I154" s="190"/>
      <c r="J154" s="4"/>
      <c r="K154" s="172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103</v>
      </c>
      <c r="B155" s="174">
        <f>'Données projet'!D148</f>
        <v>39.512820512820511</v>
      </c>
      <c r="C155" s="274">
        <v>150</v>
      </c>
      <c r="D155" s="181">
        <f t="shared" si="10"/>
        <v>5926.9230769230762</v>
      </c>
      <c r="E155" s="192">
        <v>150</v>
      </c>
      <c r="F155" s="232"/>
      <c r="G155" s="202"/>
      <c r="H155" s="189"/>
      <c r="I155" s="190"/>
      <c r="J155" s="4"/>
      <c r="K155" s="172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113</v>
      </c>
      <c r="B156" s="174">
        <f>'Données projet'!D149</f>
        <v>31.602564102564099</v>
      </c>
      <c r="C156" s="274">
        <v>150</v>
      </c>
      <c r="D156" s="181">
        <f t="shared" si="10"/>
        <v>4740.3846153846152</v>
      </c>
      <c r="E156" s="192">
        <v>150</v>
      </c>
      <c r="F156" s="232"/>
      <c r="G156" s="202"/>
      <c r="H156" s="189"/>
      <c r="I156" s="190"/>
      <c r="J156" s="4"/>
      <c r="K156" s="172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125</v>
      </c>
      <c r="B157" s="174">
        <f>'Données projet'!D150</f>
        <v>48.160256410256409</v>
      </c>
      <c r="C157" s="274">
        <v>150</v>
      </c>
      <c r="D157" s="181">
        <f t="shared" si="10"/>
        <v>7224.038461538461</v>
      </c>
      <c r="E157" s="192">
        <v>150</v>
      </c>
      <c r="F157" s="232"/>
      <c r="G157" s="202"/>
      <c r="H157" s="189"/>
      <c r="I157" s="190"/>
      <c r="J157" s="4"/>
      <c r="K157" s="172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137</v>
      </c>
      <c r="B158" s="174">
        <f>'Données projet'!D151</f>
        <v>51.160256410256409</v>
      </c>
      <c r="C158" s="274">
        <v>200</v>
      </c>
      <c r="D158" s="181">
        <f t="shared" si="10"/>
        <v>10232.051282051281</v>
      </c>
      <c r="E158" s="192">
        <v>150</v>
      </c>
      <c r="F158" s="232"/>
      <c r="G158" s="202"/>
      <c r="H158" s="189"/>
      <c r="I158" s="190"/>
      <c r="J158" s="4"/>
      <c r="K158" s="172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149</v>
      </c>
      <c r="B159" s="174">
        <f>'Données projet'!D152</f>
        <v>120.50641025641026</v>
      </c>
      <c r="C159" s="190">
        <v>200</v>
      </c>
      <c r="D159" s="181">
        <f t="shared" si="10"/>
        <v>24101.282051282051</v>
      </c>
      <c r="E159" s="192">
        <v>150</v>
      </c>
      <c r="F159" s="232"/>
      <c r="G159" s="202"/>
      <c r="H159" s="189"/>
      <c r="I159" s="190"/>
      <c r="J159" s="4"/>
      <c r="K159" s="172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153</v>
      </c>
      <c r="B160" s="174">
        <f>'Données projet'!D153</f>
        <v>70.115384615384613</v>
      </c>
      <c r="C160" s="190"/>
      <c r="D160" s="181">
        <f t="shared" si="10"/>
        <v>0</v>
      </c>
      <c r="E160" s="192"/>
      <c r="F160" s="232"/>
      <c r="G160" s="202"/>
      <c r="H160" s="189"/>
      <c r="I160" s="190"/>
      <c r="J160" s="4"/>
      <c r="K160" s="17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157</v>
      </c>
      <c r="B161" s="174">
        <f>'Données projet'!D154</f>
        <v>45.71153846153846</v>
      </c>
      <c r="C161" s="190"/>
      <c r="D161" s="181">
        <f t="shared" si="10"/>
        <v>0</v>
      </c>
      <c r="E161" s="192"/>
      <c r="F161" s="232"/>
      <c r="G161" s="202"/>
      <c r="H161" s="189"/>
      <c r="I161" s="190"/>
      <c r="J161" s="4"/>
      <c r="K161" s="17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161</v>
      </c>
      <c r="B162" s="174">
        <f>'Données projet'!D155</f>
        <v>91.365384615384613</v>
      </c>
      <c r="C162" s="190"/>
      <c r="D162" s="181">
        <f t="shared" si="10"/>
        <v>0</v>
      </c>
      <c r="E162" s="192"/>
      <c r="F162" s="232"/>
      <c r="G162" s="202"/>
      <c r="H162" s="189"/>
      <c r="I162" s="190"/>
      <c r="J162" s="4"/>
      <c r="K162" s="17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4">
        <f>'Données projet'!D156</f>
        <v>0</v>
      </c>
      <c r="C163" s="190"/>
      <c r="D163" s="181">
        <f t="shared" si="10"/>
        <v>0</v>
      </c>
      <c r="E163" s="192"/>
      <c r="F163" s="232"/>
      <c r="G163" s="202"/>
      <c r="H163" s="189"/>
      <c r="I163" s="190"/>
      <c r="J163" s="4"/>
      <c r="K163" s="17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4">
        <f>'Données projet'!D157</f>
        <v>0</v>
      </c>
      <c r="C164" s="190"/>
      <c r="D164" s="181">
        <f t="shared" si="10"/>
        <v>0</v>
      </c>
      <c r="E164" s="192"/>
      <c r="F164" s="232"/>
      <c r="G164" s="202"/>
      <c r="H164" s="189"/>
      <c r="I164" s="190"/>
      <c r="J164" s="4"/>
      <c r="K164" s="17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4">
        <f>'Données projet'!D158</f>
        <v>0</v>
      </c>
      <c r="C165" s="190"/>
      <c r="D165" s="181">
        <f t="shared" si="10"/>
        <v>0</v>
      </c>
      <c r="E165" s="192"/>
      <c r="F165" s="232"/>
      <c r="G165" s="202"/>
      <c r="H165" s="189"/>
      <c r="I165" s="190"/>
      <c r="J165" s="4"/>
      <c r="K165" s="17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4">
        <f>'Données projet'!D159</f>
        <v>0</v>
      </c>
      <c r="C166" s="190"/>
      <c r="D166" s="181">
        <f t="shared" si="10"/>
        <v>0</v>
      </c>
      <c r="E166" s="192"/>
      <c r="F166" s="232"/>
      <c r="G166" s="202"/>
      <c r="H166" s="189"/>
      <c r="I166" s="190"/>
      <c r="J166" s="4"/>
      <c r="K166" s="17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9"/>
      <c r="G167" s="202"/>
      <c r="H167" s="189"/>
      <c r="I167" s="190"/>
      <c r="J167" s="4"/>
      <c r="K167" s="17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9"/>
      <c r="G168" s="202"/>
      <c r="H168" s="189"/>
      <c r="I168" s="190"/>
      <c r="J168" s="4"/>
      <c r="K168" s="17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3" t="str">
        <f>IF('Données projet'!B14="","",'Données projet'!B14)</f>
        <v>Chêne-liège</v>
      </c>
      <c r="C169" s="4"/>
      <c r="D169" s="4"/>
      <c r="E169" s="4"/>
      <c r="F169" s="229"/>
      <c r="G169" s="202"/>
      <c r="H169" s="189"/>
      <c r="I169" s="190"/>
      <c r="J169" s="4"/>
      <c r="K169" s="17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9"/>
      <c r="G170" s="202"/>
      <c r="H170" s="189"/>
      <c r="I170" s="190"/>
      <c r="J170" s="4"/>
      <c r="K170" s="17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89"/>
      <c r="I171" s="190"/>
      <c r="J171" s="4"/>
      <c r="K171" s="17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8" t="s">
        <v>132</v>
      </c>
      <c r="C172" s="197" t="s">
        <v>132</v>
      </c>
      <c r="D172" s="196" t="s">
        <v>132</v>
      </c>
      <c r="E172" s="192"/>
      <c r="F172" s="230"/>
      <c r="G172" s="202"/>
      <c r="H172" s="189"/>
      <c r="I172" s="190"/>
      <c r="J172" s="4"/>
      <c r="K172" s="17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8" t="s">
        <v>132</v>
      </c>
      <c r="C173" s="197" t="s">
        <v>132</v>
      </c>
      <c r="D173" s="196" t="s">
        <v>132</v>
      </c>
      <c r="E173" s="192"/>
      <c r="F173" s="230"/>
      <c r="G173" s="23"/>
      <c r="H173" s="189"/>
      <c r="I173" s="190"/>
      <c r="J173" s="4"/>
      <c r="K173" s="17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8" t="s">
        <v>132</v>
      </c>
      <c r="C174" s="197" t="s">
        <v>132</v>
      </c>
      <c r="D174" s="196" t="s">
        <v>132</v>
      </c>
      <c r="E174" s="192"/>
      <c r="F174" s="230"/>
      <c r="G174" s="23"/>
      <c r="H174" s="189"/>
      <c r="I174" s="190"/>
      <c r="J174" s="4"/>
      <c r="K174" s="17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8" t="s">
        <v>132</v>
      </c>
      <c r="C175" s="197" t="s">
        <v>132</v>
      </c>
      <c r="D175" s="196" t="s">
        <v>132</v>
      </c>
      <c r="E175" s="192"/>
      <c r="F175" s="230"/>
      <c r="G175" s="23"/>
      <c r="H175" s="189"/>
      <c r="I175" s="190"/>
      <c r="J175" s="4"/>
      <c r="K175" s="17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8" t="s">
        <v>132</v>
      </c>
      <c r="C176" s="197" t="s">
        <v>132</v>
      </c>
      <c r="D176" s="196" t="s">
        <v>132</v>
      </c>
      <c r="E176" s="192"/>
      <c r="F176" s="230"/>
      <c r="G176" s="23"/>
      <c r="H176" s="189"/>
      <c r="I176" s="190"/>
      <c r="J176" s="4"/>
      <c r="K176" s="17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8" t="s">
        <v>132</v>
      </c>
      <c r="C177" s="197" t="s">
        <v>132</v>
      </c>
      <c r="D177" s="196" t="s">
        <v>132</v>
      </c>
      <c r="E177" s="192"/>
      <c r="F177" s="230"/>
      <c r="G177" s="204"/>
      <c r="H177" s="189"/>
      <c r="I177" s="190"/>
      <c r="J177" s="4"/>
      <c r="K177" s="17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9">
        <f>'Données projet'!A166</f>
        <v>30</v>
      </c>
      <c r="B178" s="180">
        <f>'Données projet'!D166</f>
        <v>0</v>
      </c>
      <c r="C178" s="274"/>
      <c r="D178" s="178">
        <f>B178*C178</f>
        <v>0</v>
      </c>
      <c r="E178" s="192"/>
      <c r="F178" s="231"/>
      <c r="G178" s="204"/>
      <c r="H178" s="189"/>
      <c r="I178" s="190"/>
      <c r="J178" s="4"/>
      <c r="K178" s="17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9">
        <f>'Données projet'!A167</f>
        <v>44</v>
      </c>
      <c r="B179" s="180">
        <f>'Données projet'!D167</f>
        <v>64.416666666666657</v>
      </c>
      <c r="C179" s="274">
        <v>10</v>
      </c>
      <c r="D179" s="178">
        <f t="shared" ref="D179:D197" si="11">B179*C179</f>
        <v>644.16666666666652</v>
      </c>
      <c r="E179" s="192">
        <v>150</v>
      </c>
      <c r="F179" s="231"/>
      <c r="G179" s="204"/>
      <c r="H179" s="189"/>
      <c r="I179" s="190"/>
      <c r="J179" s="4"/>
      <c r="K179" s="17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9">
        <f>'Données projet'!A168</f>
        <v>51</v>
      </c>
      <c r="B180" s="180">
        <f>'Données projet'!D168</f>
        <v>37.685897435897431</v>
      </c>
      <c r="C180" s="274">
        <v>50</v>
      </c>
      <c r="D180" s="178">
        <f t="shared" si="11"/>
        <v>1884.2948717948716</v>
      </c>
      <c r="E180" s="192">
        <v>150</v>
      </c>
      <c r="F180" s="231"/>
      <c r="G180" s="204"/>
      <c r="H180" s="189"/>
      <c r="I180" s="190"/>
      <c r="J180" s="4"/>
      <c r="K180" s="17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9">
        <f>'Données projet'!A169</f>
        <v>59</v>
      </c>
      <c r="B181" s="180">
        <f>'Données projet'!D169</f>
        <v>38.942307692307693</v>
      </c>
      <c r="C181" s="274">
        <v>50</v>
      </c>
      <c r="D181" s="178">
        <f t="shared" si="11"/>
        <v>1947.1153846153848</v>
      </c>
      <c r="E181" s="192">
        <v>150</v>
      </c>
      <c r="F181" s="231"/>
      <c r="G181" s="204"/>
      <c r="H181" s="189"/>
      <c r="I181" s="190"/>
      <c r="J181" s="4"/>
      <c r="K181" s="17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9">
        <f>'Données projet'!A170</f>
        <v>67</v>
      </c>
      <c r="B182" s="180">
        <f>'Données projet'!D170</f>
        <v>31.993589743589741</v>
      </c>
      <c r="C182" s="274">
        <v>50</v>
      </c>
      <c r="D182" s="178">
        <f t="shared" si="11"/>
        <v>1599.6794871794871</v>
      </c>
      <c r="E182" s="192">
        <v>150</v>
      </c>
      <c r="F182" s="231"/>
      <c r="G182" s="204"/>
      <c r="H182" s="189"/>
      <c r="I182" s="190"/>
      <c r="J182" s="4"/>
      <c r="K182" s="17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9">
        <f>'Données projet'!A171</f>
        <v>75</v>
      </c>
      <c r="B183" s="180">
        <f>'Données projet'!D171</f>
        <v>30.916666666666664</v>
      </c>
      <c r="C183" s="274">
        <v>100</v>
      </c>
      <c r="D183" s="178">
        <f t="shared" si="11"/>
        <v>3091.6666666666665</v>
      </c>
      <c r="E183" s="192">
        <v>150</v>
      </c>
      <c r="F183" s="231"/>
      <c r="G183" s="204"/>
      <c r="H183" s="189"/>
      <c r="I183" s="190"/>
      <c r="J183" s="4"/>
      <c r="K183" s="17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9">
        <f>'Données projet'!A172</f>
        <v>84</v>
      </c>
      <c r="B184" s="180">
        <f>'Données projet'!D172</f>
        <v>35.083333333333329</v>
      </c>
      <c r="C184" s="274">
        <v>100</v>
      </c>
      <c r="D184" s="178">
        <f t="shared" si="11"/>
        <v>3508.333333333333</v>
      </c>
      <c r="E184" s="192">
        <v>150</v>
      </c>
      <c r="F184" s="231"/>
      <c r="G184" s="205"/>
      <c r="H184" s="189"/>
      <c r="I184" s="190"/>
      <c r="J184" s="4"/>
      <c r="K184" s="17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9">
        <f>'Données projet'!A173</f>
        <v>93</v>
      </c>
      <c r="B185" s="180">
        <f>'Données projet'!D173</f>
        <v>30.083333333333332</v>
      </c>
      <c r="C185" s="274">
        <v>150</v>
      </c>
      <c r="D185" s="178">
        <f t="shared" si="11"/>
        <v>4512.5</v>
      </c>
      <c r="E185" s="192">
        <v>150</v>
      </c>
      <c r="F185" s="231"/>
      <c r="G185" s="205"/>
      <c r="H185" s="189"/>
      <c r="I185" s="190"/>
      <c r="J185" s="4"/>
      <c r="K185" s="17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9">
        <f>'Données projet'!A174</f>
        <v>103</v>
      </c>
      <c r="B186" s="180">
        <f>'Données projet'!D174</f>
        <v>39.512820512820511</v>
      </c>
      <c r="C186" s="274">
        <v>150</v>
      </c>
      <c r="D186" s="178">
        <f t="shared" si="11"/>
        <v>5926.9230769230762</v>
      </c>
      <c r="E186" s="192">
        <v>150</v>
      </c>
      <c r="F186" s="231"/>
      <c r="G186" s="205"/>
      <c r="H186" s="189"/>
      <c r="I186" s="190"/>
      <c r="J186" s="4"/>
      <c r="K186" s="17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9">
        <f>'Données projet'!A175</f>
        <v>113</v>
      </c>
      <c r="B187" s="180">
        <f>'Données projet'!D175</f>
        <v>31.602564102564099</v>
      </c>
      <c r="C187" s="274">
        <v>150</v>
      </c>
      <c r="D187" s="178">
        <f t="shared" si="11"/>
        <v>4740.3846153846152</v>
      </c>
      <c r="E187" s="192">
        <v>150</v>
      </c>
      <c r="F187" s="231"/>
      <c r="G187" s="205"/>
      <c r="H187" s="189"/>
      <c r="I187" s="190"/>
      <c r="J187" s="4"/>
      <c r="K187" s="17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9">
        <f>'Données projet'!A176</f>
        <v>125</v>
      </c>
      <c r="B188" s="180">
        <f>'Données projet'!D176</f>
        <v>48.160256410256409</v>
      </c>
      <c r="C188" s="274">
        <v>200</v>
      </c>
      <c r="D188" s="178">
        <f t="shared" si="11"/>
        <v>9632.0512820512813</v>
      </c>
      <c r="E188" s="192">
        <v>150</v>
      </c>
      <c r="F188" s="231"/>
      <c r="G188" s="205"/>
      <c r="H188" s="189"/>
      <c r="I188" s="190"/>
      <c r="J188" s="4"/>
      <c r="K188" s="17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9">
        <f>'Données projet'!A177</f>
        <v>137</v>
      </c>
      <c r="B189" s="180">
        <f>'Données projet'!D177</f>
        <v>51.160256410256409</v>
      </c>
      <c r="C189" s="192">
        <v>200</v>
      </c>
      <c r="D189" s="178">
        <f t="shared" si="11"/>
        <v>10232.051282051281</v>
      </c>
      <c r="E189" s="192">
        <v>150</v>
      </c>
      <c r="F189" s="231"/>
      <c r="G189" s="205"/>
      <c r="H189" s="189"/>
      <c r="I189" s="190"/>
      <c r="J189" s="4"/>
      <c r="K189" s="17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9">
        <f>'Données projet'!A178</f>
        <v>149</v>
      </c>
      <c r="B190" s="180">
        <f>'Données projet'!D178</f>
        <v>120.50641025641026</v>
      </c>
      <c r="C190" s="192">
        <v>200</v>
      </c>
      <c r="D190" s="178">
        <f t="shared" si="11"/>
        <v>24101.282051282051</v>
      </c>
      <c r="E190" s="192">
        <v>150</v>
      </c>
      <c r="F190" s="231"/>
      <c r="G190" s="205"/>
      <c r="H190" s="189"/>
      <c r="I190" s="190"/>
      <c r="J190" s="4"/>
      <c r="K190" s="17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9">
        <f>'Données projet'!A179</f>
        <v>153</v>
      </c>
      <c r="B191" s="180">
        <f>'Données projet'!D179</f>
        <v>70.115384615384613</v>
      </c>
      <c r="C191" s="192">
        <v>200</v>
      </c>
      <c r="D191" s="178">
        <f t="shared" si="11"/>
        <v>14023.076923076922</v>
      </c>
      <c r="E191" s="192">
        <v>150</v>
      </c>
      <c r="F191" s="231"/>
      <c r="G191" s="205"/>
      <c r="H191" s="189"/>
      <c r="I191" s="190"/>
      <c r="J191" s="4"/>
      <c r="K191" s="17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9">
        <f>'Données projet'!A180</f>
        <v>157</v>
      </c>
      <c r="B192" s="180">
        <f>'Données projet'!D180</f>
        <v>45.71153846153846</v>
      </c>
      <c r="C192" s="192">
        <v>200</v>
      </c>
      <c r="D192" s="178">
        <f t="shared" si="11"/>
        <v>9142.3076923076915</v>
      </c>
      <c r="E192" s="192">
        <v>150</v>
      </c>
      <c r="F192" s="231"/>
      <c r="G192" s="205"/>
      <c r="H192" s="189"/>
      <c r="I192" s="190"/>
      <c r="J192" s="4"/>
      <c r="K192" s="17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9">
        <f>'Données projet'!A181</f>
        <v>161</v>
      </c>
      <c r="B193" s="180">
        <f>'Données projet'!D181</f>
        <v>91.365384615384613</v>
      </c>
      <c r="C193" s="192">
        <v>200</v>
      </c>
      <c r="D193" s="178">
        <f t="shared" si="11"/>
        <v>18273.076923076922</v>
      </c>
      <c r="E193" s="192">
        <v>150</v>
      </c>
      <c r="F193" s="231"/>
      <c r="G193" s="205"/>
      <c r="H193" s="189"/>
      <c r="I193" s="190"/>
      <c r="J193" s="4"/>
      <c r="K193" s="17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9">
        <f>'Données projet'!A182</f>
        <v>0</v>
      </c>
      <c r="B194" s="180">
        <f>'Données projet'!D182</f>
        <v>0</v>
      </c>
      <c r="C194" s="192"/>
      <c r="D194" s="178">
        <f t="shared" si="11"/>
        <v>0</v>
      </c>
      <c r="E194" s="192"/>
      <c r="F194" s="231"/>
      <c r="G194" s="205"/>
      <c r="H194" s="189"/>
      <c r="I194" s="190"/>
      <c r="J194" s="4"/>
      <c r="K194" s="17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9">
        <f>'Données projet'!A183</f>
        <v>0</v>
      </c>
      <c r="B195" s="180">
        <f>'Données projet'!D183</f>
        <v>0</v>
      </c>
      <c r="C195" s="192"/>
      <c r="D195" s="178">
        <f t="shared" si="11"/>
        <v>0</v>
      </c>
      <c r="E195" s="192"/>
      <c r="F195" s="231"/>
      <c r="G195" s="205"/>
      <c r="H195" s="189"/>
      <c r="I195" s="190"/>
      <c r="J195" s="4"/>
      <c r="K195" s="17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9">
        <f>'Données projet'!A184</f>
        <v>0</v>
      </c>
      <c r="B196" s="180">
        <f>'Données projet'!D184</f>
        <v>0</v>
      </c>
      <c r="C196" s="192"/>
      <c r="D196" s="178">
        <f t="shared" si="11"/>
        <v>0</v>
      </c>
      <c r="E196" s="192"/>
      <c r="F196" s="231"/>
      <c r="G196" s="205"/>
      <c r="H196" s="189"/>
      <c r="I196" s="190"/>
      <c r="J196" s="4"/>
      <c r="K196" s="17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9">
        <f>'Données projet'!A185</f>
        <v>0</v>
      </c>
      <c r="B197" s="180">
        <f>'Données projet'!D185</f>
        <v>0</v>
      </c>
      <c r="C197" s="192"/>
      <c r="D197" s="178">
        <f t="shared" si="11"/>
        <v>0</v>
      </c>
      <c r="E197" s="192"/>
      <c r="F197" s="231"/>
      <c r="G197" s="205"/>
      <c r="H197" s="189"/>
      <c r="I197" s="190"/>
      <c r="J197" s="4"/>
      <c r="K197" s="17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9"/>
      <c r="G198" s="205"/>
      <c r="H198" s="189"/>
      <c r="I198" s="190"/>
      <c r="J198" s="4"/>
      <c r="K198" s="17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9"/>
      <c r="G199" s="205"/>
      <c r="H199" s="189"/>
      <c r="I199" s="190"/>
      <c r="J199" s="4"/>
      <c r="K199" s="17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3" t="str">
        <f>IF('Données projet'!$B$15="","",'Données projet'!$B$15)</f>
        <v>Alisier torminal</v>
      </c>
      <c r="C200" s="4"/>
      <c r="D200" s="4"/>
      <c r="E200" s="4"/>
      <c r="F200" s="229"/>
      <c r="G200" s="205"/>
      <c r="H200" s="189"/>
      <c r="I200" s="190"/>
      <c r="J200" s="4"/>
      <c r="K200" s="17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9"/>
      <c r="G201" s="205"/>
      <c r="H201" s="189"/>
      <c r="I201" s="190"/>
      <c r="J201" s="4"/>
      <c r="K201" s="17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89"/>
      <c r="I202" s="190"/>
      <c r="J202" s="4"/>
      <c r="K202" s="17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8" t="s">
        <v>132</v>
      </c>
      <c r="C203" s="197" t="s">
        <v>132</v>
      </c>
      <c r="D203" s="196" t="s">
        <v>132</v>
      </c>
      <c r="E203" s="192"/>
      <c r="F203" s="230"/>
      <c r="G203" s="205"/>
      <c r="H203" s="189"/>
      <c r="I203" s="190"/>
      <c r="J203" s="4"/>
      <c r="K203" s="17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8" t="s">
        <v>132</v>
      </c>
      <c r="C204" s="197" t="s">
        <v>132</v>
      </c>
      <c r="D204" s="196" t="s">
        <v>132</v>
      </c>
      <c r="E204" s="192"/>
      <c r="F204" s="230"/>
      <c r="G204" s="23"/>
      <c r="H204" s="189"/>
      <c r="I204" s="190"/>
      <c r="J204" s="4"/>
      <c r="K204" s="17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8" t="s">
        <v>132</v>
      </c>
      <c r="C205" s="197" t="s">
        <v>132</v>
      </c>
      <c r="D205" s="196" t="s">
        <v>132</v>
      </c>
      <c r="E205" s="192"/>
      <c r="F205" s="230"/>
      <c r="G205" s="23"/>
      <c r="H205" s="189"/>
      <c r="I205" s="190"/>
      <c r="J205" s="4"/>
      <c r="K205" s="17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8" t="s">
        <v>132</v>
      </c>
      <c r="C206" s="197" t="s">
        <v>132</v>
      </c>
      <c r="D206" s="196" t="s">
        <v>132</v>
      </c>
      <c r="E206" s="192"/>
      <c r="F206" s="230"/>
      <c r="G206" s="23"/>
      <c r="H206" s="189"/>
      <c r="I206" s="190"/>
      <c r="J206" s="4"/>
      <c r="K206" s="17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8" t="s">
        <v>132</v>
      </c>
      <c r="C207" s="197" t="s">
        <v>132</v>
      </c>
      <c r="D207" s="196" t="s">
        <v>132</v>
      </c>
      <c r="E207" s="192"/>
      <c r="F207" s="230"/>
      <c r="G207" s="23"/>
      <c r="H207" s="189"/>
      <c r="I207" s="190"/>
      <c r="J207" s="4"/>
      <c r="K207" s="17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8" t="s">
        <v>132</v>
      </c>
      <c r="C208" s="197" t="s">
        <v>132</v>
      </c>
      <c r="D208" s="196" t="s">
        <v>132</v>
      </c>
      <c r="E208" s="192"/>
      <c r="F208" s="230"/>
      <c r="G208" s="204"/>
      <c r="H208" s="189"/>
      <c r="I208" s="190"/>
      <c r="J208" s="4"/>
      <c r="K208" s="17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9">
        <f>'Données projet'!A192</f>
        <v>30</v>
      </c>
      <c r="B209" s="180">
        <f>'Données projet'!D192</f>
        <v>0</v>
      </c>
      <c r="C209" s="273"/>
      <c r="D209" s="178">
        <f>B209*C209</f>
        <v>0</v>
      </c>
      <c r="E209" s="192"/>
      <c r="F209" s="231"/>
      <c r="G209" s="204"/>
      <c r="H209" s="189"/>
      <c r="I209" s="190"/>
      <c r="J209" s="4"/>
      <c r="K209" s="17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9">
        <f>'Données projet'!A193</f>
        <v>44</v>
      </c>
      <c r="B210" s="180">
        <f>'Données projet'!D193</f>
        <v>64.416666666666657</v>
      </c>
      <c r="C210" s="274">
        <v>10</v>
      </c>
      <c r="D210" s="178">
        <f t="shared" ref="D210:D228" si="12">B210*C210</f>
        <v>644.16666666666652</v>
      </c>
      <c r="E210" s="192">
        <v>150</v>
      </c>
      <c r="F210" s="231"/>
      <c r="G210" s="204"/>
      <c r="H210" s="189"/>
      <c r="I210" s="190"/>
      <c r="J210" s="4"/>
      <c r="K210" s="17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9">
        <f>'Données projet'!A194</f>
        <v>51</v>
      </c>
      <c r="B211" s="180">
        <f>'Données projet'!D194</f>
        <v>37.685897435897431</v>
      </c>
      <c r="C211" s="274">
        <v>10</v>
      </c>
      <c r="D211" s="178">
        <f t="shared" si="12"/>
        <v>376.85897435897431</v>
      </c>
      <c r="E211" s="192">
        <v>150</v>
      </c>
      <c r="F211" s="231"/>
      <c r="G211" s="204"/>
      <c r="H211" s="189"/>
      <c r="I211" s="190"/>
      <c r="J211" s="4"/>
      <c r="K211" s="17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9">
        <f>'Données projet'!A195</f>
        <v>59</v>
      </c>
      <c r="B212" s="180">
        <f>'Données projet'!D195</f>
        <v>38.942307692307693</v>
      </c>
      <c r="C212" s="274">
        <v>15</v>
      </c>
      <c r="D212" s="178">
        <f t="shared" si="12"/>
        <v>584.13461538461536</v>
      </c>
      <c r="E212" s="192">
        <v>150</v>
      </c>
      <c r="F212" s="231"/>
      <c r="G212" s="204"/>
      <c r="H212" s="189"/>
      <c r="I212" s="190"/>
      <c r="J212" s="4"/>
      <c r="K212" s="17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9">
        <f>'Données projet'!A196</f>
        <v>67</v>
      </c>
      <c r="B213" s="180">
        <f>'Données projet'!D196</f>
        <v>31.993589743589741</v>
      </c>
      <c r="C213" s="274">
        <v>15</v>
      </c>
      <c r="D213" s="178">
        <f t="shared" si="12"/>
        <v>479.90384615384613</v>
      </c>
      <c r="E213" s="192">
        <v>150</v>
      </c>
      <c r="F213" s="231"/>
      <c r="G213" s="204"/>
      <c r="H213" s="189"/>
      <c r="I213" s="190"/>
      <c r="J213" s="4"/>
      <c r="K213" s="17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9">
        <f>'Données projet'!A197</f>
        <v>75</v>
      </c>
      <c r="B214" s="180">
        <f>'Données projet'!D197</f>
        <v>30.916666666666664</v>
      </c>
      <c r="C214" s="274">
        <v>50</v>
      </c>
      <c r="D214" s="178">
        <f t="shared" si="12"/>
        <v>1545.8333333333333</v>
      </c>
      <c r="E214" s="192">
        <v>150</v>
      </c>
      <c r="F214" s="231"/>
      <c r="G214" s="204"/>
      <c r="H214" s="189"/>
      <c r="I214" s="190"/>
      <c r="J214" s="4"/>
      <c r="K214" s="17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9">
        <f>'Données projet'!A198</f>
        <v>84</v>
      </c>
      <c r="B215" s="180">
        <f>'Données projet'!D198</f>
        <v>35.083333333333329</v>
      </c>
      <c r="C215" s="274">
        <v>50</v>
      </c>
      <c r="D215" s="178">
        <f t="shared" si="12"/>
        <v>1754.1666666666665</v>
      </c>
      <c r="E215" s="192">
        <v>150</v>
      </c>
      <c r="F215" s="231"/>
      <c r="G215" s="205"/>
      <c r="H215" s="189"/>
      <c r="I215" s="190"/>
      <c r="J215" s="4"/>
      <c r="K215" s="17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9">
        <f>'Données projet'!A199</f>
        <v>93</v>
      </c>
      <c r="B216" s="180">
        <f>'Données projet'!D199</f>
        <v>30.083333333333332</v>
      </c>
      <c r="C216" s="274">
        <v>50</v>
      </c>
      <c r="D216" s="178">
        <f t="shared" si="12"/>
        <v>1504.1666666666665</v>
      </c>
      <c r="E216" s="192">
        <v>150</v>
      </c>
      <c r="F216" s="231"/>
      <c r="G216" s="205"/>
      <c r="H216" s="189"/>
      <c r="I216" s="190"/>
      <c r="J216" s="4"/>
      <c r="K216" s="17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9">
        <f>'Données projet'!A200</f>
        <v>103</v>
      </c>
      <c r="B217" s="180">
        <f>'Données projet'!D200</f>
        <v>39.512820512820511</v>
      </c>
      <c r="C217" s="274">
        <v>50</v>
      </c>
      <c r="D217" s="178">
        <f t="shared" si="12"/>
        <v>1975.6410256410256</v>
      </c>
      <c r="E217" s="192">
        <v>150</v>
      </c>
      <c r="F217" s="231"/>
      <c r="G217" s="205"/>
      <c r="H217" s="189"/>
      <c r="I217" s="190"/>
      <c r="J217" s="4"/>
      <c r="K217" s="17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9">
        <f>'Données projet'!A201</f>
        <v>113</v>
      </c>
      <c r="B218" s="180">
        <f>'Données projet'!D201</f>
        <v>31.602564102564099</v>
      </c>
      <c r="C218" s="274">
        <v>50</v>
      </c>
      <c r="D218" s="178">
        <f t="shared" si="12"/>
        <v>1580.1282051282049</v>
      </c>
      <c r="E218" s="192">
        <v>150</v>
      </c>
      <c r="F218" s="231"/>
      <c r="G218" s="205"/>
      <c r="H218" s="189"/>
      <c r="I218" s="190"/>
      <c r="J218" s="4"/>
      <c r="K218" s="17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9">
        <f>'Données projet'!A202</f>
        <v>125</v>
      </c>
      <c r="B219" s="180">
        <f>'Données projet'!D202</f>
        <v>48.160256410256409</v>
      </c>
      <c r="C219" s="274">
        <v>50</v>
      </c>
      <c r="D219" s="178">
        <f t="shared" si="12"/>
        <v>2408.0128205128203</v>
      </c>
      <c r="E219" s="192">
        <v>150</v>
      </c>
      <c r="F219" s="231"/>
      <c r="G219" s="205"/>
      <c r="H219" s="189"/>
      <c r="I219" s="190"/>
      <c r="J219" s="4"/>
      <c r="K219" s="17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9">
        <f>'Données projet'!A203</f>
        <v>137</v>
      </c>
      <c r="B220" s="180">
        <f>'Données projet'!D203</f>
        <v>51.160256410256409</v>
      </c>
      <c r="C220" s="274">
        <v>50</v>
      </c>
      <c r="D220" s="178">
        <f t="shared" si="12"/>
        <v>2558.0128205128203</v>
      </c>
      <c r="E220" s="192">
        <v>150</v>
      </c>
      <c r="F220" s="231"/>
      <c r="G220" s="205"/>
      <c r="H220" s="4"/>
      <c r="I220" s="4"/>
      <c r="J220" s="4"/>
      <c r="K220" s="17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9">
        <f>'Données projet'!A204</f>
        <v>149</v>
      </c>
      <c r="B221" s="180">
        <f>'Données projet'!D204</f>
        <v>120.50641025641026</v>
      </c>
      <c r="C221" s="192">
        <v>50</v>
      </c>
      <c r="D221" s="178">
        <f t="shared" si="12"/>
        <v>6025.3205128205127</v>
      </c>
      <c r="E221" s="192">
        <v>150</v>
      </c>
      <c r="F221" s="231"/>
      <c r="G221" s="205"/>
      <c r="H221" s="4"/>
      <c r="I221" s="4"/>
      <c r="J221" s="4"/>
      <c r="K221" s="17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9">
        <f>'Données projet'!A205</f>
        <v>153</v>
      </c>
      <c r="B222" s="180">
        <f>'Données projet'!D205</f>
        <v>70.115384615384613</v>
      </c>
      <c r="C222" s="192">
        <v>50</v>
      </c>
      <c r="D222" s="178">
        <f t="shared" si="12"/>
        <v>3505.7692307692305</v>
      </c>
      <c r="E222" s="192">
        <v>150</v>
      </c>
      <c r="F222" s="231"/>
      <c r="G222" s="205"/>
      <c r="H222" s="4"/>
      <c r="I222" s="4"/>
      <c r="J222" s="4"/>
      <c r="K222" s="17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9">
        <f>'Données projet'!A206</f>
        <v>157</v>
      </c>
      <c r="B223" s="180">
        <f>'Données projet'!D206</f>
        <v>45.71153846153846</v>
      </c>
      <c r="C223" s="192">
        <v>50</v>
      </c>
      <c r="D223" s="178">
        <f t="shared" si="12"/>
        <v>2285.5769230769229</v>
      </c>
      <c r="E223" s="192">
        <v>150</v>
      </c>
      <c r="F223" s="231"/>
      <c r="G223" s="205"/>
      <c r="H223" s="4"/>
      <c r="I223" s="4"/>
      <c r="J223" s="4"/>
      <c r="K223" s="17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9">
        <f>'Données projet'!A207</f>
        <v>161</v>
      </c>
      <c r="B224" s="180">
        <f>'Données projet'!D207</f>
        <v>91.365384615384613</v>
      </c>
      <c r="C224" s="192">
        <v>50</v>
      </c>
      <c r="D224" s="178">
        <f t="shared" si="12"/>
        <v>4568.2692307692305</v>
      </c>
      <c r="E224" s="192">
        <v>150</v>
      </c>
      <c r="F224" s="231"/>
      <c r="G224" s="205"/>
      <c r="H224" s="4"/>
      <c r="I224" s="4"/>
      <c r="J224" s="4"/>
      <c r="K224" s="17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9">
        <f>'Données projet'!A208</f>
        <v>0</v>
      </c>
      <c r="B225" s="180">
        <f>'Données projet'!D208</f>
        <v>0</v>
      </c>
      <c r="C225" s="192"/>
      <c r="D225" s="178">
        <f t="shared" si="12"/>
        <v>0</v>
      </c>
      <c r="E225" s="192"/>
      <c r="F225" s="231"/>
      <c r="G225" s="205"/>
      <c r="H225" s="4"/>
      <c r="I225" s="4"/>
      <c r="J225" s="4"/>
      <c r="K225" s="17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9">
        <f>'Données projet'!A209</f>
        <v>0</v>
      </c>
      <c r="B226" s="180">
        <f>'Données projet'!D209</f>
        <v>0</v>
      </c>
      <c r="C226" s="192"/>
      <c r="D226" s="178">
        <f t="shared" si="12"/>
        <v>0</v>
      </c>
      <c r="E226" s="192"/>
      <c r="F226" s="231"/>
      <c r="G226" s="205"/>
      <c r="H226" s="4"/>
      <c r="I226" s="4"/>
      <c r="J226" s="4"/>
      <c r="K226" s="17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9">
        <f>'Données projet'!A210</f>
        <v>0</v>
      </c>
      <c r="B227" s="180">
        <f>'Données projet'!D210</f>
        <v>0</v>
      </c>
      <c r="C227" s="192"/>
      <c r="D227" s="178">
        <f t="shared" si="12"/>
        <v>0</v>
      </c>
      <c r="E227" s="192"/>
      <c r="F227" s="231"/>
      <c r="G227" s="205"/>
      <c r="H227" s="4"/>
      <c r="I227" s="4"/>
      <c r="J227" s="4"/>
      <c r="K227" s="17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9">
        <f>'Données projet'!A211</f>
        <v>0</v>
      </c>
      <c r="B228" s="180">
        <f>'Données projet'!D211</f>
        <v>0</v>
      </c>
      <c r="C228" s="192"/>
      <c r="D228" s="178">
        <f t="shared" si="12"/>
        <v>0</v>
      </c>
      <c r="E228" s="192"/>
      <c r="F228" s="231"/>
      <c r="G228" s="205"/>
      <c r="H228" s="4"/>
      <c r="I228" s="4"/>
      <c r="J228" s="4"/>
      <c r="K228" s="17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3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8" t="s">
        <v>132</v>
      </c>
      <c r="C234" s="197" t="s">
        <v>132</v>
      </c>
      <c r="D234" s="196" t="s">
        <v>132</v>
      </c>
      <c r="E234" s="192"/>
      <c r="F234" s="230"/>
      <c r="G234" s="205"/>
      <c r="H234" s="4"/>
      <c r="I234" s="4"/>
      <c r="J234" s="4"/>
      <c r="K234" s="17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8" t="s">
        <v>132</v>
      </c>
      <c r="C235" s="197" t="s">
        <v>132</v>
      </c>
      <c r="D235" s="196" t="s">
        <v>132</v>
      </c>
      <c r="E235" s="192"/>
      <c r="F235" s="230"/>
      <c r="G235" s="23"/>
      <c r="H235" s="4"/>
      <c r="I235" s="4"/>
      <c r="J235" s="4"/>
      <c r="K235" s="17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8" t="s">
        <v>132</v>
      </c>
      <c r="C236" s="197" t="s">
        <v>132</v>
      </c>
      <c r="D236" s="196" t="s">
        <v>132</v>
      </c>
      <c r="E236" s="192"/>
      <c r="F236" s="230"/>
      <c r="G236" s="23"/>
      <c r="H236" s="4"/>
      <c r="I236" s="4"/>
      <c r="J236" s="4"/>
      <c r="K236" s="17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8" t="s">
        <v>132</v>
      </c>
      <c r="C237" s="197" t="s">
        <v>132</v>
      </c>
      <c r="D237" s="196" t="s">
        <v>132</v>
      </c>
      <c r="E237" s="192"/>
      <c r="F237" s="230"/>
      <c r="G237" s="23"/>
      <c r="H237" s="4"/>
      <c r="I237" s="4"/>
      <c r="J237" s="4"/>
      <c r="K237" s="17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8" t="s">
        <v>132</v>
      </c>
      <c r="C238" s="197" t="s">
        <v>132</v>
      </c>
      <c r="D238" s="196" t="s">
        <v>132</v>
      </c>
      <c r="E238" s="192"/>
      <c r="F238" s="230"/>
      <c r="G238" s="23"/>
      <c r="H238" s="4"/>
      <c r="I238" s="4"/>
      <c r="J238" s="4"/>
      <c r="K238" s="17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8" t="s">
        <v>132</v>
      </c>
      <c r="C239" s="197" t="s">
        <v>132</v>
      </c>
      <c r="D239" s="196" t="s">
        <v>132</v>
      </c>
      <c r="E239" s="192"/>
      <c r="F239" s="230"/>
      <c r="G239" s="204"/>
      <c r="H239" s="4"/>
      <c r="I239" s="4"/>
      <c r="J239" s="4"/>
      <c r="K239" s="17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9">
        <f>'Données projet'!A218</f>
        <v>0</v>
      </c>
      <c r="B240" s="180">
        <f>'Données projet'!D218</f>
        <v>0</v>
      </c>
      <c r="C240" s="192"/>
      <c r="D240" s="178">
        <f>B240*C240</f>
        <v>0</v>
      </c>
      <c r="E240" s="192"/>
      <c r="F240" s="231"/>
      <c r="G240" s="204"/>
      <c r="H240" s="4"/>
      <c r="I240" s="4"/>
      <c r="J240" s="4"/>
      <c r="K240" s="17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9">
        <f>'Données projet'!A219</f>
        <v>0</v>
      </c>
      <c r="B241" s="180">
        <f>'Données projet'!D219</f>
        <v>0</v>
      </c>
      <c r="C241" s="192"/>
      <c r="D241" s="178">
        <f t="shared" ref="D241:D259" si="13">B241*C241</f>
        <v>0</v>
      </c>
      <c r="E241" s="192"/>
      <c r="F241" s="231"/>
      <c r="G241" s="204"/>
      <c r="H241" s="4"/>
      <c r="I241" s="4"/>
      <c r="J241" s="4"/>
      <c r="K241" s="17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9">
        <f>'Données projet'!A220</f>
        <v>0</v>
      </c>
      <c r="B242" s="180">
        <f>'Données projet'!D220</f>
        <v>0</v>
      </c>
      <c r="C242" s="192"/>
      <c r="D242" s="178">
        <f t="shared" si="13"/>
        <v>0</v>
      </c>
      <c r="E242" s="192"/>
      <c r="F242" s="231"/>
      <c r="G242" s="204"/>
      <c r="H242" s="4"/>
      <c r="I242" s="4"/>
      <c r="J242" s="4"/>
      <c r="K242" s="17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9">
        <f>'Données projet'!A221</f>
        <v>0</v>
      </c>
      <c r="B243" s="180">
        <f>'Données projet'!D221</f>
        <v>0</v>
      </c>
      <c r="C243" s="192"/>
      <c r="D243" s="178">
        <f t="shared" si="13"/>
        <v>0</v>
      </c>
      <c r="E243" s="192"/>
      <c r="F243" s="231"/>
      <c r="G243" s="204"/>
      <c r="H243" s="4"/>
      <c r="I243" s="4"/>
      <c r="J243" s="4"/>
      <c r="K243" s="17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9">
        <f>'Données projet'!A222</f>
        <v>0</v>
      </c>
      <c r="B244" s="180">
        <f>'Données projet'!D222</f>
        <v>0</v>
      </c>
      <c r="C244" s="192"/>
      <c r="D244" s="178">
        <f t="shared" si="13"/>
        <v>0</v>
      </c>
      <c r="E244" s="192"/>
      <c r="F244" s="231"/>
      <c r="G244" s="204"/>
      <c r="H244" s="4"/>
      <c r="I244" s="4"/>
      <c r="J244" s="4"/>
      <c r="K244" s="17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9">
        <f>'Données projet'!A223</f>
        <v>0</v>
      </c>
      <c r="B245" s="180">
        <f>'Données projet'!D223</f>
        <v>0</v>
      </c>
      <c r="C245" s="192"/>
      <c r="D245" s="178">
        <f t="shared" si="13"/>
        <v>0</v>
      </c>
      <c r="E245" s="192"/>
      <c r="F245" s="231"/>
      <c r="G245" s="204"/>
      <c r="H245" s="4"/>
      <c r="I245" s="4"/>
      <c r="J245" s="4"/>
      <c r="K245" s="17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9">
        <f>'Données projet'!A224</f>
        <v>0</v>
      </c>
      <c r="B246" s="180">
        <f>'Données projet'!D224</f>
        <v>0</v>
      </c>
      <c r="C246" s="192"/>
      <c r="D246" s="178">
        <f t="shared" si="13"/>
        <v>0</v>
      </c>
      <c r="E246" s="192"/>
      <c r="F246" s="231"/>
      <c r="G246" s="205"/>
      <c r="H246" s="4"/>
      <c r="I246" s="4"/>
      <c r="J246" s="4"/>
      <c r="K246" s="17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9">
        <f>'Données projet'!A225</f>
        <v>0</v>
      </c>
      <c r="B247" s="180">
        <f>'Données projet'!D225</f>
        <v>0</v>
      </c>
      <c r="C247" s="192"/>
      <c r="D247" s="178">
        <f t="shared" si="13"/>
        <v>0</v>
      </c>
      <c r="E247" s="192"/>
      <c r="F247" s="231"/>
      <c r="G247" s="205"/>
      <c r="H247" s="4"/>
      <c r="I247" s="4"/>
      <c r="J247" s="4"/>
      <c r="K247" s="17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9">
        <f>'Données projet'!A226</f>
        <v>0</v>
      </c>
      <c r="B248" s="180">
        <f>'Données projet'!D226</f>
        <v>0</v>
      </c>
      <c r="C248" s="192"/>
      <c r="D248" s="178">
        <f t="shared" si="13"/>
        <v>0</v>
      </c>
      <c r="E248" s="192"/>
      <c r="F248" s="231"/>
      <c r="G248" s="205"/>
      <c r="H248" s="4"/>
      <c r="I248" s="4"/>
      <c r="J248" s="4"/>
      <c r="K248" s="17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9">
        <f>'Données projet'!A227</f>
        <v>0</v>
      </c>
      <c r="B249" s="180">
        <f>'Données projet'!D227</f>
        <v>0</v>
      </c>
      <c r="C249" s="192"/>
      <c r="D249" s="178">
        <f t="shared" si="13"/>
        <v>0</v>
      </c>
      <c r="E249" s="192"/>
      <c r="F249" s="231"/>
      <c r="G249" s="205"/>
      <c r="H249" s="4"/>
      <c r="I249" s="4"/>
      <c r="J249" s="4"/>
      <c r="K249" s="17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9">
        <f>'Données projet'!A228</f>
        <v>0</v>
      </c>
      <c r="B250" s="180">
        <f>'Données projet'!D228</f>
        <v>0</v>
      </c>
      <c r="C250" s="192"/>
      <c r="D250" s="178">
        <f t="shared" si="13"/>
        <v>0</v>
      </c>
      <c r="E250" s="192"/>
      <c r="F250" s="231"/>
      <c r="G250" s="205"/>
      <c r="H250" s="4"/>
      <c r="I250" s="4"/>
      <c r="J250" s="4"/>
      <c r="K250" s="17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9">
        <f>'Données projet'!A229</f>
        <v>0</v>
      </c>
      <c r="B251" s="180">
        <f>'Données projet'!D229</f>
        <v>0</v>
      </c>
      <c r="C251" s="192"/>
      <c r="D251" s="178">
        <f t="shared" si="13"/>
        <v>0</v>
      </c>
      <c r="E251" s="192"/>
      <c r="F251" s="231"/>
      <c r="G251" s="205"/>
      <c r="H251" s="4"/>
      <c r="I251" s="4"/>
      <c r="J251" s="4"/>
      <c r="K251" s="17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9">
        <f>'Données projet'!A230</f>
        <v>0</v>
      </c>
      <c r="B252" s="180">
        <f>'Données projet'!D230</f>
        <v>0</v>
      </c>
      <c r="C252" s="192"/>
      <c r="D252" s="178">
        <f t="shared" si="13"/>
        <v>0</v>
      </c>
      <c r="E252" s="192"/>
      <c r="F252" s="231"/>
      <c r="G252" s="205"/>
      <c r="H252" s="4"/>
      <c r="I252" s="4"/>
      <c r="J252" s="4"/>
      <c r="K252" s="17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9">
        <f>'Données projet'!A231</f>
        <v>0</v>
      </c>
      <c r="B253" s="180">
        <f>'Données projet'!D231</f>
        <v>0</v>
      </c>
      <c r="C253" s="192"/>
      <c r="D253" s="178">
        <f t="shared" si="13"/>
        <v>0</v>
      </c>
      <c r="E253" s="192"/>
      <c r="F253" s="231"/>
      <c r="G253" s="205"/>
      <c r="H253" s="4"/>
      <c r="I253" s="4"/>
      <c r="J253" s="4"/>
      <c r="K253" s="17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9">
        <f>'Données projet'!A232</f>
        <v>0</v>
      </c>
      <c r="B254" s="180">
        <f>'Données projet'!D232</f>
        <v>0</v>
      </c>
      <c r="C254" s="192"/>
      <c r="D254" s="178">
        <f t="shared" si="13"/>
        <v>0</v>
      </c>
      <c r="E254" s="192"/>
      <c r="F254" s="231"/>
      <c r="G254" s="205"/>
      <c r="H254" s="4"/>
      <c r="I254" s="4"/>
      <c r="J254" s="4"/>
      <c r="K254" s="17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9">
        <f>'Données projet'!A233</f>
        <v>0</v>
      </c>
      <c r="B255" s="180">
        <f>'Données projet'!D233</f>
        <v>0</v>
      </c>
      <c r="C255" s="192"/>
      <c r="D255" s="178">
        <f t="shared" si="13"/>
        <v>0</v>
      </c>
      <c r="E255" s="192"/>
      <c r="F255" s="231"/>
      <c r="G255" s="205"/>
      <c r="H255" s="4"/>
      <c r="I255" s="4"/>
      <c r="J255" s="4"/>
      <c r="K255" s="17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9">
        <f>'Données projet'!A234</f>
        <v>0</v>
      </c>
      <c r="B256" s="180">
        <f>'Données projet'!D234</f>
        <v>0</v>
      </c>
      <c r="C256" s="192"/>
      <c r="D256" s="178">
        <f t="shared" si="13"/>
        <v>0</v>
      </c>
      <c r="E256" s="192"/>
      <c r="F256" s="231"/>
      <c r="G256" s="205"/>
      <c r="H256" s="4"/>
      <c r="I256" s="4"/>
      <c r="J256" s="4"/>
      <c r="K256" s="17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9">
        <f>'Données projet'!A235</f>
        <v>0</v>
      </c>
      <c r="B257" s="180">
        <f>'Données projet'!D235</f>
        <v>0</v>
      </c>
      <c r="C257" s="192"/>
      <c r="D257" s="178">
        <f t="shared" si="13"/>
        <v>0</v>
      </c>
      <c r="E257" s="192"/>
      <c r="F257" s="231"/>
      <c r="G257" s="205"/>
      <c r="H257" s="4"/>
      <c r="I257" s="4"/>
      <c r="J257" s="4"/>
      <c r="K257" s="172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9">
        <f>'Données projet'!A236</f>
        <v>0</v>
      </c>
      <c r="B258" s="180">
        <f>'Données projet'!D236</f>
        <v>0</v>
      </c>
      <c r="C258" s="192"/>
      <c r="D258" s="178">
        <f t="shared" si="13"/>
        <v>0</v>
      </c>
      <c r="E258" s="192"/>
      <c r="F258" s="231"/>
      <c r="G258" s="205"/>
      <c r="H258" s="4"/>
      <c r="I258" s="4"/>
      <c r="J258" s="4"/>
      <c r="K258" s="17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9">
        <f>'Données projet'!A237</f>
        <v>0</v>
      </c>
      <c r="B259" s="180">
        <f>'Données projet'!D237</f>
        <v>0</v>
      </c>
      <c r="C259" s="192"/>
      <c r="D259" s="178">
        <f t="shared" si="13"/>
        <v>0</v>
      </c>
      <c r="E259" s="192"/>
      <c r="F259" s="231"/>
      <c r="G259" s="205"/>
      <c r="H259" s="4"/>
      <c r="I259" s="4"/>
      <c r="J259" s="4"/>
      <c r="K259" s="17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2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2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3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2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2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2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8" t="s">
        <v>132</v>
      </c>
      <c r="C265" s="197" t="s">
        <v>132</v>
      </c>
      <c r="D265" s="196" t="s">
        <v>132</v>
      </c>
      <c r="E265" s="192"/>
      <c r="F265" s="230"/>
      <c r="G265" s="205"/>
      <c r="H265" s="4"/>
      <c r="I265" s="4"/>
      <c r="J265" s="4"/>
      <c r="K265" s="172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8" t="s">
        <v>132</v>
      </c>
      <c r="C266" s="197" t="s">
        <v>132</v>
      </c>
      <c r="D266" s="196" t="s">
        <v>132</v>
      </c>
      <c r="E266" s="192"/>
      <c r="F266" s="230"/>
      <c r="G266" s="23"/>
      <c r="H266" s="4"/>
      <c r="I266" s="4"/>
      <c r="J266" s="4"/>
      <c r="K266" s="172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8" t="s">
        <v>132</v>
      </c>
      <c r="C267" s="197" t="s">
        <v>132</v>
      </c>
      <c r="D267" s="196" t="s">
        <v>132</v>
      </c>
      <c r="E267" s="192"/>
      <c r="F267" s="230"/>
      <c r="G267" s="23"/>
      <c r="H267" s="4"/>
      <c r="I267" s="4"/>
      <c r="J267" s="4"/>
      <c r="K267" s="172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8" t="s">
        <v>132</v>
      </c>
      <c r="C268" s="197" t="s">
        <v>132</v>
      </c>
      <c r="D268" s="196" t="s">
        <v>132</v>
      </c>
      <c r="E268" s="192"/>
      <c r="F268" s="230"/>
      <c r="G268" s="23"/>
      <c r="H268" s="4"/>
      <c r="I268" s="4"/>
      <c r="J268" s="4"/>
      <c r="K268" s="172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8" t="s">
        <v>132</v>
      </c>
      <c r="C269" s="197" t="s">
        <v>132</v>
      </c>
      <c r="D269" s="196" t="s">
        <v>132</v>
      </c>
      <c r="E269" s="192"/>
      <c r="F269" s="230"/>
      <c r="G269" s="23"/>
      <c r="H269" s="4"/>
      <c r="I269" s="4"/>
      <c r="J269" s="4"/>
      <c r="K269" s="172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8" t="s">
        <v>132</v>
      </c>
      <c r="C270" s="197" t="s">
        <v>132</v>
      </c>
      <c r="D270" s="196" t="s">
        <v>132</v>
      </c>
      <c r="E270" s="192"/>
      <c r="F270" s="230"/>
      <c r="G270" s="204"/>
      <c r="H270" s="4"/>
      <c r="I270" s="4"/>
      <c r="J270" s="4"/>
      <c r="K270" s="172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9">
        <f>'Données projet'!A244</f>
        <v>0</v>
      </c>
      <c r="B271" s="180">
        <f>'Données projet'!D244</f>
        <v>0</v>
      </c>
      <c r="C271" s="192"/>
      <c r="D271" s="178">
        <f>B271*C271</f>
        <v>0</v>
      </c>
      <c r="E271" s="192"/>
      <c r="F271" s="231"/>
      <c r="G271" s="204"/>
      <c r="H271" s="4"/>
      <c r="I271" s="4"/>
      <c r="J271" s="4"/>
      <c r="K271" s="172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9">
        <f>'Données projet'!A245</f>
        <v>0</v>
      </c>
      <c r="B272" s="180">
        <f>'Données projet'!D245</f>
        <v>0</v>
      </c>
      <c r="C272" s="192"/>
      <c r="D272" s="178">
        <f t="shared" ref="D272:D290" si="14">B272*C272</f>
        <v>0</v>
      </c>
      <c r="E272" s="192"/>
      <c r="F272" s="231"/>
      <c r="G272" s="204"/>
      <c r="H272" s="4"/>
      <c r="I272" s="4"/>
      <c r="J272" s="4"/>
      <c r="K272" s="172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9">
        <f>'Données projet'!A246</f>
        <v>0</v>
      </c>
      <c r="B273" s="180">
        <f>'Données projet'!D246</f>
        <v>0</v>
      </c>
      <c r="C273" s="192"/>
      <c r="D273" s="178">
        <f t="shared" si="14"/>
        <v>0</v>
      </c>
      <c r="E273" s="192"/>
      <c r="F273" s="231"/>
      <c r="G273" s="204"/>
      <c r="H273" s="4"/>
      <c r="I273" s="4"/>
      <c r="J273" s="4"/>
      <c r="K273" s="172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9">
        <f>'Données projet'!A247</f>
        <v>0</v>
      </c>
      <c r="B274" s="180">
        <f>'Données projet'!D247</f>
        <v>0</v>
      </c>
      <c r="C274" s="192"/>
      <c r="D274" s="178">
        <f t="shared" si="14"/>
        <v>0</v>
      </c>
      <c r="E274" s="192"/>
      <c r="F274" s="231"/>
      <c r="G274" s="204"/>
      <c r="H274" s="4"/>
      <c r="I274" s="4"/>
      <c r="J274" s="4"/>
      <c r="K274" s="172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9">
        <f>'Données projet'!A248</f>
        <v>0</v>
      </c>
      <c r="B275" s="180">
        <f>'Données projet'!D248</f>
        <v>0</v>
      </c>
      <c r="C275" s="192"/>
      <c r="D275" s="178">
        <f t="shared" si="14"/>
        <v>0</v>
      </c>
      <c r="E275" s="192"/>
      <c r="F275" s="231"/>
      <c r="G275" s="204"/>
      <c r="H275" s="4"/>
      <c r="I275" s="4"/>
      <c r="J275" s="4"/>
      <c r="K275" s="172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9">
        <f>'Données projet'!A249</f>
        <v>0</v>
      </c>
      <c r="B276" s="180">
        <f>'Données projet'!D249</f>
        <v>0</v>
      </c>
      <c r="C276" s="192"/>
      <c r="D276" s="178">
        <f t="shared" si="14"/>
        <v>0</v>
      </c>
      <c r="E276" s="192"/>
      <c r="F276" s="231"/>
      <c r="G276" s="204"/>
      <c r="H276" s="4"/>
      <c r="I276" s="4"/>
      <c r="J276" s="4"/>
      <c r="K276" s="172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9">
        <f>'Données projet'!A250</f>
        <v>0</v>
      </c>
      <c r="B277" s="180">
        <f>'Données projet'!D250</f>
        <v>0</v>
      </c>
      <c r="C277" s="192"/>
      <c r="D277" s="178">
        <f t="shared" si="14"/>
        <v>0</v>
      </c>
      <c r="E277" s="192"/>
      <c r="F277" s="231"/>
      <c r="G277" s="205"/>
      <c r="H277" s="4"/>
      <c r="I277" s="4"/>
      <c r="J277" s="4"/>
      <c r="K277" s="172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9">
        <f>'Données projet'!A251</f>
        <v>0</v>
      </c>
      <c r="B278" s="180">
        <f>'Données projet'!D251</f>
        <v>0</v>
      </c>
      <c r="C278" s="192"/>
      <c r="D278" s="178">
        <f t="shared" si="14"/>
        <v>0</v>
      </c>
      <c r="E278" s="192"/>
      <c r="F278" s="231"/>
      <c r="G278" s="205"/>
      <c r="H278" s="4"/>
      <c r="I278" s="4"/>
      <c r="J278" s="4"/>
      <c r="K278" s="172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9">
        <f>'Données projet'!A252</f>
        <v>0</v>
      </c>
      <c r="B279" s="180">
        <f>'Données projet'!D252</f>
        <v>0</v>
      </c>
      <c r="C279" s="192"/>
      <c r="D279" s="178">
        <f t="shared" si="14"/>
        <v>0</v>
      </c>
      <c r="E279" s="192"/>
      <c r="F279" s="231"/>
      <c r="G279" s="205"/>
      <c r="H279" s="4"/>
      <c r="I279" s="4"/>
      <c r="J279" s="4"/>
      <c r="K279" s="172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9">
        <f>'Données projet'!A253</f>
        <v>0</v>
      </c>
      <c r="B280" s="180">
        <f>'Données projet'!D253</f>
        <v>0</v>
      </c>
      <c r="C280" s="192"/>
      <c r="D280" s="178">
        <f t="shared" si="14"/>
        <v>0</v>
      </c>
      <c r="E280" s="192"/>
      <c r="F280" s="231"/>
      <c r="G280" s="205"/>
      <c r="H280" s="4"/>
      <c r="I280" s="4"/>
      <c r="J280" s="4"/>
      <c r="K280" s="172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9">
        <f>'Données projet'!A254</f>
        <v>0</v>
      </c>
      <c r="B281" s="180">
        <f>'Données projet'!D254</f>
        <v>0</v>
      </c>
      <c r="C281" s="192"/>
      <c r="D281" s="178">
        <f t="shared" si="14"/>
        <v>0</v>
      </c>
      <c r="E281" s="192"/>
      <c r="F281" s="231"/>
      <c r="G281" s="205"/>
      <c r="H281" s="4"/>
      <c r="I281" s="4"/>
      <c r="J281" s="4"/>
      <c r="K281" s="172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9">
        <f>'Données projet'!A255</f>
        <v>0</v>
      </c>
      <c r="B282" s="180">
        <f>'Données projet'!D255</f>
        <v>0</v>
      </c>
      <c r="C282" s="192"/>
      <c r="D282" s="178">
        <f t="shared" si="14"/>
        <v>0</v>
      </c>
      <c r="E282" s="192"/>
      <c r="F282" s="231"/>
      <c r="G282" s="205"/>
      <c r="H282" s="4"/>
      <c r="I282" s="4"/>
      <c r="J282" s="4"/>
      <c r="K282" s="172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9">
        <f>'Données projet'!A256</f>
        <v>0</v>
      </c>
      <c r="B283" s="180">
        <f>'Données projet'!D256</f>
        <v>0</v>
      </c>
      <c r="C283" s="192"/>
      <c r="D283" s="178">
        <f t="shared" si="14"/>
        <v>0</v>
      </c>
      <c r="E283" s="192"/>
      <c r="F283" s="231"/>
      <c r="G283" s="205"/>
      <c r="H283" s="4"/>
      <c r="I283" s="4"/>
      <c r="J283" s="4"/>
      <c r="K283" s="172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9">
        <f>'Données projet'!A257</f>
        <v>0</v>
      </c>
      <c r="B284" s="180">
        <f>'Données projet'!D257</f>
        <v>0</v>
      </c>
      <c r="C284" s="192"/>
      <c r="D284" s="178">
        <f t="shared" si="14"/>
        <v>0</v>
      </c>
      <c r="E284" s="192"/>
      <c r="F284" s="231"/>
      <c r="G284" s="205"/>
      <c r="H284" s="4"/>
      <c r="I284" s="4"/>
      <c r="J284" s="4"/>
      <c r="K284" s="172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9">
        <f>'Données projet'!A258</f>
        <v>0</v>
      </c>
      <c r="B285" s="180">
        <f>'Données projet'!D258</f>
        <v>0</v>
      </c>
      <c r="C285" s="192"/>
      <c r="D285" s="178">
        <f t="shared" si="14"/>
        <v>0</v>
      </c>
      <c r="E285" s="192"/>
      <c r="F285" s="231"/>
      <c r="G285" s="205"/>
      <c r="H285" s="4"/>
      <c r="I285" s="4"/>
      <c r="J285" s="4"/>
      <c r="K285" s="172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9">
        <f>'Données projet'!A259</f>
        <v>0</v>
      </c>
      <c r="B286" s="180">
        <f>'Données projet'!D259</f>
        <v>0</v>
      </c>
      <c r="C286" s="192"/>
      <c r="D286" s="178">
        <f t="shared" si="14"/>
        <v>0</v>
      </c>
      <c r="E286" s="192"/>
      <c r="F286" s="231"/>
      <c r="G286" s="205"/>
      <c r="H286" s="4"/>
      <c r="I286" s="4"/>
      <c r="J286" s="4"/>
      <c r="K286" s="172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9">
        <f>'Données projet'!A260</f>
        <v>0</v>
      </c>
      <c r="B287" s="180">
        <f>'Données projet'!D260</f>
        <v>0</v>
      </c>
      <c r="C287" s="192"/>
      <c r="D287" s="178">
        <f t="shared" si="14"/>
        <v>0</v>
      </c>
      <c r="E287" s="192"/>
      <c r="F287" s="231"/>
      <c r="G287" s="205"/>
      <c r="H287" s="4"/>
      <c r="I287" s="4"/>
      <c r="J287" s="4"/>
      <c r="K287" s="172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9">
        <f>'Données projet'!A261</f>
        <v>0</v>
      </c>
      <c r="B288" s="180">
        <f>'Données projet'!D261</f>
        <v>0</v>
      </c>
      <c r="C288" s="192"/>
      <c r="D288" s="178">
        <f t="shared" si="14"/>
        <v>0</v>
      </c>
      <c r="E288" s="192"/>
      <c r="F288" s="231"/>
      <c r="G288" s="205"/>
      <c r="H288" s="4"/>
      <c r="I288" s="4"/>
      <c r="J288" s="4"/>
      <c r="K288" s="172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9">
        <f>'Données projet'!A262</f>
        <v>0</v>
      </c>
      <c r="B289" s="180">
        <f>'Données projet'!D262</f>
        <v>0</v>
      </c>
      <c r="C289" s="192"/>
      <c r="D289" s="178">
        <f t="shared" si="14"/>
        <v>0</v>
      </c>
      <c r="E289" s="192"/>
      <c r="F289" s="231"/>
      <c r="G289" s="205"/>
      <c r="H289" s="4"/>
      <c r="I289" s="4"/>
      <c r="J289" s="4"/>
      <c r="K289" s="172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9">
        <f>'Données projet'!A263</f>
        <v>0</v>
      </c>
      <c r="B290" s="180">
        <f>'Données projet'!D263</f>
        <v>0</v>
      </c>
      <c r="C290" s="192"/>
      <c r="D290" s="178">
        <f t="shared" si="14"/>
        <v>0</v>
      </c>
      <c r="E290" s="192"/>
      <c r="F290" s="231"/>
      <c r="G290" s="205"/>
      <c r="H290" s="4"/>
      <c r="I290" s="4"/>
      <c r="J290" s="4"/>
      <c r="K290" s="172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2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2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3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2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2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2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8" t="s">
        <v>132</v>
      </c>
      <c r="C296" s="197" t="s">
        <v>132</v>
      </c>
      <c r="D296" s="196" t="s">
        <v>132</v>
      </c>
      <c r="E296" s="192"/>
      <c r="F296" s="230"/>
      <c r="G296" s="205"/>
      <c r="H296" s="4"/>
      <c r="I296" s="4"/>
      <c r="J296" s="4"/>
      <c r="K296" s="172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8" t="s">
        <v>132</v>
      </c>
      <c r="C297" s="197" t="s">
        <v>132</v>
      </c>
      <c r="D297" s="196" t="s">
        <v>132</v>
      </c>
      <c r="E297" s="192"/>
      <c r="F297" s="230"/>
      <c r="G297" s="23"/>
      <c r="H297" s="4"/>
      <c r="I297" s="4"/>
      <c r="J297" s="4"/>
      <c r="K297" s="172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8" t="s">
        <v>132</v>
      </c>
      <c r="C298" s="197" t="s">
        <v>132</v>
      </c>
      <c r="D298" s="196" t="s">
        <v>132</v>
      </c>
      <c r="E298" s="192"/>
      <c r="F298" s="230"/>
      <c r="G298" s="23"/>
      <c r="H298" s="4"/>
      <c r="I298" s="4"/>
      <c r="J298" s="4"/>
      <c r="K298" s="172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8" t="s">
        <v>132</v>
      </c>
      <c r="C299" s="197" t="s">
        <v>132</v>
      </c>
      <c r="D299" s="196" t="s">
        <v>132</v>
      </c>
      <c r="E299" s="192"/>
      <c r="F299" s="230"/>
      <c r="G299" s="23"/>
      <c r="H299" s="4"/>
      <c r="I299" s="4"/>
      <c r="J299" s="4"/>
      <c r="K299" s="172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8" t="s">
        <v>132</v>
      </c>
      <c r="C300" s="197" t="s">
        <v>132</v>
      </c>
      <c r="D300" s="196" t="s">
        <v>132</v>
      </c>
      <c r="E300" s="192"/>
      <c r="F300" s="230"/>
      <c r="G300" s="23"/>
      <c r="H300" s="4"/>
      <c r="I300" s="4"/>
      <c r="J300" s="4"/>
      <c r="K300" s="172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8" t="s">
        <v>132</v>
      </c>
      <c r="C301" s="197" t="s">
        <v>132</v>
      </c>
      <c r="D301" s="196" t="s">
        <v>132</v>
      </c>
      <c r="E301" s="192"/>
      <c r="F301" s="230"/>
      <c r="G301" s="204"/>
      <c r="H301" s="4"/>
      <c r="I301" s="4"/>
      <c r="J301" s="4"/>
      <c r="K301" s="172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9">
        <f>'Données projet'!A270</f>
        <v>0</v>
      </c>
      <c r="B302" s="180">
        <f>'Données projet'!D270</f>
        <v>0</v>
      </c>
      <c r="C302" s="190"/>
      <c r="D302" s="181">
        <f>B302*C302</f>
        <v>0</v>
      </c>
      <c r="E302" s="192"/>
      <c r="F302" s="232"/>
      <c r="G302" s="204"/>
      <c r="H302" s="4"/>
      <c r="I302" s="4"/>
      <c r="J302" s="4"/>
      <c r="K302" s="172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9">
        <f>'Données projet'!A271</f>
        <v>0</v>
      </c>
      <c r="B303" s="180">
        <f>'Données projet'!D271</f>
        <v>0</v>
      </c>
      <c r="C303" s="190"/>
      <c r="D303" s="181">
        <f t="shared" ref="D303:D321" si="15">B303*C303</f>
        <v>0</v>
      </c>
      <c r="E303" s="192"/>
      <c r="F303" s="232"/>
      <c r="G303" s="204"/>
      <c r="H303" s="4"/>
      <c r="I303" s="4"/>
      <c r="J303" s="4"/>
      <c r="K303" s="172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9">
        <f>'Données projet'!A272</f>
        <v>0</v>
      </c>
      <c r="B304" s="180">
        <f>'Données projet'!D272</f>
        <v>0</v>
      </c>
      <c r="C304" s="190"/>
      <c r="D304" s="181">
        <f t="shared" si="15"/>
        <v>0</v>
      </c>
      <c r="E304" s="192"/>
      <c r="F304" s="232"/>
      <c r="G304" s="204"/>
      <c r="H304" s="4"/>
      <c r="I304" s="4"/>
      <c r="J304" s="4"/>
      <c r="K304" s="172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9">
        <f>'Données projet'!A273</f>
        <v>0</v>
      </c>
      <c r="B305" s="180">
        <f>'Données projet'!D273</f>
        <v>0</v>
      </c>
      <c r="C305" s="190"/>
      <c r="D305" s="181">
        <f t="shared" si="15"/>
        <v>0</v>
      </c>
      <c r="E305" s="192"/>
      <c r="F305" s="232"/>
      <c r="G305" s="204"/>
      <c r="H305" s="4"/>
      <c r="I305" s="4"/>
      <c r="J305" s="4"/>
      <c r="K305" s="172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9">
        <f>'Données projet'!A274</f>
        <v>0</v>
      </c>
      <c r="B306" s="180">
        <f>'Données projet'!D274</f>
        <v>0</v>
      </c>
      <c r="C306" s="190"/>
      <c r="D306" s="181">
        <f t="shared" si="15"/>
        <v>0</v>
      </c>
      <c r="E306" s="192"/>
      <c r="F306" s="232"/>
      <c r="G306" s="204"/>
      <c r="H306" s="4"/>
      <c r="I306" s="4"/>
      <c r="J306" s="4"/>
      <c r="K306" s="172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9">
        <f>'Données projet'!A275</f>
        <v>0</v>
      </c>
      <c r="B307" s="180">
        <f>'Données projet'!D275</f>
        <v>0</v>
      </c>
      <c r="C307" s="190"/>
      <c r="D307" s="181">
        <f t="shared" si="15"/>
        <v>0</v>
      </c>
      <c r="E307" s="192"/>
      <c r="F307" s="232"/>
      <c r="G307" s="204"/>
      <c r="H307" s="4"/>
      <c r="I307" s="4"/>
      <c r="J307" s="4"/>
      <c r="K307" s="172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9">
        <f>'Données projet'!A276</f>
        <v>0</v>
      </c>
      <c r="B308" s="180">
        <f>'Données projet'!D276</f>
        <v>0</v>
      </c>
      <c r="C308" s="190"/>
      <c r="D308" s="181">
        <f t="shared" si="15"/>
        <v>0</v>
      </c>
      <c r="E308" s="192"/>
      <c r="F308" s="232"/>
      <c r="G308" s="202"/>
      <c r="H308" s="4"/>
      <c r="I308" s="4"/>
      <c r="J308" s="4"/>
      <c r="K308" s="172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9">
        <f>'Données projet'!A277</f>
        <v>0</v>
      </c>
      <c r="B309" s="180">
        <f>'Données projet'!D277</f>
        <v>0</v>
      </c>
      <c r="C309" s="190"/>
      <c r="D309" s="181">
        <f t="shared" si="15"/>
        <v>0</v>
      </c>
      <c r="E309" s="192"/>
      <c r="F309" s="232"/>
      <c r="G309" s="202"/>
      <c r="H309" s="4"/>
      <c r="I309" s="4"/>
      <c r="J309" s="4"/>
      <c r="K309" s="172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9">
        <f>'Données projet'!A278</f>
        <v>0</v>
      </c>
      <c r="B310" s="180">
        <f>'Données projet'!D278</f>
        <v>0</v>
      </c>
      <c r="C310" s="190"/>
      <c r="D310" s="181">
        <f t="shared" si="15"/>
        <v>0</v>
      </c>
      <c r="E310" s="192"/>
      <c r="F310" s="232"/>
      <c r="G310" s="202"/>
      <c r="H310" s="4"/>
      <c r="I310" s="4"/>
      <c r="J310" s="4"/>
      <c r="K310" s="172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9">
        <f>'Données projet'!A279</f>
        <v>0</v>
      </c>
      <c r="B311" s="180">
        <f>'Données projet'!D279</f>
        <v>0</v>
      </c>
      <c r="C311" s="190"/>
      <c r="D311" s="181">
        <f t="shared" si="15"/>
        <v>0</v>
      </c>
      <c r="E311" s="192"/>
      <c r="F311" s="232"/>
      <c r="G311" s="202"/>
      <c r="H311" s="4"/>
      <c r="I311" s="4"/>
      <c r="J311" s="4"/>
      <c r="K311" s="172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9">
        <f>'Données projet'!A280</f>
        <v>0</v>
      </c>
      <c r="B312" s="180">
        <f>'Données projet'!D280</f>
        <v>0</v>
      </c>
      <c r="C312" s="190"/>
      <c r="D312" s="181">
        <f t="shared" si="15"/>
        <v>0</v>
      </c>
      <c r="E312" s="192"/>
      <c r="F312" s="232"/>
      <c r="G312" s="202"/>
      <c r="H312" s="4"/>
      <c r="I312" s="4"/>
      <c r="J312" s="4"/>
      <c r="K312" s="172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9">
        <f>'Données projet'!A281</f>
        <v>0</v>
      </c>
      <c r="B313" s="180">
        <f>'Données projet'!D281</f>
        <v>0</v>
      </c>
      <c r="C313" s="190"/>
      <c r="D313" s="181">
        <f t="shared" si="15"/>
        <v>0</v>
      </c>
      <c r="E313" s="192"/>
      <c r="F313" s="232"/>
      <c r="G313" s="202"/>
      <c r="H313" s="4"/>
      <c r="I313" s="4"/>
      <c r="J313" s="4"/>
      <c r="K313" s="172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9">
        <f>'Données projet'!A282</f>
        <v>0</v>
      </c>
      <c r="B314" s="180">
        <f>'Données projet'!D282</f>
        <v>0</v>
      </c>
      <c r="C314" s="190"/>
      <c r="D314" s="181">
        <f t="shared" si="15"/>
        <v>0</v>
      </c>
      <c r="E314" s="192"/>
      <c r="F314" s="232"/>
      <c r="G314" s="202"/>
      <c r="H314" s="4"/>
      <c r="I314" s="4"/>
      <c r="J314" s="4"/>
      <c r="K314" s="172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9">
        <f>'Données projet'!A283</f>
        <v>0</v>
      </c>
      <c r="B315" s="180">
        <f>'Données projet'!D283</f>
        <v>0</v>
      </c>
      <c r="C315" s="190"/>
      <c r="D315" s="181">
        <f t="shared" si="15"/>
        <v>0</v>
      </c>
      <c r="E315" s="192"/>
      <c r="F315" s="232"/>
      <c r="G315" s="202"/>
      <c r="H315" s="4"/>
      <c r="I315" s="4"/>
      <c r="J315" s="4"/>
      <c r="K315" s="172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9">
        <f>'Données projet'!A284</f>
        <v>0</v>
      </c>
      <c r="B316" s="180">
        <f>'Données projet'!D284</f>
        <v>0</v>
      </c>
      <c r="C316" s="190"/>
      <c r="D316" s="181">
        <f t="shared" si="15"/>
        <v>0</v>
      </c>
      <c r="E316" s="192"/>
      <c r="F316" s="232"/>
      <c r="G316" s="202"/>
      <c r="H316" s="4"/>
      <c r="I316" s="4"/>
      <c r="J316" s="4"/>
      <c r="K316" s="172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9">
        <f>'Données projet'!A285</f>
        <v>0</v>
      </c>
      <c r="B317" s="180">
        <f>'Données projet'!D285</f>
        <v>0</v>
      </c>
      <c r="C317" s="190"/>
      <c r="D317" s="181">
        <f t="shared" si="15"/>
        <v>0</v>
      </c>
      <c r="E317" s="192"/>
      <c r="F317" s="232"/>
      <c r="G317" s="202"/>
      <c r="H317" s="4"/>
      <c r="I317" s="4"/>
      <c r="J317" s="4"/>
      <c r="K317" s="172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9">
        <f>'Données projet'!A286</f>
        <v>0</v>
      </c>
      <c r="B318" s="180">
        <f>'Données projet'!D286</f>
        <v>0</v>
      </c>
      <c r="C318" s="190"/>
      <c r="D318" s="181">
        <f t="shared" si="15"/>
        <v>0</v>
      </c>
      <c r="E318" s="192"/>
      <c r="F318" s="232"/>
      <c r="G318" s="202"/>
      <c r="H318" s="4"/>
      <c r="I318" s="4"/>
      <c r="J318" s="4"/>
      <c r="K318" s="172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9">
        <f>'Données projet'!A287</f>
        <v>0</v>
      </c>
      <c r="B319" s="180">
        <f>'Données projet'!D287</f>
        <v>0</v>
      </c>
      <c r="C319" s="190"/>
      <c r="D319" s="181">
        <f t="shared" si="15"/>
        <v>0</v>
      </c>
      <c r="E319" s="192"/>
      <c r="F319" s="232"/>
      <c r="G319" s="202"/>
      <c r="H319" s="4"/>
      <c r="I319" s="4"/>
      <c r="J319" s="4"/>
      <c r="K319" s="172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9">
        <f>'Données projet'!A288</f>
        <v>0</v>
      </c>
      <c r="B320" s="180">
        <f>'Données projet'!D288</f>
        <v>0</v>
      </c>
      <c r="C320" s="190"/>
      <c r="D320" s="181">
        <f t="shared" si="15"/>
        <v>0</v>
      </c>
      <c r="E320" s="192"/>
      <c r="F320" s="232"/>
      <c r="G320" s="202"/>
      <c r="H320" s="4"/>
      <c r="I320" s="4"/>
      <c r="J320" s="4"/>
      <c r="K320" s="172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9">
        <f>'Données projet'!A289</f>
        <v>0</v>
      </c>
      <c r="B321" s="180">
        <f>'Données projet'!D289</f>
        <v>0</v>
      </c>
      <c r="C321" s="195"/>
      <c r="D321" s="181">
        <f t="shared" si="15"/>
        <v>0</v>
      </c>
      <c r="E321" s="192"/>
      <c r="F321" s="232"/>
      <c r="G321" s="202"/>
      <c r="H321" s="4"/>
      <c r="I321" s="4"/>
      <c r="J321" s="4"/>
      <c r="K321" s="172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2"/>
      <c r="H322" s="4"/>
      <c r="I322" s="4"/>
      <c r="J322" s="4"/>
      <c r="K322" s="172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2"/>
      <c r="H323" s="4"/>
      <c r="I323" s="4"/>
      <c r="J323" s="4"/>
      <c r="K323" s="172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2"/>
      <c r="H324" s="4"/>
      <c r="I324" s="4"/>
      <c r="J324" s="4"/>
      <c r="K324" s="172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2"/>
      <c r="H325" s="4"/>
      <c r="I325" s="4"/>
      <c r="J325" s="4"/>
      <c r="K325" s="172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2"/>
      <c r="H326" s="4"/>
      <c r="I326" s="4"/>
      <c r="J326" s="4"/>
      <c r="K326" s="172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2"/>
      <c r="H327" s="4"/>
      <c r="I327" s="4"/>
      <c r="J327" s="4"/>
      <c r="K327" s="172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2024-03-19T13:58:12Z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26f538-337a-4593-a7e6-123667b1a538_Enabled">
    <vt:lpwstr>true</vt:lpwstr>
  </property>
  <property fmtid="{D5CDD505-2E9C-101B-9397-08002B2CF9AE}" pid="3" name="MSIP_Label_2d26f538-337a-4593-a7e6-123667b1a538_SetDate">
    <vt:lpwstr>2023-05-04T09:12:07Z</vt:lpwstr>
  </property>
  <property fmtid="{D5CDD505-2E9C-101B-9397-08002B2CF9AE}" pid="4" name="MSIP_Label_2d26f538-337a-4593-a7e6-123667b1a538_Method">
    <vt:lpwstr>Standard</vt:lpwstr>
  </property>
  <property fmtid="{D5CDD505-2E9C-101B-9397-08002B2CF9AE}" pid="5" name="MSIP_Label_2d26f538-337a-4593-a7e6-123667b1a538_Name">
    <vt:lpwstr>C1 Interne</vt:lpwstr>
  </property>
  <property fmtid="{D5CDD505-2E9C-101B-9397-08002B2CF9AE}" pid="6" name="MSIP_Label_2d26f538-337a-4593-a7e6-123667b1a538_SiteId">
    <vt:lpwstr>e242425b-70fc-44dc-9ddf-c21e304e6c80</vt:lpwstr>
  </property>
  <property fmtid="{D5CDD505-2E9C-101B-9397-08002B2CF9AE}" pid="7" name="MSIP_Label_2d26f538-337a-4593-a7e6-123667b1a538_ActionId">
    <vt:lpwstr>61abd6a1-6b41-4370-abf0-3ffc0e7a5c0a</vt:lpwstr>
  </property>
  <property fmtid="{D5CDD505-2E9C-101B-9397-08002B2CF9AE}" pid="8" name="MSIP_Label_2d26f538-337a-4593-a7e6-123667b1a538_ContentBits">
    <vt:lpwstr>0</vt:lpwstr>
  </property>
</Properties>
</file>