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9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Bazas\dossier LBC\47 - LANDIRAS (33) - IND CABANNES\PDF documents remplis par bazas\"/>
    </mc:Choice>
  </mc:AlternateContent>
  <xr:revisionPtr revIDLastSave="0" documentId="13_ncr:1_{632D8264-537D-4FE3-A2FD-855211415849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<sst xmlns="http://schemas.openxmlformats.org/spreadsheetml/2006/main" count="1170" uniqueCount="324">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</sst>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238.97462736861362</c:v>
                </c:pt>
                <c:pt idx="27">
                  <c:v>255.79611567667988</c:v>
                </c:pt>
                <c:pt idx="28">
                  <c:v>272.59258138651876</c:v>
                </c:pt>
                <c:pt idx="29">
                  <c:v>289.36578324917713</c:v>
                </c:pt>
                <c:pt idx="30">
                  <c:v>306.1172594300387</c:v>
                </c:pt>
                <c:pt idx="31">
                  <c:v>322.84836598709234</c:v>
                </c:pt>
                <c:pt idx="32">
                  <c:v>339.56030694964716</c:v>
                </c:pt>
                <c:pt idx="33">
                  <c:v>356.25415816258305</c:v>
                </c:pt>
                <c:pt idx="34">
                  <c:v>372.93088642583757</c:v>
                </c:pt>
                <c:pt idx="35">
                  <c:v>389.59136503053628</c:v>
                </c:pt>
                <c:pt idx="36">
                  <c:v>406.23638649833066</c:v>
                </c:pt>
                <c:pt idx="37">
                  <c:v>422.8666731236728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I16" sqref="I1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1.73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1.73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1.73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38</v>
      </c>
      <c r="B39" s="63">
        <v>338</v>
      </c>
      <c r="C39" s="63">
        <v>4</v>
      </c>
      <c r="D39" s="63">
        <v>338</v>
      </c>
      <c r="E39" s="54">
        <v>0.7</v>
      </c>
      <c r="F39" s="54"/>
      <c r="G39" s="54">
        <v>0.3</v>
      </c>
      <c r="H39" s="54"/>
      <c r="I39" s="52">
        <f t="shared" si="1"/>
        <v>13.076923076923077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12</v>
      </c>
      <c r="B62" s="63">
        <v>106</v>
      </c>
      <c r="C62" s="63">
        <v>1</v>
      </c>
      <c r="D62" s="63">
        <v>34</v>
      </c>
      <c r="E62" s="54"/>
      <c r="F62" s="54"/>
      <c r="G62" s="54">
        <v>1</v>
      </c>
      <c r="H62" s="54"/>
      <c r="I62" s="56">
        <f>IFERROR(B62/A62,"")</f>
        <v>8.8333333333333339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17</v>
      </c>
      <c r="B63" s="63">
        <v>176</v>
      </c>
      <c r="C63" s="63">
        <v>2</v>
      </c>
      <c r="D63" s="63">
        <v>43</v>
      </c>
      <c r="E63" s="54">
        <v>0.2</v>
      </c>
      <c r="F63" s="54"/>
      <c r="G63" s="54">
        <v>0.8</v>
      </c>
      <c r="H63" s="54"/>
      <c r="I63" s="52">
        <f>IF(A63&lt;&gt;0,(B63-(B62-D62))/(A63-A62),"")</f>
        <v>20.8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22</v>
      </c>
      <c r="B64" s="63">
        <v>232</v>
      </c>
      <c r="C64" s="63">
        <v>3</v>
      </c>
      <c r="D64" s="63">
        <v>56</v>
      </c>
      <c r="E64" s="54">
        <v>0.4</v>
      </c>
      <c r="F64" s="54"/>
      <c r="G64" s="54">
        <v>0.6</v>
      </c>
      <c r="H64" s="54"/>
      <c r="I64" s="52">
        <f>IF(A64&lt;&gt;0,(B64-(B63-D63))/(A64-A63),"")</f>
        <v>19.8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309</v>
      </c>
      <c r="C65" s="63">
        <v>4</v>
      </c>
      <c r="D65" s="63">
        <v>309</v>
      </c>
      <c r="E65" s="54">
        <v>0.4</v>
      </c>
      <c r="F65" s="54">
        <v>0.4</v>
      </c>
      <c r="G65" s="54">
        <v>0.2</v>
      </c>
      <c r="H65" s="54"/>
      <c r="I65" s="52">
        <f>IF(A65&lt;&gt;0,(B65-(B64-D64))/(A65-A64),"")</f>
        <v>16.625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157.21429387424644</v>
      </c>
      <c r="T3" s="62">
        <f>IF('Données projet'!E9&gt;30,$R$33-$H$33,LOOKUP('Données projet'!$E$9,$A$3:$A$203,R3:R203)-LOOKUP('Données projet'!$E$9,$A$3:$A$203,$H$3:$H$203))</f>
        <v>264.58225136820056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157.21429387424644</v>
      </c>
      <c r="T4" s="62">
        <f>$T$3</f>
        <v>264.58225136820056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8.8333333333333339</v>
      </c>
      <c r="AI4" s="14">
        <f>IF('Données projet'!$A$62&gt;35,AI3+AH4-AQ3,IF(A4&lt;'Données projet'!$A$62,$AF$205^A4,IF(A4='Données projet'!$A$62,'Données projet'!$B$62,AI3+AH4-AQ3)))</f>
        <v>1.4749438547769935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157.21429387424644</v>
      </c>
      <c r="T5" s="62">
        <f t="shared" ref="T5:T68" si="34">$T$3</f>
        <v>264.58225136820056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8.8333333333333339</v>
      </c>
      <c r="AI5" s="14">
        <f>IF('Données projet'!$A$62&gt;35,AI4+AH5-AQ4,IF(A5&lt;'Données projet'!$A$62,$AF$205^A5,IF(A5='Données projet'!$A$62,'Données projet'!$B$62,AI4+AH5-AQ4)))</f>
        <v>2.1754593747444169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157.21429387424644</v>
      </c>
      <c r="T6" s="62">
        <f t="shared" si="34"/>
        <v>264.58225136820056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8.8333333333333339</v>
      </c>
      <c r="AI6" s="14">
        <f>IF('Données projet'!$A$62&gt;35,AI5+AH6-AQ5,IF(A6&lt;'Données projet'!$A$62,$AF$205^A6,IF(A6='Données projet'!$A$62,'Données projet'!$B$62,AI5+AH6-AQ5)))</f>
        <v>3.2086804360962784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157.21429387424644</v>
      </c>
      <c r="T7" s="62">
        <f t="shared" si="34"/>
        <v>264.58225136820056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8.8333333333333339</v>
      </c>
      <c r="AI7" s="14">
        <f>IF('Données projet'!$A$62&gt;35,AI6+AH7-AQ6,IF(A7&lt;'Données projet'!$A$62,$AF$205^A7,IF(A7='Données projet'!$A$62,'Données projet'!$B$62,AI6+AH7-AQ6)))</f>
        <v>4.7326234911633689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157.21429387424644</v>
      </c>
      <c r="T8" s="62">
        <f t="shared" si="34"/>
        <v>264.58225136820056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8.8333333333333339</v>
      </c>
      <c r="AI8" s="14">
        <f>IF('Données projet'!$A$62&gt;35,AI7+AH8-AQ7,IF(A8&lt;'Données projet'!$A$62,$AF$205^A8,IF(A8='Données projet'!$A$62,'Données projet'!$B$62,AI7+AH8-AQ7)))</f>
        <v>6.9803539352646524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157.21429387424644</v>
      </c>
      <c r="T9" s="62">
        <f t="shared" si="34"/>
        <v>264.58225136820056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8.8333333333333339</v>
      </c>
      <c r="AI9" s="14">
        <f>IF('Données projet'!$A$62&gt;35,AI8+AH9-AQ8,IF(A9&lt;'Données projet'!$A$62,$AF$205^A9,IF(A9='Données projet'!$A$62,'Données projet'!$B$62,AI8+AH9-AQ8)))</f>
        <v>10.295630140987003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157.21429387424644</v>
      </c>
      <c r="T10" s="62">
        <f t="shared" si="34"/>
        <v>264.58225136820056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8.8333333333333339</v>
      </c>
      <c r="AI10" s="14">
        <f>IF('Données projet'!$A$62&gt;35,AI9+AH10-AQ9,IF(A10&lt;'Données projet'!$A$62,$AF$205^A10,IF(A10='Données projet'!$A$62,'Données projet'!$B$62,AI9+AH10-AQ9)))</f>
        <v>15.18547640750557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157.21429387424644</v>
      </c>
      <c r="T11" s="62">
        <f t="shared" si="34"/>
        <v>264.58225136820056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8.8333333333333339</v>
      </c>
      <c r="AI11" s="14">
        <f>IF('Données projet'!$A$62&gt;35,AI10+AH11-AQ10,IF(A11&lt;'Données projet'!$A$62,$AF$205^A11,IF(A11='Données projet'!$A$62,'Données projet'!$B$62,AI10+AH11-AQ10)))</f>
        <v>22.397725109111352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157.21429387424644</v>
      </c>
      <c r="T12" s="62">
        <f t="shared" si="34"/>
        <v>264.58225136820056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8.8333333333333339</v>
      </c>
      <c r="AI12" s="14">
        <f>IF('Données projet'!$A$62&gt;35,AI11+AH12-AQ11,IF(A12&lt;'Données projet'!$A$62,$AF$205^A12,IF(A12='Données projet'!$A$62,'Données projet'!$B$62,AI11+AH12-AQ11)))</f>
        <v>33.035387010668153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157.21429387424644</v>
      </c>
      <c r="T13" s="62">
        <f t="shared" si="34"/>
        <v>264.58225136820056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8.8333333333333339</v>
      </c>
      <c r="AI13" s="14">
        <f>IF('Données projet'!$A$62&gt;35,AI12+AH13-AQ12,IF(A13&lt;'Données projet'!$A$62,$AF$205^A13,IF(A13='Données projet'!$A$62,'Données projet'!$B$62,AI12+AH13-AQ12)))</f>
        <v>48.725341061564706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157.21429387424644</v>
      </c>
      <c r="T14" s="62">
        <f t="shared" si="34"/>
        <v>264.58225136820056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8.8333333333333339</v>
      </c>
      <c r="AI14" s="14">
        <f>IF('Données projet'!$A$62&gt;35,AI13+AH14-AQ13,IF(A14&lt;'Données projet'!$A$62,$AF$205^A14,IF(A14='Données projet'!$A$62,'Données projet'!$B$62,AI13+AH14-AQ13)))</f>
        <v>71.867142370667978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157.21429387424644</v>
      </c>
      <c r="T15" s="62">
        <f t="shared" si="34"/>
        <v>264.58225136820056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>
        <f>VLOOKUP(A15,'Données projet'!$A$61:$I$81,2,0)</f>
        <v>106</v>
      </c>
      <c r="AG15" s="13">
        <f>VLOOKUP(A15,'Données projet'!$A$61:$I$81,9,0)</f>
        <v>8.8333333333333339</v>
      </c>
      <c r="AH15" s="13">
        <f t="array" ref="AH15">INDEX(AG:AG,MIN(IF(ISNUMBER(AG15:AG211),ROW(AG15:AG211),"")))</f>
        <v>8.8333333333333339</v>
      </c>
      <c r="AI15" s="14">
        <f>IF('Données projet'!$A$62&gt;35,AI14+AH15-AQ14,IF(A15&lt;'Données projet'!$A$62,$AF$205^A15,IF(A15='Données projet'!$A$62,'Données projet'!$B$62,AI14+AH15-AQ14)))</f>
        <v>106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1</v>
      </c>
      <c r="AQ15" s="16">
        <f>IF(ISNA(VLOOKUP(A15,'Données projet'!$A$61:$I$81,4,0)),0,VLOOKUP(A15,'Données projet'!$A$61:$I$81,4,0))</f>
        <v>34</v>
      </c>
      <c r="AR15" s="17" t="e">
        <f>IF(ISNA(VLOOKUP(A15,'Données projet'!$A$61:$I$81,5,0)),0%,VLOOKUP(A15,'Données projet'!$A$61:$I$81,5,0)*VLOOKUP('Données projet'!$B$10,Paramètres!$A$1:$I$89,7,0))</f>
        <v>#N/A</v>
      </c>
      <c r="AS15" s="17" t="e">
        <f>IF(ISNA(VLOOKUP(A15,'Données projet'!$A$61:$I$81,6,0)),0%,VLOOKUP(A15,'Données projet'!$A$61:$I$81,6,0)*VLOOKUP('Données projet'!$B$10,Paramètres!$A$1:$I$89,7,0))</f>
        <v>#N/A</v>
      </c>
      <c r="AT15" s="17">
        <f>IF(ISNA(VLOOKUP(A15,'Données projet'!$A$61:$I$81,7,0)),0%,VLOOKUP(A15,'Données projet'!$A$61:$I$81,7,0))</f>
        <v>1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157.21429387424644</v>
      </c>
      <c r="T16" s="62">
        <f t="shared" si="34"/>
        <v>264.58225136820056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20.8</v>
      </c>
      <c r="AI16" s="14">
        <f>IF('Données projet'!$A$62&gt;35,AI15+AH16-AQ15,IF(A16&lt;'Données projet'!$A$62,$AF$205^A16,IF(A16='Données projet'!$A$62,'Données projet'!$B$62,AI15+AH16-AQ15)))</f>
        <v>92.8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157.21429387424644</v>
      </c>
      <c r="T17" s="62">
        <f t="shared" si="34"/>
        <v>264.58225136820056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20.8</v>
      </c>
      <c r="AI17" s="14">
        <f>IF('Données projet'!$A$62&gt;35,AI16+AH17-AQ16,IF(A17&lt;'Données projet'!$A$62,$AF$205^A17,IF(A17='Données projet'!$A$62,'Données projet'!$B$62,AI16+AH17-AQ16)))</f>
        <v>113.6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157.21429387424644</v>
      </c>
      <c r="T18" s="62">
        <f t="shared" si="34"/>
        <v>264.58225136820056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20.8</v>
      </c>
      <c r="AI18" s="14">
        <f>IF('Données projet'!$A$62&gt;35,AI17+AH18-AQ17,IF(A18&lt;'Données projet'!$A$62,$AF$205^A18,IF(A18='Données projet'!$A$62,'Données projet'!$B$62,AI17+AH18-AQ17)))</f>
        <v>134.4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157.21429387424644</v>
      </c>
      <c r="T19" s="62">
        <f t="shared" si="34"/>
        <v>264.58225136820056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20.8</v>
      </c>
      <c r="AI19" s="14">
        <f>IF('Données projet'!$A$62&gt;35,AI18+AH19-AQ18,IF(A19&lt;'Données projet'!$A$62,$AF$205^A19,IF(A19='Données projet'!$A$62,'Données projet'!$B$62,AI18+AH19-AQ18)))</f>
        <v>155.20000000000002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157.21429387424644</v>
      </c>
      <c r="T20" s="62">
        <f t="shared" si="34"/>
        <v>264.58225136820056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>
        <f>VLOOKUP(A20,'Données projet'!$A$61:$I$81,2,0)</f>
        <v>176</v>
      </c>
      <c r="AG20" s="13">
        <f>VLOOKUP(A20,'Données projet'!$A$61:$I$81,9,0)</f>
        <v>20.8</v>
      </c>
      <c r="AH20" s="13">
        <f t="array" ref="AH20">INDEX(AG:AG,MIN(IF(ISNUMBER(AG20:AG216),ROW(AG20:AG216),"")))</f>
        <v>20.8</v>
      </c>
      <c r="AI20" s="14">
        <f>IF('Données projet'!$A$62&gt;35,AI19+AH20-AQ19,IF(A20&lt;'Données projet'!$A$62,$AF$205^A20,IF(A20='Données projet'!$A$62,'Données projet'!$B$62,AI19+AH20-AQ19)))</f>
        <v>176.00000000000003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2</v>
      </c>
      <c r="AQ20" s="16">
        <f>IF(ISNA(VLOOKUP(A20,'Données projet'!$A$61:$I$81,4,0)),0,VLOOKUP(A20,'Données projet'!$A$61:$I$81,4,0))</f>
        <v>43</v>
      </c>
      <c r="AR20" s="17" t="e">
        <f>IF(ISNA(VLOOKUP(A20,'Données projet'!$A$61:$I$81,5,0)),0%,VLOOKUP(A20,'Données projet'!$A$61:$I$81,5,0)*VLOOKUP('Données projet'!$B$10,Paramètres!$A$1:$I$89,7,0))</f>
        <v>#N/A</v>
      </c>
      <c r="AS20" s="17" t="e">
        <f>IF(ISNA(VLOOKUP(A20,'Données projet'!$A$61:$I$81,6,0)),0%,VLOOKUP(A20,'Données projet'!$A$61:$I$81,6,0)*VLOOKUP('Données projet'!$B$10,Paramètres!$A$1:$I$89,7,0))</f>
        <v>#N/A</v>
      </c>
      <c r="AT20" s="17">
        <f>IF(ISNA(VLOOKUP(A20,'Données projet'!$A$61:$I$81,7,0)),0%,VLOOKUP(A20,'Données projet'!$A$61:$I$81,7,0))</f>
        <v>0.8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157.21429387424644</v>
      </c>
      <c r="T21" s="62">
        <f t="shared" si="34"/>
        <v>264.58225136820056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19.8</v>
      </c>
      <c r="AI21" s="14">
        <f>IF('Données projet'!$A$62&gt;35,AI20+AH21-AQ20,IF(A21&lt;'Données projet'!$A$62,$AF$205^A21,IF(A21='Données projet'!$A$62,'Données projet'!$B$62,AI20+AH21-AQ20)))</f>
        <v>152.80000000000004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157.21429387424644</v>
      </c>
      <c r="T22" s="62">
        <f t="shared" si="34"/>
        <v>264.58225136820056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19.8</v>
      </c>
      <c r="AI22" s="14">
        <f>IF('Données projet'!$A$62&gt;35,AI21+AH22-AQ21,IF(A22&lt;'Données projet'!$A$62,$AF$205^A22,IF(A22='Données projet'!$A$62,'Données projet'!$B$62,AI21+AH22-AQ21)))</f>
        <v>172.60000000000005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157.21429387424644</v>
      </c>
      <c r="T23" s="62">
        <f t="shared" si="34"/>
        <v>264.58225136820056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19.8</v>
      </c>
      <c r="AI23" s="14">
        <f>IF('Données projet'!$A$62&gt;35,AI22+AH23-AQ22,IF(A23&lt;'Données projet'!$A$62,$AF$205^A23,IF(A23='Données projet'!$A$62,'Données projet'!$B$62,AI22+AH23-AQ22)))</f>
        <v>192.40000000000006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157.21429387424644</v>
      </c>
      <c r="T24" s="62">
        <f t="shared" si="34"/>
        <v>264.58225136820056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19.8</v>
      </c>
      <c r="AI24" s="14">
        <f>IF('Données projet'!$A$62&gt;35,AI23+AH24-AQ23,IF(A24&lt;'Données projet'!$A$62,$AF$205^A24,IF(A24='Données projet'!$A$62,'Données projet'!$B$62,AI23+AH24-AQ23)))</f>
        <v>212.20000000000007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157.21429387424644</v>
      </c>
      <c r="T25" s="62">
        <f t="shared" si="34"/>
        <v>264.58225136820056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>
        <f>VLOOKUP(A25,'Données projet'!$A$61:$I$81,2,0)</f>
        <v>232</v>
      </c>
      <c r="AG25" s="13">
        <f>VLOOKUP(A25,'Données projet'!$A$61:$I$81,9,0)</f>
        <v>19.8</v>
      </c>
      <c r="AH25" s="13">
        <f t="array" ref="AH25">INDEX(AG:AG,MIN(IF(ISNUMBER(AG25:AG221),ROW(AG25:AG221),"")))</f>
        <v>19.8</v>
      </c>
      <c r="AI25" s="14">
        <f>IF('Données projet'!$A$62&gt;35,AI24+AH25-AQ24,IF(A25&lt;'Données projet'!$A$62,$AF$205^A25,IF(A25='Données projet'!$A$62,'Données projet'!$B$62,AI24+AH25-AQ24)))</f>
        <v>232.00000000000009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3</v>
      </c>
      <c r="AQ25" s="16">
        <f>IF(ISNA(VLOOKUP(A25,'Données projet'!$A$61:$I$81,4,0)),0,VLOOKUP(A25,'Données projet'!$A$61:$I$81,4,0))</f>
        <v>56</v>
      </c>
      <c r="AR25" s="17" t="e">
        <f>IF(ISNA(VLOOKUP(A25,'Données projet'!$A$61:$I$81,5,0)),0%,VLOOKUP(A25,'Données projet'!$A$61:$I$81,5,0)*VLOOKUP('Données projet'!$B$10,Paramètres!$A$1:$I$89,7,0))</f>
        <v>#N/A</v>
      </c>
      <c r="AS25" s="17" t="e">
        <f>IF(ISNA(VLOOKUP(A25,'Données projet'!$A$61:$I$81,6,0)),0%,VLOOKUP(A25,'Données projet'!$A$61:$I$81,6,0)*VLOOKUP('Données projet'!$B$10,Paramètres!$A$1:$I$89,7,0))</f>
        <v>#N/A</v>
      </c>
      <c r="AT25" s="17">
        <f>IF(ISNA(VLOOKUP(A25,'Données projet'!$A$61:$I$81,7,0)),0%,VLOOKUP(A25,'Données projet'!$A$61:$I$81,7,0))</f>
        <v>0.6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157.21429387424644</v>
      </c>
      <c r="T26" s="62">
        <f t="shared" si="34"/>
        <v>264.58225136820056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16.625</v>
      </c>
      <c r="AI26" s="14">
        <f>IF('Données projet'!$A$62&gt;35,AI25+AH26-AQ25,IF(A26&lt;'Données projet'!$A$62,$AF$205^A26,IF(A26='Données projet'!$A$62,'Données projet'!$B$62,AI25+AH26-AQ25)))</f>
        <v>192.62500000000009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157.21429387424644</v>
      </c>
      <c r="T27" s="62">
        <f t="shared" si="34"/>
        <v>264.58225136820056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16.625</v>
      </c>
      <c r="AI27" s="14">
        <f>IF('Données projet'!$A$62&gt;35,AI26+AH27-AQ26,IF(A27&lt;'Données projet'!$A$62,$AF$205^A27,IF(A27='Données projet'!$A$62,'Données projet'!$B$62,AI26+AH27-AQ26)))</f>
        <v>209.25000000000009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157.21429387424644</v>
      </c>
      <c r="T28" s="62">
        <f t="shared" si="34"/>
        <v>264.58225136820056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16.625</v>
      </c>
      <c r="AI28" s="14">
        <f>IF('Données projet'!$A$62&gt;35,AI27+AH28-AQ27,IF(A28&lt;'Données projet'!$A$62,$AF$205^A28,IF(A28='Données projet'!$A$62,'Données projet'!$B$62,AI27+AH28-AQ27)))</f>
        <v>225.87500000000009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13.076923076923077</v>
      </c>
      <c r="N29" s="14">
        <f>IF('Données projet'!$A$36&gt;35,N28+M29-V28,IF(A29&lt;'Données projet'!$A$36,$K$205^A29,IF(A29='Données projet'!$A$36,'Données projet'!$B$36,N28+M29-V28)))</f>
        <v>181.07692307692307</v>
      </c>
      <c r="O29" s="14">
        <f>N29*VLOOKUP('Données projet'!$B$9,Paramètres!$A$1:$I$89,3,0)*VLOOKUP('Données projet'!$B$9,Paramètres!$A$1:$I$89,5,0)</f>
        <v>108.28400000000001</v>
      </c>
      <c r="P29" s="14">
        <f t="shared" si="33"/>
        <v>28.926312364754224</v>
      </c>
      <c r="Q29" s="22">
        <f t="shared" si="2"/>
        <v>238.97462736861362</v>
      </c>
      <c r="R29" s="62">
        <f t="shared" si="0"/>
        <v>532.30796070194697</v>
      </c>
      <c r="S29" s="62">
        <f ca="1">AVERAGE(OFFSET($R$3,0,0,'Données projet'!$E$9+1,1))-AVERAGE(OFFSET($H$3,0,0,'Données projet'!$E$9+1,1))</f>
        <v>157.21429387424644</v>
      </c>
      <c r="T29" s="62">
        <f t="shared" si="34"/>
        <v>264.58225136820056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16.625</v>
      </c>
      <c r="AI29" s="14">
        <f>IF('Données projet'!$A$62&gt;35,AI28+AH29-AQ28,IF(A29&lt;'Données projet'!$A$62,$AF$205^A29,IF(A29='Données projet'!$A$62,'Données projet'!$B$62,AI28+AH29-AQ28)))</f>
        <v>242.50000000000009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13.076923076923077</v>
      </c>
      <c r="N30" s="14">
        <f>IF('Données projet'!$A$36&gt;35,N29+M30-V29,IF(A30&lt;'Données projet'!$A$36,$K$205^A30,IF(A30='Données projet'!$A$36,'Données projet'!$B$36,N29+M30-V29)))</f>
        <v>194.15384615384613</v>
      </c>
      <c r="O30" s="14">
        <f>N30*VLOOKUP('Données projet'!$B$9,Paramètres!$A$1:$I$89,3,0)*VLOOKUP('Données projet'!$B$9,Paramètres!$A$1:$I$89,5,0)</f>
        <v>116.104</v>
      </c>
      <c r="P30" s="14">
        <f t="shared" si="33"/>
        <v>30.764583163643966</v>
      </c>
      <c r="Q30" s="22">
        <f t="shared" si="2"/>
        <v>255.79611567667988</v>
      </c>
      <c r="R30" s="62">
        <f t="shared" si="0"/>
        <v>549.12944901001322</v>
      </c>
      <c r="S30" s="62">
        <f ca="1">AVERAGE(OFFSET($R$3,0,0,'Données projet'!$E$9+1,1))-AVERAGE(OFFSET($H$3,0,0,'Données projet'!$E$9+1,1))</f>
        <v>157.21429387424644</v>
      </c>
      <c r="T30" s="62">
        <f t="shared" si="34"/>
        <v>264.58225136820056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16.625</v>
      </c>
      <c r="AI30" s="14">
        <f>IF('Données projet'!$A$62&gt;35,AI29+AH30-AQ29,IF(A30&lt;'Données projet'!$A$62,$AF$205^A30,IF(A30='Données projet'!$A$62,'Données projet'!$B$62,AI29+AH30-AQ29)))</f>
        <v>259.12500000000011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13.076923076923077</v>
      </c>
      <c r="N31" s="14">
        <f>IF('Données projet'!$A$36&gt;35,N30+M31-V30,IF(A31&lt;'Données projet'!$A$36,$K$205^A31,IF(A31='Données projet'!$A$36,'Données projet'!$B$36,N30+M31-V30)))</f>
        <v>207.2307692307692</v>
      </c>
      <c r="O31" s="14">
        <f>N31*VLOOKUP('Données projet'!$B$9,Paramètres!$A$1:$I$89,3,0)*VLOOKUP('Données projet'!$B$9,Paramètres!$A$1:$I$89,5,0)</f>
        <v>123.92399999999998</v>
      </c>
      <c r="P31" s="14">
        <f t="shared" si="33"/>
        <v>32.588486920489281</v>
      </c>
      <c r="Q31" s="22">
        <f t="shared" si="2"/>
        <v>272.59258138651876</v>
      </c>
      <c r="R31" s="62">
        <f t="shared" si="0"/>
        <v>565.92591471985202</v>
      </c>
      <c r="S31" s="62">
        <f ca="1">AVERAGE(OFFSET($R$3,0,0,'Données projet'!$E$9+1,1))-AVERAGE(OFFSET($H$3,0,0,'Données projet'!$E$9+1,1))</f>
        <v>157.21429387424644</v>
      </c>
      <c r="T31" s="62">
        <f t="shared" si="34"/>
        <v>264.58225136820056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16.625</v>
      </c>
      <c r="AI31" s="14">
        <f>IF('Données projet'!$A$62&gt;35,AI30+AH31-AQ30,IF(A31&lt;'Données projet'!$A$62,$AF$205^A31,IF(A31='Données projet'!$A$62,'Données projet'!$B$62,AI30+AH31-AQ30)))</f>
        <v>275.75000000000011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13.076923076923077</v>
      </c>
      <c r="N32" s="14">
        <f>IF('Données projet'!$A$36&gt;35,N31+M32-V31,IF(A32&lt;'Données projet'!$A$36,$K$205^A32,IF(A32='Données projet'!$A$36,'Données projet'!$B$36,N31+M32-V31)))</f>
        <v>220.30769230769226</v>
      </c>
      <c r="O32" s="14">
        <f>N32*VLOOKUP('Données projet'!$B$9,Paramètres!$A$1:$I$89,3,0)*VLOOKUP('Données projet'!$B$9,Paramètres!$A$1:$I$89,5,0)</f>
        <v>131.744</v>
      </c>
      <c r="P32" s="14">
        <f t="shared" si="33"/>
        <v>34.399033444503608</v>
      </c>
      <c r="Q32" s="22">
        <f t="shared" si="2"/>
        <v>289.36578324917713</v>
      </c>
      <c r="R32" s="62">
        <f t="shared" si="0"/>
        <v>582.69911658251044</v>
      </c>
      <c r="S32" s="62">
        <f ca="1">AVERAGE(OFFSET($R$3,0,0,'Données projet'!$E$9+1,1))-AVERAGE(OFFSET($H$3,0,0,'Données projet'!$E$9+1,1))</f>
        <v>157.21429387424644</v>
      </c>
      <c r="T32" s="62">
        <f t="shared" si="34"/>
        <v>264.58225136820056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16.625</v>
      </c>
      <c r="AI32" s="14">
        <f>IF('Données projet'!$A$62&gt;35,AI31+AH32-AQ31,IF(A32&lt;'Données projet'!$A$62,$AF$205^A32,IF(A32='Données projet'!$A$62,'Données projet'!$B$62,AI31+AH32-AQ31)))</f>
        <v>292.37500000000011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13.076923076923077</v>
      </c>
      <c r="N33" s="14">
        <f>IF('Données projet'!$A$36&gt;35,N32+M33-V32,IF(A33&lt;'Données projet'!$A$36,$K$205^A33,IF(A33='Données projet'!$A$36,'Données projet'!$B$36,N32+M33-V32)))</f>
        <v>233.38461538461533</v>
      </c>
      <c r="O33" s="14">
        <f>N33*VLOOKUP('Données projet'!$B$9,Paramètres!$A$1:$I$89,3,0)*VLOOKUP('Données projet'!$B$9,Paramètres!$A$1:$I$89,5,0)</f>
        <v>139.56399999999996</v>
      </c>
      <c r="P33" s="14">
        <f t="shared" si="33"/>
        <v>36.197105892845229</v>
      </c>
      <c r="Q33" s="22">
        <f t="shared" si="2"/>
        <v>306.1172594300387</v>
      </c>
      <c r="R33" s="62">
        <f t="shared" si="0"/>
        <v>599.45059276337201</v>
      </c>
      <c r="S33" s="62">
        <f ca="1">AVERAGE(OFFSET($R$3,0,0,'Données projet'!$E$9+1,1))-AVERAGE(OFFSET($H$3,0,0,'Données projet'!$E$9+1,1))</f>
        <v>157.21429387424644</v>
      </c>
      <c r="T33" s="62">
        <f t="shared" si="34"/>
        <v>264.58225136820056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309</v>
      </c>
      <c r="AG33" s="13">
        <f>VLOOKUP(A33,'Données projet'!$A$61:$I$81,9,0)</f>
        <v>16.625</v>
      </c>
      <c r="AH33" s="13">
        <f t="array" ref="AH33">INDEX(AG:AG,MIN(IF(ISNUMBER(AG33:AG229),ROW(AG33:AG229),"")))</f>
        <v>16.625</v>
      </c>
      <c r="AI33" s="14">
        <f>IF('Données projet'!$A$62&gt;35,AI32+AH33-AQ32,IF(A33&lt;'Données projet'!$A$62,$AF$205^A33,IF(A33='Données projet'!$A$62,'Données projet'!$B$62,AI32+AH33-AQ32)))</f>
        <v>309.00000000000011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309</v>
      </c>
      <c r="AR33" s="17" t="e">
        <f>IF(ISNA(VLOOKUP(A33,'Données projet'!$A$61:$I$81,5,0)),0%,VLOOKUP(A33,'Données projet'!$A$61:$I$81,5,0)*VLOOKUP('Données projet'!$B$10,Paramètres!$A$1:$I$89,7,0))</f>
        <v>#N/A</v>
      </c>
      <c r="AS33" s="17" t="e">
        <f>IF(ISNA(VLOOKUP(A33,'Données projet'!$A$61:$I$81,6,0)),0%,VLOOKUP(A33,'Données projet'!$A$61:$I$81,6,0)*VLOOKUP('Données projet'!$B$10,Paramètres!$A$1:$I$89,7,0))</f>
        <v>#N/A</v>
      </c>
      <c r="AT33" s="17">
        <f>IF(ISNA(VLOOKUP(A33,'Données projet'!$A$61:$I$81,7,0)),0%,VLOOKUP(A33,'Données projet'!$A$61:$I$81,7,0))</f>
        <v>0.2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13.076923076923077</v>
      </c>
      <c r="N34" s="14">
        <f>IF('Données projet'!$A$36&gt;35,N33+M34-V33,IF(A34&lt;'Données projet'!$A$36,$K$205^A34,IF(A34='Données projet'!$A$36,'Données projet'!$B$36,N33+M34-V33)))</f>
        <v>246.4615384615384</v>
      </c>
      <c r="O34" s="14">
        <f>N34*VLOOKUP('Données projet'!$B$9,Paramètres!$A$1:$I$89,3,0)*VLOOKUP('Données projet'!$B$9,Paramètres!$A$1:$I$89,5,0)</f>
        <v>147.38399999999999</v>
      </c>
      <c r="P34" s="14">
        <f t="shared" si="33"/>
        <v>37.983482863402315</v>
      </c>
      <c r="Q34" s="22">
        <f t="shared" si="2"/>
        <v>322.84836598709234</v>
      </c>
      <c r="R34" s="62">
        <f t="shared" si="0"/>
        <v>616.18169932042565</v>
      </c>
      <c r="S34" s="62">
        <f ca="1">AVERAGE(OFFSET($R$3,0,0,'Données projet'!$E$9+1,1))-AVERAGE(OFFSET($H$3,0,0,'Données projet'!$E$9+1,1))</f>
        <v>157.21429387424644</v>
      </c>
      <c r="T34" s="62">
        <f t="shared" si="34"/>
        <v>264.58225136820056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1.1368683772161603E-13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13.076923076923077</v>
      </c>
      <c r="N35" s="14">
        <f>IF('Données projet'!$A$36&gt;35,N34+M35-V34,IF(A35&lt;'Données projet'!$A$36,$K$205^A35,IF(A35='Données projet'!$A$36,'Données projet'!$B$36,N34+M35-V34)))</f>
        <v>259.53846153846149</v>
      </c>
      <c r="O35" s="14">
        <f>N35*VLOOKUP('Données projet'!$B$9,Paramètres!$A$1:$I$89,3,0)*VLOOKUP('Données projet'!$B$9,Paramètres!$A$1:$I$89,5,0)</f>
        <v>155.20399999999998</v>
      </c>
      <c r="P35" s="14">
        <f t="shared" si="33"/>
        <v>39.758855664869223</v>
      </c>
      <c r="Q35" s="22">
        <f t="shared" ref="Q35:Q66" si="53">(O35+P35)*0.475*44/12</f>
        <v>339.56030694964716</v>
      </c>
      <c r="R35" s="62">
        <f t="shared" si="0"/>
        <v>632.89364028298041</v>
      </c>
      <c r="S35" s="62">
        <f ca="1">AVERAGE(OFFSET($R$3,0,0,'Données projet'!$E$9+1,1))-AVERAGE(OFFSET($H$3,0,0,'Données projet'!$E$9+1,1))</f>
        <v>157.21429387424644</v>
      </c>
      <c r="T35" s="62">
        <f t="shared" si="34"/>
        <v>264.58225136820056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1.1368683772161603E-13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13.076923076923077</v>
      </c>
      <c r="N36" s="14">
        <f>IF('Données projet'!$A$36&gt;35,N35+M36-V35,IF(A36&lt;'Données projet'!$A$36,$K$205^A36,IF(A36='Données projet'!$A$36,'Données projet'!$B$36,N35+M36-V35)))</f>
        <v>272.61538461538458</v>
      </c>
      <c r="O36" s="14">
        <f>N36*VLOOKUP('Données projet'!$B$9,Paramètres!$A$1:$I$89,3,0)*VLOOKUP('Données projet'!$B$9,Paramètres!$A$1:$I$89,5,0)</f>
        <v>163.024</v>
      </c>
      <c r="P36" s="14">
        <f t="shared" si="33"/>
        <v>41.523842007224737</v>
      </c>
      <c r="Q36" s="22">
        <f t="shared" si="53"/>
        <v>356.25415816258305</v>
      </c>
      <c r="R36" s="62">
        <f t="shared" si="0"/>
        <v>649.58749149591631</v>
      </c>
      <c r="S36" s="62">
        <f ca="1">AVERAGE(OFFSET($R$3,0,0,'Données projet'!$E$9+1,1))-AVERAGE(OFFSET($H$3,0,0,'Données projet'!$E$9+1,1))</f>
        <v>157.21429387424644</v>
      </c>
      <c r="T36" s="62">
        <f t="shared" si="34"/>
        <v>264.58225136820056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1.1368683772161603E-13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13.076923076923077</v>
      </c>
      <c r="N37" s="14">
        <f>IF('Données projet'!$A$36&gt;35,N36+M37-V36,IF(A37&lt;'Données projet'!$A$36,$K$205^A37,IF(A37='Données projet'!$A$36,'Données projet'!$B$36,N36+M37-V36)))</f>
        <v>285.69230769230768</v>
      </c>
      <c r="O37" s="14">
        <f>N37*VLOOKUP('Données projet'!$B$9,Paramètres!$A$1:$I$89,3,0)*VLOOKUP('Données projet'!$B$9,Paramètres!$A$1:$I$89,5,0)</f>
        <v>170.84400000000002</v>
      </c>
      <c r="P37" s="14">
        <f t="shared" si="33"/>
        <v>43.278996990911509</v>
      </c>
      <c r="Q37" s="22">
        <f t="shared" si="53"/>
        <v>372.93088642583757</v>
      </c>
      <c r="R37" s="62">
        <f t="shared" si="0"/>
        <v>666.26421975917083</v>
      </c>
      <c r="S37" s="62">
        <f ca="1">AVERAGE(OFFSET($R$3,0,0,'Données projet'!$E$9+1,1))-AVERAGE(OFFSET($H$3,0,0,'Données projet'!$E$9+1,1))</f>
        <v>157.21429387424644</v>
      </c>
      <c r="T37" s="62">
        <f t="shared" si="34"/>
        <v>264.58225136820056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1.1368683772161603E-13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13.076923076923077</v>
      </c>
      <c r="N38" s="14">
        <f>IF('Données projet'!$A$36&gt;35,N37+M38-V37,IF(A38&lt;'Données projet'!$A$36,$K$205^A38,IF(A38='Données projet'!$A$36,'Données projet'!$B$36,N37+M38-V37)))</f>
        <v>298.76923076923077</v>
      </c>
      <c r="O38" s="14">
        <f>N38*VLOOKUP('Données projet'!$B$9,Paramètres!$A$1:$I$89,3,0)*VLOOKUP('Données projet'!$B$9,Paramètres!$A$1:$I$89,5,0)</f>
        <v>178.66400000000002</v>
      </c>
      <c r="P38" s="14">
        <f t="shared" si="33"/>
        <v>45.024822027102132</v>
      </c>
      <c r="Q38" s="22">
        <f t="shared" si="53"/>
        <v>389.59136503053628</v>
      </c>
      <c r="R38" s="62">
        <f t="shared" si="0"/>
        <v>682.92469836386954</v>
      </c>
      <c r="S38" s="62">
        <f ca="1">AVERAGE(OFFSET($R$3,0,0,'Données projet'!$E$9+1,1))-AVERAGE(OFFSET($H$3,0,0,'Données projet'!$E$9+1,1))</f>
        <v>157.21429387424644</v>
      </c>
      <c r="T38" s="62">
        <f t="shared" si="34"/>
        <v>264.58225136820056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1.1368683772161603E-13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13.076923076923077</v>
      </c>
      <c r="N39" s="14">
        <f>IF('Données projet'!$A$36&gt;35,N38+M39-V38,IF(A39&lt;'Données projet'!$A$36,$K$205^A39,IF(A39='Données projet'!$A$36,'Données projet'!$B$36,N38+M39-V38)))</f>
        <v>311.84615384615387</v>
      </c>
      <c r="O39" s="14">
        <f>N39*VLOOKUP('Données projet'!$B$9,Paramètres!$A$1:$I$89,3,0)*VLOOKUP('Données projet'!$B$9,Paramètres!$A$1:$I$89,5,0)</f>
        <v>186.48400000000001</v>
      </c>
      <c r="P39" s="14">
        <f t="shared" si="33"/>
        <v>46.761772152151593</v>
      </c>
      <c r="Q39" s="22">
        <f t="shared" si="53"/>
        <v>406.23638649833066</v>
      </c>
      <c r="R39" s="62">
        <f t="shared" si="0"/>
        <v>699.56971983166397</v>
      </c>
      <c r="S39" s="62">
        <f ca="1">AVERAGE(OFFSET($R$3,0,0,'Données projet'!$E$9+1,1))-AVERAGE(OFFSET($H$3,0,0,'Données projet'!$E$9+1,1))</f>
        <v>157.21429387424644</v>
      </c>
      <c r="T39" s="62">
        <f t="shared" si="34"/>
        <v>264.58225136820056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1.1368683772161603E-13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13.076923076923077</v>
      </c>
      <c r="N40" s="14">
        <f>IF('Données projet'!$A$36&gt;35,N39+M40-V39,IF(A40&lt;'Données projet'!$A$36,$K$205^A40,IF(A40='Données projet'!$A$36,'Données projet'!$B$36,N39+M40-V39)))</f>
        <v>324.92307692307696</v>
      </c>
      <c r="O40" s="14">
        <f>N40*VLOOKUP('Données projet'!$B$9,Paramètres!$A$1:$I$89,3,0)*VLOOKUP('Données projet'!$B$9,Paramètres!$A$1:$I$89,5,0)</f>
        <v>194.30400000000003</v>
      </c>
      <c r="P40" s="14">
        <f t="shared" si="33"/>
        <v>48.490262080577637</v>
      </c>
      <c r="Q40" s="22">
        <f t="shared" si="53"/>
        <v>422.8666731236728</v>
      </c>
      <c r="R40" s="62">
        <f t="shared" si="0"/>
        <v>716.20000645700611</v>
      </c>
      <c r="S40" s="62">
        <f ca="1">AVERAGE(OFFSET($R$3,0,0,'Données projet'!$E$9+1,1))-AVERAGE(OFFSET($H$3,0,0,'Données projet'!$E$9+1,1))</f>
        <v>157.21429387424644</v>
      </c>
      <c r="T40" s="62">
        <f t="shared" si="34"/>
        <v>264.58225136820056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1.1368683772161603E-13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13.076923076923077</v>
      </c>
      <c r="M41" s="13">
        <f t="array" ref="M41">INDEX(L:L,MIN(IF(ISNUMBER(L41:L237),ROW(L41:L237),"")))</f>
        <v>13.076923076923077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157.21429387424644</v>
      </c>
      <c r="T41" s="62">
        <f t="shared" si="34"/>
        <v>264.58225136820056</v>
      </c>
      <c r="U41" s="16">
        <f>IF(ISNA(VLOOKUP(A41,'Données projet'!$A$35:$I$55,3,0)),0,VLOOKUP(A41,'Données projet'!$A$35:$I$55,3,0))</f>
        <v>4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1.1368683772161603E-13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157.21429387424644</v>
      </c>
      <c r="T42" s="62">
        <f t="shared" si="34"/>
        <v>264.58225136820056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1.1368683772161603E-13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157.21429387424644</v>
      </c>
      <c r="T43" s="62">
        <f t="shared" si="34"/>
        <v>264.58225136820056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1.1368683772161603E-13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157.21429387424644</v>
      </c>
      <c r="T44" s="62">
        <f t="shared" si="34"/>
        <v>264.58225136820056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1.1368683772161603E-13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157.21429387424644</v>
      </c>
      <c r="T45" s="62">
        <f t="shared" si="34"/>
        <v>264.58225136820056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1.1368683772161603E-13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157.21429387424644</v>
      </c>
      <c r="T46" s="62">
        <f t="shared" si="34"/>
        <v>264.58225136820056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1.1368683772161603E-13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157.21429387424644</v>
      </c>
      <c r="T47" s="62">
        <f t="shared" si="34"/>
        <v>264.58225136820056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1.1368683772161603E-13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157.21429387424644</v>
      </c>
      <c r="T48" s="62">
        <f t="shared" si="34"/>
        <v>264.58225136820056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1.1368683772161603E-13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157.21429387424644</v>
      </c>
      <c r="T49" s="62">
        <f t="shared" si="34"/>
        <v>264.58225136820056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1.1368683772161603E-13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157.21429387424644</v>
      </c>
      <c r="T50" s="62">
        <f t="shared" si="34"/>
        <v>264.58225136820056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1.1368683772161603E-13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157.21429387424644</v>
      </c>
      <c r="T51" s="62">
        <f t="shared" si="34"/>
        <v>264.58225136820056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1.1368683772161603E-13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157.21429387424644</v>
      </c>
      <c r="T52" s="62">
        <f t="shared" si="34"/>
        <v>264.58225136820056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1.1368683772161603E-13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157.21429387424644</v>
      </c>
      <c r="T53" s="62">
        <f t="shared" si="34"/>
        <v>264.58225136820056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1.1368683772161603E-13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157.21429387424644</v>
      </c>
      <c r="T54" s="62">
        <f t="shared" si="34"/>
        <v>264.58225136820056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1.1368683772161603E-13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157.21429387424644</v>
      </c>
      <c r="T55" s="62">
        <f t="shared" si="34"/>
        <v>264.58225136820056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1.1368683772161603E-13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157.21429387424644</v>
      </c>
      <c r="T56" s="62">
        <f t="shared" si="34"/>
        <v>264.58225136820056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1.1368683772161603E-13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157.21429387424644</v>
      </c>
      <c r="T57" s="62">
        <f t="shared" si="34"/>
        <v>264.58225136820056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1.1368683772161603E-13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157.21429387424644</v>
      </c>
      <c r="T58" s="62">
        <f t="shared" si="34"/>
        <v>264.58225136820056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1.1368683772161603E-13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157.21429387424644</v>
      </c>
      <c r="T59" s="62">
        <f t="shared" si="34"/>
        <v>264.58225136820056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1.1368683772161603E-13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157.21429387424644</v>
      </c>
      <c r="T60" s="62">
        <f t="shared" si="34"/>
        <v>264.58225136820056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1.1368683772161603E-13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157.21429387424644</v>
      </c>
      <c r="T61" s="62">
        <f t="shared" si="34"/>
        <v>264.58225136820056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1.1368683772161603E-13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157.21429387424644</v>
      </c>
      <c r="T62" s="62">
        <f t="shared" si="34"/>
        <v>264.58225136820056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1.1368683772161603E-13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157.21429387424644</v>
      </c>
      <c r="T63" s="62">
        <f t="shared" si="34"/>
        <v>264.58225136820056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1.1368683772161603E-13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157.21429387424644</v>
      </c>
      <c r="T64" s="62">
        <f t="shared" si="34"/>
        <v>264.58225136820056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1.1368683772161603E-13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157.21429387424644</v>
      </c>
      <c r="T65" s="62">
        <f t="shared" si="34"/>
        <v>264.58225136820056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1.1368683772161603E-13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157.21429387424644</v>
      </c>
      <c r="T66" s="62">
        <f t="shared" si="34"/>
        <v>264.58225136820056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1.1368683772161603E-13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157.21429387424644</v>
      </c>
      <c r="T67" s="62">
        <f t="shared" si="34"/>
        <v>264.58225136820056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1.1368683772161603E-13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157.21429387424644</v>
      </c>
      <c r="T68" s="62">
        <f t="shared" si="34"/>
        <v>264.58225136820056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1.1368683772161603E-13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157.21429387424644</v>
      </c>
      <c r="T69" s="62">
        <f t="shared" ref="T69:T132" si="88">$T$3</f>
        <v>264.58225136820056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1.1368683772161603E-13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157.21429387424644</v>
      </c>
      <c r="T70" s="62">
        <f t="shared" si="88"/>
        <v>264.58225136820056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1.1368683772161603E-13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157.21429387424644</v>
      </c>
      <c r="T71" s="62">
        <f t="shared" si="88"/>
        <v>264.58225136820056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1.1368683772161603E-13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157.21429387424644</v>
      </c>
      <c r="T72" s="62">
        <f t="shared" si="88"/>
        <v>264.58225136820056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1.1368683772161603E-13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157.21429387424644</v>
      </c>
      <c r="T73" s="62">
        <f t="shared" si="88"/>
        <v>264.58225136820056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1.1368683772161603E-13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157.21429387424644</v>
      </c>
      <c r="T74" s="62">
        <f t="shared" si="88"/>
        <v>264.58225136820056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1.1368683772161603E-13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157.21429387424644</v>
      </c>
      <c r="T75" s="62">
        <f t="shared" si="88"/>
        <v>264.58225136820056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1.1368683772161603E-13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157.21429387424644</v>
      </c>
      <c r="T76" s="62">
        <f t="shared" si="88"/>
        <v>264.58225136820056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1.1368683772161603E-13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157.21429387424644</v>
      </c>
      <c r="T77" s="62">
        <f t="shared" si="88"/>
        <v>264.58225136820056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1.1368683772161603E-13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157.21429387424644</v>
      </c>
      <c r="T78" s="62">
        <f t="shared" si="88"/>
        <v>264.58225136820056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1.1368683772161603E-13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157.21429387424644</v>
      </c>
      <c r="T79" s="62">
        <f t="shared" si="88"/>
        <v>264.58225136820056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1.1368683772161603E-13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157.21429387424644</v>
      </c>
      <c r="T80" s="62">
        <f t="shared" si="88"/>
        <v>264.58225136820056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1.1368683772161603E-13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157.21429387424644</v>
      </c>
      <c r="T81" s="62">
        <f t="shared" si="88"/>
        <v>264.58225136820056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1.1368683772161603E-13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157.21429387424644</v>
      </c>
      <c r="T82" s="62">
        <f t="shared" si="88"/>
        <v>264.58225136820056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1.1368683772161603E-13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157.21429387424644</v>
      </c>
      <c r="T83" s="62">
        <f t="shared" si="88"/>
        <v>264.58225136820056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1.1368683772161603E-13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157.21429387424644</v>
      </c>
      <c r="T84" s="62">
        <f t="shared" si="88"/>
        <v>264.58225136820056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1.1368683772161603E-13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157.21429387424644</v>
      </c>
      <c r="T85" s="62">
        <f t="shared" si="88"/>
        <v>264.58225136820056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1.1368683772161603E-13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157.21429387424644</v>
      </c>
      <c r="T86" s="62">
        <f t="shared" si="88"/>
        <v>264.58225136820056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1.1368683772161603E-13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157.21429387424644</v>
      </c>
      <c r="T87" s="62">
        <f t="shared" si="88"/>
        <v>264.58225136820056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1.1368683772161603E-13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157.21429387424644</v>
      </c>
      <c r="T88" s="62">
        <f t="shared" si="88"/>
        <v>264.58225136820056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1.1368683772161603E-13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157.21429387424644</v>
      </c>
      <c r="T89" s="62">
        <f t="shared" si="88"/>
        <v>264.58225136820056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1.1368683772161603E-13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157.21429387424644</v>
      </c>
      <c r="T90" s="62">
        <f t="shared" si="88"/>
        <v>264.58225136820056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1.1368683772161603E-13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157.21429387424644</v>
      </c>
      <c r="T91" s="62">
        <f t="shared" si="88"/>
        <v>264.58225136820056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1.1368683772161603E-13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157.21429387424644</v>
      </c>
      <c r="T92" s="62">
        <f t="shared" si="88"/>
        <v>264.58225136820056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1.1368683772161603E-13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157.21429387424644</v>
      </c>
      <c r="T93" s="62">
        <f t="shared" si="88"/>
        <v>264.58225136820056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1.1368683772161603E-13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157.21429387424644</v>
      </c>
      <c r="T94" s="62">
        <f t="shared" si="88"/>
        <v>264.58225136820056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1.1368683772161603E-13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157.21429387424644</v>
      </c>
      <c r="T95" s="62">
        <f t="shared" si="88"/>
        <v>264.58225136820056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1.1368683772161603E-13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157.21429387424644</v>
      </c>
      <c r="T96" s="62">
        <f t="shared" si="88"/>
        <v>264.58225136820056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1.1368683772161603E-13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157.21429387424644</v>
      </c>
      <c r="T97" s="62">
        <f t="shared" si="88"/>
        <v>264.58225136820056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1.1368683772161603E-13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157.21429387424644</v>
      </c>
      <c r="T98" s="62">
        <f t="shared" si="88"/>
        <v>264.58225136820056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1.1368683772161603E-13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157.21429387424644</v>
      </c>
      <c r="T99" s="62">
        <f t="shared" si="88"/>
        <v>264.58225136820056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1.1368683772161603E-13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157.21429387424644</v>
      </c>
      <c r="T100" s="62">
        <f t="shared" si="88"/>
        <v>264.58225136820056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1.1368683772161603E-13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157.21429387424644</v>
      </c>
      <c r="T101" s="62">
        <f t="shared" si="88"/>
        <v>264.58225136820056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1.1368683772161603E-13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157.21429387424644</v>
      </c>
      <c r="T102" s="62">
        <f t="shared" si="88"/>
        <v>264.58225136820056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1.1368683772161603E-13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157.21429387424644</v>
      </c>
      <c r="T103" s="62">
        <f t="shared" si="88"/>
        <v>264.58225136820056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1.1368683772161603E-13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157.21429387424644</v>
      </c>
      <c r="T104" s="62">
        <f t="shared" si="88"/>
        <v>264.58225136820056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1.1368683772161603E-13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157.21429387424644</v>
      </c>
      <c r="T105" s="62">
        <f t="shared" si="88"/>
        <v>264.58225136820056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1.1368683772161603E-13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157.21429387424644</v>
      </c>
      <c r="T106" s="62">
        <f t="shared" si="88"/>
        <v>264.58225136820056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1.1368683772161603E-13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157.21429387424644</v>
      </c>
      <c r="T107" s="62">
        <f t="shared" si="88"/>
        <v>264.58225136820056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1.1368683772161603E-13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157.21429387424644</v>
      </c>
      <c r="T108" s="62">
        <f t="shared" si="88"/>
        <v>264.58225136820056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1.1368683772161603E-13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157.21429387424644</v>
      </c>
      <c r="T109" s="62">
        <f t="shared" si="88"/>
        <v>264.58225136820056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1.1368683772161603E-13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157.21429387424644</v>
      </c>
      <c r="T110" s="62">
        <f t="shared" si="88"/>
        <v>264.58225136820056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1.1368683772161603E-13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157.21429387424644</v>
      </c>
      <c r="T111" s="62">
        <f t="shared" si="88"/>
        <v>264.58225136820056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1.1368683772161603E-13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157.21429387424644</v>
      </c>
      <c r="T112" s="62">
        <f t="shared" si="88"/>
        <v>264.58225136820056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1.1368683772161603E-13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157.21429387424644</v>
      </c>
      <c r="T113" s="62">
        <f t="shared" si="88"/>
        <v>264.58225136820056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1.1368683772161603E-13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157.21429387424644</v>
      </c>
      <c r="T114" s="62">
        <f t="shared" si="88"/>
        <v>264.58225136820056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1.1368683772161603E-13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157.21429387424644</v>
      </c>
      <c r="T115" s="62">
        <f t="shared" si="88"/>
        <v>264.58225136820056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1.1368683772161603E-13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157.21429387424644</v>
      </c>
      <c r="T116" s="62">
        <f t="shared" si="88"/>
        <v>264.58225136820056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1.1368683772161603E-13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157.21429387424644</v>
      </c>
      <c r="T117" s="62">
        <f t="shared" si="88"/>
        <v>264.58225136820056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1.1368683772161603E-13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157.21429387424644</v>
      </c>
      <c r="T118" s="62">
        <f t="shared" si="88"/>
        <v>264.58225136820056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1.1368683772161603E-13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157.21429387424644</v>
      </c>
      <c r="T119" s="62">
        <f t="shared" si="88"/>
        <v>264.58225136820056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1.1368683772161603E-13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157.21429387424644</v>
      </c>
      <c r="T120" s="62">
        <f t="shared" si="88"/>
        <v>264.58225136820056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1.1368683772161603E-13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157.21429387424644</v>
      </c>
      <c r="T121" s="62">
        <f t="shared" si="88"/>
        <v>264.58225136820056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1.1368683772161603E-13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157.21429387424644</v>
      </c>
      <c r="T122" s="62">
        <f t="shared" si="88"/>
        <v>264.58225136820056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1.1368683772161603E-13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157.21429387424644</v>
      </c>
      <c r="T123" s="62">
        <f t="shared" si="88"/>
        <v>264.58225136820056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1.1368683772161603E-13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157.21429387424644</v>
      </c>
      <c r="T124" s="62">
        <f t="shared" si="88"/>
        <v>264.58225136820056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1.1368683772161603E-13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157.21429387424644</v>
      </c>
      <c r="T125" s="62">
        <f t="shared" si="88"/>
        <v>264.58225136820056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1.1368683772161603E-13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157.21429387424644</v>
      </c>
      <c r="T126" s="62">
        <f t="shared" si="88"/>
        <v>264.58225136820056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1.1368683772161603E-13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157.21429387424644</v>
      </c>
      <c r="T127" s="62">
        <f t="shared" si="88"/>
        <v>264.58225136820056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1.1368683772161603E-13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157.21429387424644</v>
      </c>
      <c r="T128" s="62">
        <f t="shared" si="88"/>
        <v>264.58225136820056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1.1368683772161603E-13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157.21429387424644</v>
      </c>
      <c r="T129" s="62">
        <f t="shared" si="88"/>
        <v>264.58225136820056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1.1368683772161603E-13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157.21429387424644</v>
      </c>
      <c r="T130" s="62">
        <f t="shared" si="88"/>
        <v>264.58225136820056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1.1368683772161603E-13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157.21429387424644</v>
      </c>
      <c r="T131" s="62">
        <f t="shared" si="88"/>
        <v>264.58225136820056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1.1368683772161603E-13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157.21429387424644</v>
      </c>
      <c r="T132" s="62">
        <f t="shared" si="88"/>
        <v>264.58225136820056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1.1368683772161603E-13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157.21429387424644</v>
      </c>
      <c r="T133" s="62">
        <f t="shared" ref="T133:T196" si="142">$T$3</f>
        <v>264.58225136820056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1.1368683772161603E-13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157.21429387424644</v>
      </c>
      <c r="T134" s="62">
        <f t="shared" si="142"/>
        <v>264.58225136820056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1.1368683772161603E-13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157.21429387424644</v>
      </c>
      <c r="T135" s="62">
        <f t="shared" si="142"/>
        <v>264.58225136820056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1.1368683772161603E-13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157.21429387424644</v>
      </c>
      <c r="T136" s="62">
        <f t="shared" si="142"/>
        <v>264.58225136820056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1.1368683772161603E-13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157.21429387424644</v>
      </c>
      <c r="T137" s="62">
        <f t="shared" si="142"/>
        <v>264.58225136820056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1.1368683772161603E-13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157.21429387424644</v>
      </c>
      <c r="T138" s="62">
        <f t="shared" si="142"/>
        <v>264.58225136820056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1.1368683772161603E-13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157.21429387424644</v>
      </c>
      <c r="T139" s="62">
        <f t="shared" si="142"/>
        <v>264.58225136820056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1.1368683772161603E-13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157.21429387424644</v>
      </c>
      <c r="T140" s="62">
        <f t="shared" si="142"/>
        <v>264.58225136820056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1.1368683772161603E-13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157.21429387424644</v>
      </c>
      <c r="T141" s="62">
        <f t="shared" si="142"/>
        <v>264.58225136820056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1.1368683772161603E-13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157.21429387424644</v>
      </c>
      <c r="T142" s="62">
        <f t="shared" si="142"/>
        <v>264.58225136820056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1.1368683772161603E-13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157.21429387424644</v>
      </c>
      <c r="T143" s="62">
        <f t="shared" si="142"/>
        <v>264.58225136820056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1.1368683772161603E-13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157.21429387424644</v>
      </c>
      <c r="T144" s="62">
        <f t="shared" si="142"/>
        <v>264.58225136820056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1.1368683772161603E-13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157.21429387424644</v>
      </c>
      <c r="T145" s="62">
        <f t="shared" si="142"/>
        <v>264.58225136820056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1.1368683772161603E-13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157.21429387424644</v>
      </c>
      <c r="T146" s="62">
        <f t="shared" si="142"/>
        <v>264.58225136820056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1.1368683772161603E-13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157.21429387424644</v>
      </c>
      <c r="T147" s="62">
        <f t="shared" si="142"/>
        <v>264.58225136820056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1.1368683772161603E-13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157.21429387424644</v>
      </c>
      <c r="T148" s="62">
        <f t="shared" si="142"/>
        <v>264.58225136820056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1.1368683772161603E-13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157.21429387424644</v>
      </c>
      <c r="T149" s="62">
        <f t="shared" si="142"/>
        <v>264.58225136820056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1.1368683772161603E-13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157.21429387424644</v>
      </c>
      <c r="T150" s="62">
        <f t="shared" si="142"/>
        <v>264.58225136820056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1.1368683772161603E-13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157.21429387424644</v>
      </c>
      <c r="T151" s="62">
        <f t="shared" si="142"/>
        <v>264.58225136820056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1.1368683772161603E-13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157.21429387424644</v>
      </c>
      <c r="T152" s="62">
        <f t="shared" si="142"/>
        <v>264.58225136820056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1.1368683772161603E-13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157.21429387424644</v>
      </c>
      <c r="T153" s="62">
        <f t="shared" si="142"/>
        <v>264.58225136820056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1.1368683772161603E-13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157.21429387424644</v>
      </c>
      <c r="T154" s="62">
        <f t="shared" si="142"/>
        <v>264.58225136820056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1.1368683772161603E-13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157.21429387424644</v>
      </c>
      <c r="T155" s="62">
        <f t="shared" si="142"/>
        <v>264.58225136820056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1.1368683772161603E-13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157.21429387424644</v>
      </c>
      <c r="T156" s="62">
        <f t="shared" si="142"/>
        <v>264.58225136820056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1.1368683772161603E-13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157.21429387424644</v>
      </c>
      <c r="T157" s="62">
        <f t="shared" si="142"/>
        <v>264.58225136820056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1.1368683772161603E-13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157.21429387424644</v>
      </c>
      <c r="T158" s="62">
        <f t="shared" si="142"/>
        <v>264.58225136820056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1.1368683772161603E-13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157.21429387424644</v>
      </c>
      <c r="T159" s="62">
        <f t="shared" si="142"/>
        <v>264.58225136820056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1.1368683772161603E-13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157.21429387424644</v>
      </c>
      <c r="T160" s="62">
        <f t="shared" si="142"/>
        <v>264.58225136820056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1.1368683772161603E-13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157.21429387424644</v>
      </c>
      <c r="T161" s="62">
        <f t="shared" si="142"/>
        <v>264.58225136820056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1.1368683772161603E-13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157.21429387424644</v>
      </c>
      <c r="T162" s="62">
        <f t="shared" si="142"/>
        <v>264.58225136820056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1.1368683772161603E-13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157.21429387424644</v>
      </c>
      <c r="T163" s="62">
        <f t="shared" si="142"/>
        <v>264.58225136820056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1.1368683772161603E-13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157.21429387424644</v>
      </c>
      <c r="T164" s="62">
        <f t="shared" si="142"/>
        <v>264.58225136820056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1.1368683772161603E-13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157.21429387424644</v>
      </c>
      <c r="T165" s="62">
        <f t="shared" si="142"/>
        <v>264.58225136820056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1.1368683772161603E-13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157.21429387424644</v>
      </c>
      <c r="T166" s="62">
        <f t="shared" si="142"/>
        <v>264.58225136820056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1.1368683772161603E-13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157.21429387424644</v>
      </c>
      <c r="T167" s="62">
        <f t="shared" si="142"/>
        <v>264.58225136820056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1.1368683772161603E-13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157.21429387424644</v>
      </c>
      <c r="T168" s="62">
        <f t="shared" si="142"/>
        <v>264.58225136820056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1.1368683772161603E-13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157.21429387424644</v>
      </c>
      <c r="T169" s="62">
        <f t="shared" si="142"/>
        <v>264.58225136820056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1.1368683772161603E-13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157.21429387424644</v>
      </c>
      <c r="T170" s="62">
        <f t="shared" si="142"/>
        <v>264.58225136820056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1.1368683772161603E-13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157.21429387424644</v>
      </c>
      <c r="T171" s="62">
        <f t="shared" si="142"/>
        <v>264.58225136820056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1.1368683772161603E-13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157.21429387424644</v>
      </c>
      <c r="T172" s="62">
        <f t="shared" si="142"/>
        <v>264.58225136820056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1.1368683772161603E-13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157.21429387424644</v>
      </c>
      <c r="T173" s="62">
        <f t="shared" si="142"/>
        <v>264.58225136820056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1.1368683772161603E-13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157.21429387424644</v>
      </c>
      <c r="T174" s="62">
        <f t="shared" si="142"/>
        <v>264.58225136820056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1.1368683772161603E-13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157.21429387424644</v>
      </c>
      <c r="T175" s="62">
        <f t="shared" si="142"/>
        <v>264.58225136820056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1.1368683772161603E-13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157.21429387424644</v>
      </c>
      <c r="T176" s="62">
        <f t="shared" si="142"/>
        <v>264.58225136820056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1.1368683772161603E-13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157.21429387424644</v>
      </c>
      <c r="T177" s="62">
        <f t="shared" si="142"/>
        <v>264.58225136820056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1.1368683772161603E-13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157.21429387424644</v>
      </c>
      <c r="T178" s="62">
        <f t="shared" si="142"/>
        <v>264.58225136820056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1.1368683772161603E-13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157.21429387424644</v>
      </c>
      <c r="T179" s="62">
        <f t="shared" si="142"/>
        <v>264.58225136820056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1.1368683772161603E-13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157.21429387424644</v>
      </c>
      <c r="T180" s="62">
        <f t="shared" si="142"/>
        <v>264.58225136820056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1.1368683772161603E-13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157.21429387424644</v>
      </c>
      <c r="T181" s="62">
        <f t="shared" si="142"/>
        <v>264.58225136820056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1.1368683772161603E-13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157.21429387424644</v>
      </c>
      <c r="T182" s="62">
        <f t="shared" si="142"/>
        <v>264.58225136820056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1.1368683772161603E-13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157.21429387424644</v>
      </c>
      <c r="T183" s="62">
        <f t="shared" si="142"/>
        <v>264.58225136820056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1.1368683772161603E-13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157.21429387424644</v>
      </c>
      <c r="T184" s="62">
        <f t="shared" si="142"/>
        <v>264.58225136820056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1.1368683772161603E-13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157.21429387424644</v>
      </c>
      <c r="T185" s="62">
        <f t="shared" si="142"/>
        <v>264.58225136820056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1.1368683772161603E-13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157.21429387424644</v>
      </c>
      <c r="T186" s="62">
        <f t="shared" si="142"/>
        <v>264.58225136820056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1.1368683772161603E-13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157.21429387424644</v>
      </c>
      <c r="T187" s="62">
        <f t="shared" si="142"/>
        <v>264.58225136820056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1.1368683772161603E-13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157.21429387424644</v>
      </c>
      <c r="T188" s="62">
        <f t="shared" si="142"/>
        <v>264.58225136820056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1.1368683772161603E-13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157.21429387424644</v>
      </c>
      <c r="T189" s="62">
        <f t="shared" si="142"/>
        <v>264.58225136820056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1.1368683772161603E-13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157.21429387424644</v>
      </c>
      <c r="T190" s="62">
        <f t="shared" si="142"/>
        <v>264.58225136820056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1.1368683772161603E-13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157.21429387424644</v>
      </c>
      <c r="T191" s="62">
        <f t="shared" si="142"/>
        <v>264.58225136820056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1.1368683772161603E-13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157.21429387424644</v>
      </c>
      <c r="T192" s="62">
        <f t="shared" si="142"/>
        <v>264.58225136820056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1.1368683772161603E-13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157.21429387424644</v>
      </c>
      <c r="T193" s="62">
        <f t="shared" si="142"/>
        <v>264.58225136820056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1.1368683772161603E-13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157.21429387424644</v>
      </c>
      <c r="T194" s="62">
        <f t="shared" si="142"/>
        <v>264.58225136820056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1.1368683772161603E-13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157.21429387424644</v>
      </c>
      <c r="T195" s="62">
        <f t="shared" si="142"/>
        <v>264.58225136820056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1.1368683772161603E-13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157.21429387424644</v>
      </c>
      <c r="T196" s="62">
        <f t="shared" si="142"/>
        <v>264.58225136820056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1.1368683772161603E-13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157.21429387424644</v>
      </c>
      <c r="T197" s="62">
        <f t="shared" ref="T197:T203" si="204">$T$3</f>
        <v>264.58225136820056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1.1368683772161603E-13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157.21429387424644</v>
      </c>
      <c r="T198" s="62">
        <f t="shared" si="204"/>
        <v>264.58225136820056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1.1368683772161603E-13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157.21429387424644</v>
      </c>
      <c r="T199" s="62">
        <f t="shared" si="204"/>
        <v>264.58225136820056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1.1368683772161603E-13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157.21429387424644</v>
      </c>
      <c r="T200" s="62">
        <f t="shared" si="204"/>
        <v>264.58225136820056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1.1368683772161603E-13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157.21429387424644</v>
      </c>
      <c r="T201" s="62">
        <f t="shared" si="204"/>
        <v>264.58225136820056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1.1368683772161603E-13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157.21429387424644</v>
      </c>
      <c r="T202" s="62">
        <f t="shared" si="204"/>
        <v>264.58225136820056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1.1368683772161603E-13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157.21429387424644</v>
      </c>
      <c r="T203" s="62">
        <f t="shared" si="204"/>
        <v>264.58225136820056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1.1368683772161603E-13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1.4749438547769935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L36" sqref="L3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1.73</v>
      </c>
      <c r="C6" s="156">
        <f ca="1">IF(OR('Données projet'!B9="",'Données projet'!C9="",'Données projet'!C9=0%),0,Calculateur!S3)</f>
        <v>157.21429387424644</v>
      </c>
      <c r="D6" s="156">
        <f>IF(OR('Données projet'!B9="",'Données projet'!C9="",'Données projet'!C9=0%),0,Calculateur!T3)</f>
        <v>264.58225136820056</v>
      </c>
      <c r="E6" s="156">
        <f ca="1">MIN(C6,D6)</f>
        <v>157.21429387424644</v>
      </c>
      <c r="F6" s="156">
        <f ca="1">E6*B6</f>
        <v>271.98072840244635</v>
      </c>
      <c r="G6" s="156">
        <f ca="1">F6*(100%-'Données projet'!$C$24)*(100%-'Données projet'!$C$25)*(100%-'Données projet'!$C$26)*(100%-'Données projet'!$C$27)</f>
        <v>166.45220578229717</v>
      </c>
      <c r="H6" s="157">
        <f>IF(OR('Données projet'!B9="",'Données projet'!C9="",'Données projet'!C9=0%),0,AVERAGE(Calculateur!$AC$3:$AC$33)*B6)</f>
        <v>14.163595940109857</v>
      </c>
      <c r="I6" s="158">
        <f>H6*(100%-'Données projet'!$C$24)*(100%-'Données projet'!$C$25)*(100%-'Données projet'!$C$26)*(100%-'Données projet'!$C$27)</f>
        <v>8.6681207153472339</v>
      </c>
      <c r="J6" s="159">
        <f>IF(OR('Données projet'!B9="",'Données projet'!C9="",'Données projet'!C9=0%),0,SUM(Calculateur!$V$3:$V$33)*VLOOKUP('Données projet'!$B$9,Paramètres!$A$1:$I$89,9,0)*B6)</f>
        <v>111.2563</v>
      </c>
      <c r="K6" s="160">
        <f>J6*(100%-'Données projet'!$C$24)*(100%-'Données projet'!$C$25)*(100%-'Données projet'!$C$26)*(100%-'Données projet'!$C$27)</f>
        <v>68.088855600000002</v>
      </c>
      <c r="L6" s="161">
        <f ca="1">G6+I6+K6</f>
        <v>243.20918209764443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271.98072840244635</v>
      </c>
      <c r="G16" s="175">
        <f t="shared" ca="1" si="3"/>
        <v>166.45220578229717</v>
      </c>
      <c r="H16" s="176">
        <f t="shared" si="3"/>
        <v>14.163595940109857</v>
      </c>
      <c r="I16" s="176">
        <f t="shared" si="3"/>
        <v>8.6681207153472339</v>
      </c>
      <c r="J16" s="177">
        <f t="shared" si="3"/>
        <v>111.2563</v>
      </c>
      <c r="K16" s="177">
        <f t="shared" si="3"/>
        <v>68.088855600000002</v>
      </c>
      <c r="L16" s="178">
        <f t="shared" ca="1" si="3"/>
        <v>243.20918209764443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V35" sqref="V3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1.73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38</v>
      </c>
      <c r="B26" s="193">
        <f>'Données projet'!D39</f>
        <v>338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12</v>
      </c>
      <c r="B54" s="193">
        <f>'Données projet'!D62</f>
        <v>34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17</v>
      </c>
      <c r="B55" s="193">
        <f>'Données projet'!D63</f>
        <v>43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22</v>
      </c>
      <c r="B56" s="193">
        <f>'Données projet'!D64</f>
        <v>56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309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2023-06-28T07:46:10Z</dcterms:modified>
</cp:coreProperties>
</file>