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A - LA FLECHE (72) - THEVENOT\dossier déposé le 19 01 2024\"/>
    </mc:Choice>
  </mc:AlternateContent>
  <xr:revisionPtr revIDLastSave="0" documentId="13_ncr:1_{BE3275F8-7D45-4DFD-972A-85D3F0F2B682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AH19" i="2" a="1"/>
  <c r="AH19" i="2" s="1"/>
  <c r="AH90" i="2" a="1"/>
  <c r="AH90" i="2" s="1"/>
  <c r="BC68" i="2" a="1"/>
  <c r="BC68" i="2" s="1"/>
  <c r="BC185" i="2" a="1"/>
  <c r="BC185" i="2" s="1"/>
  <c r="BC58" i="2" a="1"/>
  <c r="BC58" i="2" s="1"/>
  <c r="BC34" i="2" a="1"/>
  <c r="BC34" i="2" s="1"/>
  <c r="AH151" i="2" a="1"/>
  <c r="AH151" i="2" s="1"/>
  <c r="AH199" i="2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<sst xmlns="http://schemas.openxmlformats.org/spreadsheetml/2006/main" count="1171" uniqueCount="324">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</sst>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1.876233189998038</c:v>
                </c:pt>
                <c:pt idx="2">
                  <c:v>2.4221020119216585</c:v>
                </c:pt>
                <c:pt idx="3">
                  <c:v>3.1274303333147428</c:v>
                </c:pt>
                <c:pt idx="4">
                  <c:v>4.0389774557224944</c:v>
                </c:pt>
                <c:pt idx="5">
                  <c:v>5.2172630626744434</c:v>
                </c:pt>
                <c:pt idx="6">
                  <c:v>6.7406300094102312</c:v>
                </c:pt>
                <c:pt idx="7">
                  <c:v>8.7105103068045704</c:v>
                </c:pt>
                <c:pt idx="8">
                  <c:v>11.258251615526754</c:v>
                </c:pt>
                <c:pt idx="9">
                  <c:v>14.553967947937716</c:v>
                </c:pt>
                <c:pt idx="10">
                  <c:v>18.818016401466895</c:v>
                </c:pt>
                <c:pt idx="11">
                  <c:v>24.335881110556681</c:v>
                </c:pt>
                <c:pt idx="12">
                  <c:v>31.477478540701004</c:v>
                </c:pt>
                <c:pt idx="13">
                  <c:v>40.722200790569744</c:v>
                </c:pt>
                <c:pt idx="14">
                  <c:v>52.691406556297359</c:v>
                </c:pt>
                <c:pt idx="15">
                  <c:v>68.190579935279629</c:v>
                </c:pt>
                <c:pt idx="16">
                  <c:v>88.264040522074353</c:v>
                </c:pt>
                <c:pt idx="17">
                  <c:v>114.26595006222796</c:v>
                </c:pt>
                <c:pt idx="18">
                  <c:v>147.95248081283867</c:v>
                </c:pt>
                <c:pt idx="19">
                  <c:v>191.60146612159338</c:v>
                </c:pt>
                <c:pt idx="20">
                  <c:v>216.18647368682664</c:v>
                </c:pt>
                <c:pt idx="21">
                  <c:v>240.70714044550854</c:v>
                </c:pt>
                <c:pt idx="22">
                  <c:v>188.87090934206267</c:v>
                </c:pt>
                <c:pt idx="23">
                  <c:v>214.98109510056551</c:v>
                </c:pt>
                <c:pt idx="24">
                  <c:v>241.018248922053</c:v>
                </c:pt>
                <c:pt idx="25">
                  <c:v>266.99136970847246</c:v>
                </c:pt>
                <c:pt idx="26">
                  <c:v>292.90756031220479</c:v>
                </c:pt>
                <c:pt idx="27">
                  <c:v>318.77256321643932</c:v>
                </c:pt>
                <c:pt idx="28">
                  <c:v>344.59111272829563</c:v>
                </c:pt>
                <c:pt idx="29">
                  <c:v>291.5692824343468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374.94948796267522</c:v>
                </c:pt>
                <c:pt idx="33">
                  <c:v>402.64772617105814</c:v>
                </c:pt>
                <c:pt idx="34">
                  <c:v>430.30476217007725</c:v>
                </c:pt>
                <c:pt idx="35">
                  <c:v>457.92361345472085</c:v>
                </c:pt>
                <c:pt idx="36">
                  <c:v>382.03503582506414</c:v>
                </c:pt>
                <c:pt idx="37">
                  <c:v>409.19922205124954</c:v>
                </c:pt>
                <c:pt idx="38">
                  <c:v>436.32447725278098</c:v>
                </c:pt>
                <c:pt idx="39">
                  <c:v>463.41355924810642</c:v>
                </c:pt>
                <c:pt idx="40">
                  <c:v>490.46887740764834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478.09239623400526</c:v>
                </c:pt>
                <c:pt idx="45">
                  <c:v>504.08010035598926</c:v>
                </c:pt>
                <c:pt idx="46">
                  <c:v>530.03947668561875</c:v>
                </c:pt>
                <c:pt idx="47">
                  <c:v>555.97210607718182</c:v>
                </c:pt>
                <c:pt idx="48">
                  <c:v>581.87941004696063</c:v>
                </c:pt>
                <c:pt idx="49">
                  <c:v>607.76267335393857</c:v>
                </c:pt>
                <c:pt idx="50">
                  <c:v>498.72181261790985</c:v>
                </c:pt>
                <c:pt idx="51">
                  <c:v>522.77570769625004</c:v>
                </c:pt>
                <c:pt idx="52">
                  <c:v>546.80628686047896</c:v>
                </c:pt>
                <c:pt idx="53">
                  <c:v>570.81471779944991</c:v>
                </c:pt>
                <c:pt idx="54">
                  <c:v>594.80206206973287</c:v>
                </c:pt>
                <c:pt idx="55">
                  <c:v>618.76928871875054</c:v>
                </c:pt>
                <c:pt idx="56">
                  <c:v>642.71728568895776</c:v>
                </c:pt>
                <c:pt idx="57">
                  <c:v>553.08091315642696</c:v>
                </c:pt>
                <c:pt idx="58">
                  <c:v>575.02795262432016</c:v>
                </c:pt>
                <c:pt idx="59">
                  <c:v>596.9575126936345</c:v>
                </c:pt>
                <c:pt idx="60">
                  <c:v>618.87032518267222</c:v>
                </c:pt>
                <c:pt idx="61">
                  <c:v>640.76706591360471</c:v>
                </c:pt>
                <c:pt idx="62">
                  <c:v>662.64836080260773</c:v>
                </c:pt>
                <c:pt idx="63">
                  <c:v>684.51479110444382</c:v>
                </c:pt>
                <c:pt idx="64">
                  <c:v>587.03080587133184</c:v>
                </c:pt>
                <c:pt idx="65">
                  <c:v>606.78392125207699</c:v>
                </c:pt>
                <c:pt idx="66">
                  <c:v>626.52368994592871</c:v>
                </c:pt>
                <c:pt idx="67">
                  <c:v>646.25059127404677</c:v>
                </c:pt>
                <c:pt idx="68">
                  <c:v>665.96507293676598</c:v>
                </c:pt>
                <c:pt idx="69">
                  <c:v>685.66755399284511</c:v>
                </c:pt>
                <c:pt idx="70">
                  <c:v>704.57665364194065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1.4510830455063717</c:v>
                </c:pt>
                <c:pt idx="2">
                  <c:v>1.7184301528794064</c:v>
                </c:pt>
                <c:pt idx="3">
                  <c:v>2.0352204266630141</c:v>
                </c:pt>
                <c:pt idx="4">
                  <c:v>2.4106307115433077</c:v>
                </c:pt>
                <c:pt idx="5">
                  <c:v>2.8555468445814327</c:v>
                </c:pt>
                <c:pt idx="6">
                  <c:v>3.3828829167979486</c:v>
                </c:pt>
                <c:pt idx="7">
                  <c:v>4.0079603500291228</c:v>
                </c:pt>
                <c:pt idx="8">
                  <c:v>4.7489580256884283</c:v>
                </c:pt>
                <c:pt idx="9">
                  <c:v>5.6274468180933814</c:v>
                </c:pt>
                <c:pt idx="10">
                  <c:v>6.6690244004121082</c:v>
                </c:pt>
                <c:pt idx="11">
                  <c:v>7.9040691815723489</c:v>
                </c:pt>
                <c:pt idx="12">
                  <c:v>9.3686357874943393</c:v>
                </c:pt>
                <c:pt idx="13">
                  <c:v>11.105518726618792</c:v>
                </c:pt>
                <c:pt idx="14">
                  <c:v>13.1655159050199</c:v>
                </c:pt>
                <c:pt idx="15">
                  <c:v>15.608929631640637</c:v>
                </c:pt>
                <c:pt idx="16">
                  <c:v>18.507349859263261</c:v>
                </c:pt>
                <c:pt idx="17">
                  <c:v>21.945772855758133</c:v>
                </c:pt>
                <c:pt idx="18">
                  <c:v>26.025118547577296</c:v>
                </c:pt>
                <c:pt idx="19">
                  <c:v>30.865221726339751</c:v>
                </c:pt>
                <c:pt idx="20">
                  <c:v>36.608386520174683</c:v>
                </c:pt>
                <c:pt idx="21">
                  <c:v>43.423610433172257</c:v>
                </c:pt>
                <c:pt idx="22">
                  <c:v>51.511604359231313</c:v>
                </c:pt>
                <c:pt idx="23">
                  <c:v>61.110758888134434</c:v>
                </c:pt>
                <c:pt idx="24">
                  <c:v>72.504235664570714</c:v>
                </c:pt>
                <c:pt idx="25">
                  <c:v>86.028396395165245</c:v>
                </c:pt>
                <c:pt idx="26">
                  <c:v>102.08282234796172</c:v>
                </c:pt>
                <c:pt idx="27">
                  <c:v>121.14222507144363</c:v>
                </c:pt>
                <c:pt idx="28">
                  <c:v>143.77060602594568</c:v>
                </c:pt>
                <c:pt idx="29">
                  <c:v>170.63809059483708</c:v>
                </c:pt>
                <c:pt idx="30">
                  <c:v>202.54094258007748</c:v>
                </c:pt>
                <c:pt idx="31">
                  <c:v>219.61222399453172</c:v>
                </c:pt>
                <c:pt idx="32">
                  <c:v>236.65303049357692</c:v>
                </c:pt>
                <c:pt idx="33">
                  <c:v>253.66586546913962</c:v>
                </c:pt>
                <c:pt idx="34">
                  <c:v>270.65286891847927</c:v>
                </c:pt>
                <c:pt idx="35">
                  <c:v>287.6158901809053</c:v>
                </c:pt>
                <c:pt idx="36">
                  <c:v>307.23708630953638</c:v>
                </c:pt>
                <c:pt idx="37">
                  <c:v>326.83044753519135</c:v>
                </c:pt>
                <c:pt idx="38">
                  <c:v>346.39787662414318</c:v>
                </c:pt>
                <c:pt idx="39">
                  <c:v>365.94104386785261</c:v>
                </c:pt>
                <c:pt idx="40">
                  <c:v>385.46142664243024</c:v>
                </c:pt>
                <c:pt idx="41">
                  <c:v>404.9603405331514</c:v>
                </c:pt>
                <c:pt idx="42">
                  <c:v>424.43896415017292</c:v>
                </c:pt>
                <c:pt idx="43">
                  <c:v>263.43320731240277</c:v>
                </c:pt>
                <c:pt idx="44">
                  <c:v>281.10956764611268</c:v>
                </c:pt>
                <c:pt idx="45">
                  <c:v>298.76101946759735</c:v>
                </c:pt>
                <c:pt idx="46">
                  <c:v>316.38924124003148</c:v>
                </c:pt>
                <c:pt idx="47">
                  <c:v>333.99570911458437</c:v>
                </c:pt>
                <c:pt idx="48">
                  <c:v>351.58173091870771</c:v>
                </c:pt>
                <c:pt idx="49">
                  <c:v>369.14847298502377</c:v>
                </c:pt>
                <c:pt idx="50">
                  <c:v>285.34825454721067</c:v>
                </c:pt>
                <c:pt idx="51">
                  <c:v>302.43111467084145</c:v>
                </c:pt>
                <c:pt idx="52">
                  <c:v>319.4925073071027</c:v>
                </c:pt>
                <c:pt idx="53">
                  <c:v>336.53373998340851</c:v>
                </c:pt>
                <c:pt idx="54">
                  <c:v>353.55597700482872</c:v>
                </c:pt>
                <c:pt idx="55">
                  <c:v>370.56026142641809</c:v>
                </c:pt>
                <c:pt idx="56">
                  <c:v>387.54753278046701</c:v>
                </c:pt>
                <c:pt idx="57">
                  <c:v>324.37629966034956</c:v>
                </c:pt>
                <c:pt idx="58">
                  <c:v>341.05049421910081</c:v>
                </c:pt>
                <c:pt idx="59">
                  <c:v>357.70676712723872</c:v>
                </c:pt>
                <c:pt idx="60">
                  <c:v>374.34607016552553</c:v>
                </c:pt>
                <c:pt idx="61">
                  <c:v>390.9692636126295</c:v>
                </c:pt>
                <c:pt idx="62">
                  <c:v>407.57712863926145</c:v>
                </c:pt>
                <c:pt idx="63">
                  <c:v>424.17037757659028</c:v>
                </c:pt>
                <c:pt idx="64">
                  <c:v>361.12446840006714</c:v>
                </c:pt>
                <c:pt idx="65">
                  <c:v>377.17009724933331</c:v>
                </c:pt>
                <c:pt idx="66">
                  <c:v>393.2008687130413</c:v>
                </c:pt>
                <c:pt idx="67">
                  <c:v>409.21747366272535</c:v>
                </c:pt>
                <c:pt idx="68">
                  <c:v>425.22054448868658</c:v>
                </c:pt>
                <c:pt idx="69">
                  <c:v>441.21066211067341</c:v>
                </c:pt>
                <c:pt idx="70">
                  <c:v>457.1883619193361</c:v>
                </c:pt>
                <c:pt idx="71">
                  <c:v>473.15413884394292</c:v>
                </c:pt>
                <c:pt idx="72">
                  <c:v>397.86059002257917</c:v>
                </c:pt>
                <c:pt idx="73">
                  <c:v>412.91768516797657</c:v>
                </c:pt>
                <c:pt idx="74">
                  <c:v>427.96293681814245</c:v>
                </c:pt>
                <c:pt idx="75">
                  <c:v>442.99681988354081</c:v>
                </c:pt>
                <c:pt idx="76">
                  <c:v>458.01977441859185</c:v>
                </c:pt>
                <c:pt idx="77">
                  <c:v>473.03220926309092</c:v>
                </c:pt>
                <c:pt idx="78">
                  <c:v>488.03450519735719</c:v>
                </c:pt>
                <c:pt idx="79">
                  <c:v>503.02701768929563</c:v>
                </c:pt>
                <c:pt idx="80">
                  <c:v>430.14805444118105</c:v>
                </c:pt>
                <c:pt idx="81">
                  <c:v>444.22489124994286</c:v>
                </c:pt>
                <c:pt idx="82">
                  <c:v>458.29217559527996</c:v>
                </c:pt>
                <c:pt idx="83">
                  <c:v>472.35024193902149</c:v>
                </c:pt>
                <c:pt idx="84">
                  <c:v>486.39940321481521</c:v>
                </c:pt>
                <c:pt idx="85">
                  <c:v>500.43995280861191</c:v>
                </c:pt>
                <c:pt idx="86">
                  <c:v>514.47216630536309</c:v>
                </c:pt>
                <c:pt idx="87">
                  <c:v>528.49630303527977</c:v>
                </c:pt>
                <c:pt idx="88">
                  <c:v>454.17031803082273</c:v>
                </c:pt>
                <c:pt idx="89">
                  <c:v>467.12585389682596</c:v>
                </c:pt>
                <c:pt idx="90">
                  <c:v>480.07373346291911</c:v>
                </c:pt>
                <c:pt idx="91">
                  <c:v>493.01419229307686</c:v>
                </c:pt>
                <c:pt idx="92">
                  <c:v>505.94745257858148</c:v>
                </c:pt>
                <c:pt idx="93">
                  <c:v>518.87372422679118</c:v>
                </c:pt>
                <c:pt idx="94">
                  <c:v>531.79320583578794</c:v>
                </c:pt>
                <c:pt idx="95">
                  <c:v>544.98644157199544</c:v>
                </c:pt>
                <c:pt idx="96">
                  <c:v>287.88677558805261</c:v>
                </c:pt>
                <c:pt idx="97">
                  <c:v>296.42847582858366</c:v>
                </c:pt>
                <c:pt idx="98">
                  <c:v>304.9646884541342</c:v>
                </c:pt>
                <c:pt idx="99">
                  <c:v>313.49558886091171</c:v>
                </c:pt>
                <c:pt idx="100">
                  <c:v>322.02134211207596</c:v>
                </c:pt>
                <c:pt idx="101">
                  <c:v>330.54210380994283</c:v>
                </c:pt>
                <c:pt idx="102">
                  <c:v>339.05802087349701</c:v>
                </c:pt>
                <c:pt idx="103">
                  <c:v>347.56923223366266</c:v>
                </c:pt>
                <c:pt idx="104">
                  <c:v>356.07586945687609</c:v>
                </c:pt>
                <c:pt idx="105">
                  <c:v>364.57805730592491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1.9951072854316962</c:v>
                </c:pt>
                <c:pt idx="2">
                  <c:v>2.5667422007919742</c:v>
                </c:pt>
                <c:pt idx="3">
                  <c:v>3.3028222138236161</c:v>
                </c:pt>
                <c:pt idx="4">
                  <c:v>4.2508335717683972</c:v>
                </c:pt>
                <c:pt idx="5">
                  <c:v>5.4720234962282985</c:v>
                </c:pt>
                <c:pt idx="6">
                  <c:v>7.0454010302000478</c:v>
                </c:pt>
                <c:pt idx="7">
                  <c:v>9.0729045949774356</c:v>
                </c:pt>
                <c:pt idx="8">
                  <c:v>11.686077426646891</c:v>
                </c:pt>
                <c:pt idx="9">
                  <c:v>15.054692077283761</c:v>
                </c:pt>
                <c:pt idx="10">
                  <c:v>19.397894567888933</c:v>
                </c:pt>
                <c:pt idx="11">
                  <c:v>24.998606220625785</c:v>
                </c:pt>
                <c:pt idx="12">
                  <c:v>32.222137881090447</c:v>
                </c:pt>
                <c:pt idx="13">
                  <c:v>41.54025167725414</c:v>
                </c:pt>
                <c:pt idx="14">
                  <c:v>53.56226844352517</c:v>
                </c:pt>
                <c:pt idx="15">
                  <c:v>69.075288808613962</c:v>
                </c:pt>
                <c:pt idx="16">
                  <c:v>89.096204237561849</c:v>
                </c:pt>
                <c:pt idx="17">
                  <c:v>114.93896188205872</c:v>
                </c:pt>
                <c:pt idx="18">
                  <c:v>148.30156685454077</c:v>
                </c:pt>
                <c:pt idx="19">
                  <c:v>128.74270297836009</c:v>
                </c:pt>
                <c:pt idx="20">
                  <c:v>146.99966348541213</c:v>
                </c:pt>
                <c:pt idx="21">
                  <c:v>165.20241681232909</c:v>
                </c:pt>
                <c:pt idx="22">
                  <c:v>183.35778156075915</c:v>
                </c:pt>
                <c:pt idx="23">
                  <c:v>201.47111266072736</c:v>
                </c:pt>
                <c:pt idx="24">
                  <c:v>219.54672196983498</c:v>
                </c:pt>
                <c:pt idx="25">
                  <c:v>187.0268148001596</c:v>
                </c:pt>
                <c:pt idx="26">
                  <c:v>203.62487343629971</c:v>
                </c:pt>
                <c:pt idx="27">
                  <c:v>220.19162819449528</c:v>
                </c:pt>
                <c:pt idx="28">
                  <c:v>236.72976621924911</c:v>
                </c:pt>
                <c:pt idx="29">
                  <c:v>253.24156826986064</c:v>
                </c:pt>
                <c:pt idx="30">
                  <c:v>269.72899324208112</c:v>
                </c:pt>
                <c:pt idx="31">
                  <c:v>223.02870207461862</c:v>
                </c:pt>
                <c:pt idx="32">
                  <c:v>236.81560804160608</c:v>
                </c:pt>
                <c:pt idx="33">
                  <c:v>250.58421937612471</c:v>
                </c:pt>
                <c:pt idx="34">
                  <c:v>264.33568316091396</c:v>
                </c:pt>
                <c:pt idx="35">
                  <c:v>278.0710173254069</c:v>
                </c:pt>
                <c:pt idx="36">
                  <c:v>291.79113098496725</c:v>
                </c:pt>
                <c:pt idx="37">
                  <c:v>305.49684075132535</c:v>
                </c:pt>
                <c:pt idx="38">
                  <c:v>319.18888396087686</c:v>
                </c:pt>
                <c:pt idx="39">
                  <c:v>332.86792951319143</c:v>
                </c:pt>
                <c:pt idx="40">
                  <c:v>346.53458683392802</c:v>
                </c:pt>
                <c:pt idx="41">
                  <c:v>292.68819813988773</c:v>
                </c:pt>
                <c:pt idx="42">
                  <c:v>302.80803515574286</c:v>
                </c:pt>
                <c:pt idx="43">
                  <c:v>312.92034803081702</c:v>
                </c:pt>
                <c:pt idx="44">
                  <c:v>323.02541433745813</c:v>
                </c:pt>
                <c:pt idx="45">
                  <c:v>333.12349285380191</c:v>
                </c:pt>
                <c:pt idx="46">
                  <c:v>343.21482537977403</c:v>
                </c:pt>
                <c:pt idx="47">
                  <c:v>353.29963832825234</c:v>
                </c:pt>
                <c:pt idx="48">
                  <c:v>363.37814412498386</c:v>
                </c:pt>
                <c:pt idx="49">
                  <c:v>373.45054244501836</c:v>
                </c:pt>
                <c:pt idx="50">
                  <c:v>383.51702130873815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K46" sqref="K4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5.58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0.125</v>
      </c>
      <c r="D9" s="36">
        <f t="shared" ref="D9:D18" si="0">C9*$C$5</f>
        <v>0.69750000000000001</v>
      </c>
      <c r="E9" s="37">
        <v>60</v>
      </c>
      <c r="F9" s="38" t="str">
        <f t="array" ref="F9">IF(E9="","",IF(INDEX(A:A,MAX(IF(ISNUMBER($A$36:$A$55),ROW($A$36:$A$55),"")))&lt;&gt;E9,"Corrigez : révolution incorrecte","OK"))</f>
        <v>Corrigez : révolution incorrecte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0.62</v>
      </c>
      <c r="D10" s="36">
        <f t="shared" si="0"/>
        <v>3.4596</v>
      </c>
      <c r="E10" s="37">
        <v>105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138</v>
      </c>
      <c r="C11" s="35">
        <v>0.255</v>
      </c>
      <c r="D11" s="36">
        <f t="shared" si="0"/>
        <v>1.4229000000000001</v>
      </c>
      <c r="E11" s="37">
        <v>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5.58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19</v>
      </c>
      <c r="B36" s="63">
        <v>154.44</v>
      </c>
      <c r="C36" s="63">
        <v>1</v>
      </c>
      <c r="D36" s="63">
        <v>0</v>
      </c>
      <c r="E36" s="54"/>
      <c r="F36" s="54">
        <v>0.1</v>
      </c>
      <c r="G36" s="54">
        <v>0.5</v>
      </c>
      <c r="H36" s="54"/>
      <c r="I36" s="52">
        <f>IFERROR(B36/A36,"")</f>
        <v>8.1284210526315785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21</v>
      </c>
      <c r="B37" s="63">
        <v>195.15</v>
      </c>
      <c r="C37" s="63">
        <v>2</v>
      </c>
      <c r="D37" s="63">
        <v>64.58</v>
      </c>
      <c r="E37" s="54"/>
      <c r="F37" s="54">
        <v>0.1</v>
      </c>
      <c r="G37" s="54">
        <v>0.5</v>
      </c>
      <c r="H37" s="54"/>
      <c r="I37" s="56">
        <f t="shared" ref="I37:I55" si="1">IF(A37&lt;&gt;0,(B37-(B36-D36))/(A37-A36),"")</f>
        <v>20.355000000000004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28</v>
      </c>
      <c r="B38" s="63">
        <v>281.86</v>
      </c>
      <c r="C38" s="63">
        <v>3</v>
      </c>
      <c r="D38" s="53">
        <v>67.61</v>
      </c>
      <c r="E38" s="54">
        <v>0.8</v>
      </c>
      <c r="F38" s="54"/>
      <c r="G38" s="54">
        <v>0.2</v>
      </c>
      <c r="H38" s="54"/>
      <c r="I38" s="56">
        <f t="shared" si="1"/>
        <v>21.612857142857145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53">
        <v>377.12</v>
      </c>
      <c r="C39" s="63">
        <v>4</v>
      </c>
      <c r="D39" s="53">
        <v>86.68</v>
      </c>
      <c r="E39" s="54"/>
      <c r="F39" s="54"/>
      <c r="G39" s="54"/>
      <c r="H39" s="54"/>
      <c r="I39" s="52">
        <f t="shared" si="1"/>
        <v>23.267142857142858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42</v>
      </c>
      <c r="B40" s="53">
        <v>450.23</v>
      </c>
      <c r="C40" s="63">
        <v>5</v>
      </c>
      <c r="D40" s="53">
        <v>99.98</v>
      </c>
      <c r="E40" s="54"/>
      <c r="F40" s="54"/>
      <c r="G40" s="54"/>
      <c r="H40" s="54"/>
      <c r="I40" s="52">
        <f t="shared" si="1"/>
        <v>22.82714285714286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49</v>
      </c>
      <c r="B41" s="53">
        <v>503.83</v>
      </c>
      <c r="C41" s="63">
        <v>6</v>
      </c>
      <c r="D41" s="53">
        <v>112.61</v>
      </c>
      <c r="E41" s="54"/>
      <c r="F41" s="54"/>
      <c r="G41" s="54"/>
      <c r="H41" s="54"/>
      <c r="I41" s="56">
        <f t="shared" si="1"/>
        <v>21.939999999999998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56</v>
      </c>
      <c r="B42" s="53">
        <v>533.49</v>
      </c>
      <c r="C42" s="63">
        <v>7</v>
      </c>
      <c r="D42" s="53">
        <v>94.57</v>
      </c>
      <c r="E42" s="54"/>
      <c r="F42" s="54"/>
      <c r="G42" s="54"/>
      <c r="H42" s="54"/>
      <c r="I42" s="56">
        <f t="shared" si="1"/>
        <v>20.324285714285718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63</v>
      </c>
      <c r="B43" s="53">
        <v>569</v>
      </c>
      <c r="C43" s="63">
        <v>8</v>
      </c>
      <c r="D43" s="53">
        <v>99.49</v>
      </c>
      <c r="E43" s="54"/>
      <c r="F43" s="54"/>
      <c r="G43" s="54"/>
      <c r="H43" s="54"/>
      <c r="I43" s="52">
        <f t="shared" si="1"/>
        <v>18.58285714285714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69</v>
      </c>
      <c r="B44" s="53">
        <v>569.98</v>
      </c>
      <c r="C44" s="63">
        <v>9</v>
      </c>
      <c r="D44" s="53">
        <v>0</v>
      </c>
      <c r="E44" s="54"/>
      <c r="F44" s="54"/>
      <c r="G44" s="54"/>
      <c r="H44" s="54"/>
      <c r="I44" s="52">
        <f t="shared" si="1"/>
        <v>16.745000000000005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70</v>
      </c>
      <c r="B45" s="53">
        <v>586.05999999999995</v>
      </c>
      <c r="C45" s="63">
        <v>10</v>
      </c>
      <c r="D45" s="53">
        <v>586.05999999999995</v>
      </c>
      <c r="E45" s="54"/>
      <c r="F45" s="54"/>
      <c r="G45" s="54"/>
      <c r="H45" s="54"/>
      <c r="I45" s="52">
        <f t="shared" si="1"/>
        <v>16.079999999999927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/>
      <c r="B46" s="53"/>
      <c r="C46" s="63"/>
      <c r="D46" s="5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30</v>
      </c>
      <c r="B62" s="63">
        <v>195.28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6.5093333333333332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35</v>
      </c>
      <c r="B63" s="63">
        <v>279.76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16.895999999999997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42</v>
      </c>
      <c r="B64" s="63">
        <v>416.76</v>
      </c>
      <c r="C64" s="63">
        <v>3</v>
      </c>
      <c r="D64" s="63">
        <v>182.39</v>
      </c>
      <c r="E64" s="54"/>
      <c r="F64" s="54"/>
      <c r="G64" s="54"/>
      <c r="H64" s="54"/>
      <c r="I64" s="52">
        <f>IF(A64&lt;&gt;0,(B64-(B63-D63))/(A64-A63),"")</f>
        <v>19.571428571428573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43</v>
      </c>
      <c r="B65" s="63">
        <v>255.68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21.310000000000002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49</v>
      </c>
      <c r="B66" s="63">
        <v>361.26</v>
      </c>
      <c r="C66" s="63">
        <v>5</v>
      </c>
      <c r="D66" s="63">
        <v>100.16</v>
      </c>
      <c r="E66" s="54"/>
      <c r="F66" s="54"/>
      <c r="G66" s="54"/>
      <c r="H66" s="54"/>
      <c r="I66" s="52">
        <f t="shared" ref="I66:I81" si="2">IF(A66&lt;&gt;0,(B66-(B65-D65))/(A66-A65),"")</f>
        <v>17.596666666666664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277.5</v>
      </c>
      <c r="C67" s="63">
        <v>6</v>
      </c>
      <c r="D67" s="63">
        <v>0</v>
      </c>
      <c r="E67" s="54"/>
      <c r="F67" s="54"/>
      <c r="G67" s="54"/>
      <c r="H67" s="54"/>
      <c r="I67" s="52">
        <f t="shared" si="2"/>
        <v>16.399999999999977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56</v>
      </c>
      <c r="B68" s="63">
        <v>379.71</v>
      </c>
      <c r="C68" s="63">
        <v>7</v>
      </c>
      <c r="D68" s="63">
        <v>79.39</v>
      </c>
      <c r="E68" s="54"/>
      <c r="F68" s="54"/>
      <c r="G68" s="54"/>
      <c r="H68" s="54"/>
      <c r="I68" s="52">
        <f t="shared" si="2"/>
        <v>17.034999999999997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57</v>
      </c>
      <c r="B69" s="63">
        <v>316.45</v>
      </c>
      <c r="C69" s="63">
        <v>8</v>
      </c>
      <c r="D69" s="63">
        <v>0</v>
      </c>
      <c r="E69" s="54"/>
      <c r="F69" s="54"/>
      <c r="G69" s="54"/>
      <c r="H69" s="54"/>
      <c r="I69" s="52">
        <f t="shared" si="2"/>
        <v>16.129999999999995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63</v>
      </c>
      <c r="B70" s="63">
        <v>416.49</v>
      </c>
      <c r="C70" s="63">
        <v>9</v>
      </c>
      <c r="D70" s="63">
        <v>79.099999999999994</v>
      </c>
      <c r="E70" s="54"/>
      <c r="F70" s="54"/>
      <c r="G70" s="54"/>
      <c r="H70" s="54"/>
      <c r="I70" s="52">
        <f t="shared" si="2"/>
        <v>16.673333333333336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64</v>
      </c>
      <c r="B71" s="63">
        <v>353.22</v>
      </c>
      <c r="C71" s="63">
        <v>10</v>
      </c>
      <c r="D71" s="53">
        <v>0</v>
      </c>
      <c r="E71" s="54"/>
      <c r="F71" s="54"/>
      <c r="G71" s="54"/>
      <c r="H71" s="54"/>
      <c r="I71" s="52">
        <f t="shared" si="2"/>
        <v>15.830000000000041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71</v>
      </c>
      <c r="B72" s="53">
        <v>465.79</v>
      </c>
      <c r="C72" s="63">
        <v>11</v>
      </c>
      <c r="D72" s="53">
        <v>90.8</v>
      </c>
      <c r="E72" s="54"/>
      <c r="F72" s="54"/>
      <c r="G72" s="54"/>
      <c r="H72" s="54"/>
      <c r="I72" s="52">
        <f t="shared" si="2"/>
        <v>16.081428571428571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72</v>
      </c>
      <c r="B73" s="53">
        <v>390.06</v>
      </c>
      <c r="C73" s="63">
        <v>12</v>
      </c>
      <c r="D73" s="53">
        <v>0</v>
      </c>
      <c r="E73" s="54"/>
      <c r="F73" s="54"/>
      <c r="G73" s="54"/>
      <c r="H73" s="54"/>
      <c r="I73" s="52">
        <f t="shared" si="2"/>
        <v>15.069999999999993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79</v>
      </c>
      <c r="B74" s="53">
        <v>495.91</v>
      </c>
      <c r="C74" s="63">
        <v>13</v>
      </c>
      <c r="D74" s="53">
        <v>87.99</v>
      </c>
      <c r="E74" s="54"/>
      <c r="F74" s="54"/>
      <c r="G74" s="54"/>
      <c r="H74" s="54"/>
      <c r="I74" s="52">
        <f t="shared" si="2"/>
        <v>15.121428571428575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80</v>
      </c>
      <c r="B75" s="53">
        <v>422.5</v>
      </c>
      <c r="C75" s="63">
        <v>14</v>
      </c>
      <c r="D75" s="53">
        <v>0</v>
      </c>
      <c r="E75" s="54"/>
      <c r="F75" s="54"/>
      <c r="G75" s="54"/>
      <c r="H75" s="54"/>
      <c r="I75" s="52">
        <f t="shared" si="2"/>
        <v>14.579999999999984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87</v>
      </c>
      <c r="B76" s="53">
        <v>521.62</v>
      </c>
      <c r="C76" s="63">
        <v>15</v>
      </c>
      <c r="D76" s="53">
        <v>88.62</v>
      </c>
      <c r="E76" s="54"/>
      <c r="F76" s="54"/>
      <c r="G76" s="54"/>
      <c r="H76" s="54"/>
      <c r="I76" s="52">
        <f t="shared" si="2"/>
        <v>14.16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88</v>
      </c>
      <c r="B77" s="53">
        <v>446.67</v>
      </c>
      <c r="C77" s="63">
        <v>16</v>
      </c>
      <c r="D77" s="53">
        <v>0</v>
      </c>
      <c r="E77" s="54"/>
      <c r="F77" s="54"/>
      <c r="G77" s="54"/>
      <c r="H77" s="54"/>
      <c r="I77" s="52">
        <f t="shared" si="2"/>
        <v>13.670000000000016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94</v>
      </c>
      <c r="B78" s="53">
        <v>524.95000000000005</v>
      </c>
      <c r="C78" s="63">
        <v>17</v>
      </c>
      <c r="D78" s="53">
        <v>0</v>
      </c>
      <c r="E78" s="54"/>
      <c r="F78" s="54"/>
      <c r="G78" s="54"/>
      <c r="H78" s="54"/>
      <c r="I78" s="52">
        <f t="shared" si="2"/>
        <v>13.046666666666672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95</v>
      </c>
      <c r="B79" s="53">
        <v>538.28</v>
      </c>
      <c r="C79" s="63">
        <v>18</v>
      </c>
      <c r="D79" s="53">
        <v>268.81</v>
      </c>
      <c r="E79" s="54"/>
      <c r="F79" s="54"/>
      <c r="G79" s="54"/>
      <c r="H79" s="54"/>
      <c r="I79" s="52">
        <f t="shared" si="2"/>
        <v>13.329999999999927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96</v>
      </c>
      <c r="B80" s="53">
        <v>280.02999999999997</v>
      </c>
      <c r="C80" s="63">
        <v>19</v>
      </c>
      <c r="D80" s="53">
        <v>0</v>
      </c>
      <c r="E80" s="54"/>
      <c r="F80" s="54"/>
      <c r="G80" s="54"/>
      <c r="H80" s="54"/>
      <c r="I80" s="52">
        <f t="shared" si="2"/>
        <v>10.560000000000002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105</v>
      </c>
      <c r="B81" s="53">
        <v>356.68</v>
      </c>
      <c r="C81" s="63">
        <v>20</v>
      </c>
      <c r="D81" s="53">
        <v>356.68</v>
      </c>
      <c r="E81" s="54"/>
      <c r="F81" s="54"/>
      <c r="G81" s="54"/>
      <c r="H81" s="54"/>
      <c r="I81" s="52">
        <f t="shared" si="2"/>
        <v>8.516666666666671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taeda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18</v>
      </c>
      <c r="B88" s="63">
        <v>111</v>
      </c>
      <c r="C88" s="63">
        <v>1</v>
      </c>
      <c r="D88" s="63">
        <v>29</v>
      </c>
      <c r="E88" s="54"/>
      <c r="F88" s="54"/>
      <c r="G88" s="54">
        <v>1</v>
      </c>
      <c r="H88" s="93"/>
      <c r="I88" s="56">
        <f>IFERROR(B88/A88,"")</f>
        <v>6.166666666666667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24</v>
      </c>
      <c r="B89" s="63">
        <v>166</v>
      </c>
      <c r="C89" s="63">
        <v>2</v>
      </c>
      <c r="D89" s="63">
        <v>38</v>
      </c>
      <c r="E89" s="54">
        <v>0.2</v>
      </c>
      <c r="F89" s="54">
        <v>0.5</v>
      </c>
      <c r="G89" s="54">
        <v>0.3</v>
      </c>
      <c r="H89" s="93"/>
      <c r="I89" s="56">
        <f t="shared" ref="I89:I107" si="3">IF(A89&lt;&gt;0,(B89-(B88-D88))/(A89-A88),"")</f>
        <v>14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205</v>
      </c>
      <c r="C90" s="63">
        <v>3</v>
      </c>
      <c r="D90" s="63">
        <v>47</v>
      </c>
      <c r="E90" s="93">
        <v>0.5</v>
      </c>
      <c r="F90" s="93">
        <v>0.2</v>
      </c>
      <c r="G90" s="93">
        <v>0.3</v>
      </c>
      <c r="H90" s="93"/>
      <c r="I90" s="56">
        <f t="shared" si="3"/>
        <v>12.833333333333334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40</v>
      </c>
      <c r="B91" s="63">
        <v>265</v>
      </c>
      <c r="C91" s="63">
        <v>4</v>
      </c>
      <c r="D91" s="63">
        <v>50</v>
      </c>
      <c r="E91" s="93"/>
      <c r="F91" s="93"/>
      <c r="G91" s="93"/>
      <c r="H91" s="93"/>
      <c r="I91" s="56">
        <f t="shared" si="3"/>
        <v>10.7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50</v>
      </c>
      <c r="B92" s="63">
        <v>294</v>
      </c>
      <c r="C92" s="63">
        <v>5</v>
      </c>
      <c r="D92" s="63">
        <v>294</v>
      </c>
      <c r="E92" s="93"/>
      <c r="F92" s="93"/>
      <c r="G92" s="93"/>
      <c r="H92" s="93"/>
      <c r="I92" s="56">
        <f t="shared" si="3"/>
        <v>7.9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taeda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262.38865315945856</v>
      </c>
      <c r="T3" s="62">
        <f>IF('Données projet'!E9&gt;30,$R$33-$H$33,LOOKUP('Données projet'!$E$9,$A$3:$A$203,R3:R203)-LOOKUP('Données projet'!$E$9,$A$3:$A$203,$H$3:$H$203))</f>
        <v>268.78503805457069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199.36309817800088</v>
      </c>
      <c r="AO3" s="62">
        <f>IF('Données projet'!E10&gt;30,$AM$33-$H$33,LOOKUP('Données projet'!$E$10,$A$3:$A$203,AM3:AM203)-LOOKUP('Données projet'!$E$10,$A$3:$A$203,$H$3:$H$203))</f>
        <v>151.91120569748284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140.16059323013189</v>
      </c>
      <c r="BJ3" s="62">
        <f>IF('Données projet'!E11&gt;30,$BH$33-$H$33,LOOKUP('Données projet'!$E$11,$A$3:$A$203,BH3:BH203)-LOOKUP('Données projet'!$E$11,$A$3:$A$203,$H$3:$H$203))</f>
        <v>219.0992563594865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2">
        <f>IFERROR(EXP(-1.0587+0.8836*LN(C4)+0.284),0)</f>
        <v>0.35031814074723205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70">
        <f t="shared" ref="H4:H67" si="1">(B4+E4+F4)*44/12+(C4+D4)*0.475*44/12</f>
        <v>295.22046076180141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8.1284210526315785</v>
      </c>
      <c r="N4" s="14">
        <f>IF('Données projet'!$A$36&gt;35,N3+M4-V3,IF(A4&lt;'Données projet'!$A$36,$K$205^A4,IF(A4='Données projet'!$A$36,'Données projet'!$B$36,N3+M4-V3)))</f>
        <v>1.3037606943669584</v>
      </c>
      <c r="O4" s="14">
        <f>N4*VLOOKUP('Données projet'!$B$9,Paramètres!$A$1:$I$89,3,0)*VLOOKUP('Données projet'!$B$9,Paramètres!$A$1:$I$89,5,0)</f>
        <v>0.72880222815112972</v>
      </c>
      <c r="P4" s="14">
        <f>EXP(-1.0587+0.8836*LN(O4)+0.284)</f>
        <v>0.34846084744582984</v>
      </c>
      <c r="Q4" s="22">
        <f t="shared" ref="Q4:Q34" si="2">(O4+P4)*0.475*44/12</f>
        <v>1.876233189998038</v>
      </c>
      <c r="R4" s="62">
        <f t="shared" si="0"/>
        <v>295.20956652333138</v>
      </c>
      <c r="S4" s="62">
        <f ca="1">AVERAGE(OFFSET($R$3,0,0,'Données projet'!$E$9+1,1))-AVERAGE(OFFSET($H$3,0,0,'Données projet'!$E$9+1,1))</f>
        <v>262.38865315945856</v>
      </c>
      <c r="T4" s="62">
        <f>$T$3</f>
        <v>268.78503805457069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6.5093333333333332</v>
      </c>
      <c r="AI4" s="14">
        <f>IF('Données projet'!$A$62&gt;35,AI3+AH4-AQ3,IF(A4&lt;'Données projet'!$A$62,$AF$205^A4,IF(A4='Données projet'!$A$62,'Données projet'!$B$62,AI3+AH4-AQ3)))</f>
        <v>1.1922168590978506</v>
      </c>
      <c r="AJ4" s="14">
        <f>AI4*VLOOKUP('Données projet'!$B$10,Paramètres!$A$1:$I$89,3,0)*VLOOKUP('Données projet'!$B$10,Paramètres!$A$1:$I$89,5,0)</f>
        <v>0.55795749005779405</v>
      </c>
      <c r="AK4" s="14">
        <f>EXP(-1.0587+0.8836*LN(AJ4)+0.284)</f>
        <v>0.27520023941954863</v>
      </c>
      <c r="AL4" s="22">
        <f t="shared" ref="AL4:AL67" si="4">(AJ4+AK4)*0.475*44/12</f>
        <v>1.4510830455063717</v>
      </c>
      <c r="AM4" s="62">
        <f t="shared" ref="AM4:AM67" si="5">AL4+(AD4+AE4)*44/12</f>
        <v>294.78441637883969</v>
      </c>
      <c r="AN4" s="62">
        <f ca="1">AVERAGE(OFFSET($AM$3,0,0,'Données projet'!$E$10+1,1))-AVERAGE(OFFSET($H$3,0,0,'Données projet'!$E$10+1,1))</f>
        <v>199.36309817800088</v>
      </c>
      <c r="AO4" s="62">
        <f>$AO$3</f>
        <v>151.91120569748284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6.166666666666667</v>
      </c>
      <c r="BD4" s="13">
        <f>IF('Données projet'!$A$88&gt;35,BD3+BC4-BL3,IF(A4&lt;'Données projet'!$A$88,$BA$205^A4,IF(A4='Données projet'!$A$88,'Données projet'!$B$88,BD3+BC4-BL3)))</f>
        <v>1.2990595333015609</v>
      </c>
      <c r="BE4" s="14">
        <f>BD4*VLOOKUP('Données projet'!$B$11,Paramètres!$A$1:$I$89,3,0)*VLOOKUP('Données projet'!$B$11,Paramètres!$A$1:$I$89,5,0)</f>
        <v>0.7768376009143334</v>
      </c>
      <c r="BF4" s="14">
        <f>EXP(-1.0587+0.8836*LN(BE4)+0.284)</f>
        <v>0.36867854383113818</v>
      </c>
      <c r="BG4" s="22">
        <f t="shared" ref="BG4:BG67" si="7">(BE4+BF4)*0.475*44/12</f>
        <v>1.9951072854316962</v>
      </c>
      <c r="BH4" s="62">
        <f t="shared" ref="BH4:BH67" si="8">BG4+(AY4+AZ4)*44/12</f>
        <v>295.328440618765</v>
      </c>
      <c r="BI4" s="62">
        <f ca="1">AVERAGE(OFFSET($BH$3,0,0,'Données projet'!$E$11+1,1))-AVERAGE(OFFSET($H$3,0,0,'Données projet'!$E$11+1,1))</f>
        <v>140.16059323013189</v>
      </c>
      <c r="BJ4" s="62">
        <f>$BJ$3</f>
        <v>219.0992563594865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2">
        <f t="shared" ref="D5:D68" si="32">IFERROR(EXP(-1.0587+0.8836*LN(C5)+0.284),0)</f>
        <v>0.64632764391155073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70">
        <f t="shared" si="1"/>
        <v>297.01300064647927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8.1284210526315785</v>
      </c>
      <c r="N5" s="14">
        <f>IF('Données projet'!$A$36&gt;35,N4+M5-V4,IF(A5&lt;'Données projet'!$A$36,$K$205^A5,IF(A5='Données projet'!$A$36,'Données projet'!$B$36,N4+M5-V4)))</f>
        <v>1.6997919481762136</v>
      </c>
      <c r="O5" s="14">
        <f>N5*VLOOKUP('Données projet'!$B$9,Paramètres!$A$1:$I$89,3,0)*VLOOKUP('Données projet'!$B$9,Paramètres!$A$1:$I$89,5,0)</f>
        <v>0.95018369903050348</v>
      </c>
      <c r="P5" s="14">
        <f t="shared" ref="P5:P68" si="33">EXP(-1.0587+0.8836*LN(O5)+0.284)</f>
        <v>0.44049688197714731</v>
      </c>
      <c r="Q5" s="22">
        <f t="shared" si="2"/>
        <v>2.4221020119216585</v>
      </c>
      <c r="R5" s="62">
        <f t="shared" si="0"/>
        <v>295.75543534525497</v>
      </c>
      <c r="S5" s="62">
        <f ca="1">AVERAGE(OFFSET($R$3,0,0,'Données projet'!$E$9+1,1))-AVERAGE(OFFSET($H$3,0,0,'Données projet'!$E$9+1,1))</f>
        <v>262.38865315945856</v>
      </c>
      <c r="T5" s="62">
        <f t="shared" ref="T5:T68" si="34">$T$3</f>
        <v>268.78503805457069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6.5093333333333332</v>
      </c>
      <c r="AI5" s="14">
        <f>IF('Données projet'!$A$62&gt;35,AI4+AH5-AQ4,IF(A5&lt;'Données projet'!$A$62,$AF$205^A5,IF(A5='Données projet'!$A$62,'Données projet'!$B$62,AI4+AH5-AQ4)))</f>
        <v>1.4213810391171442</v>
      </c>
      <c r="AJ5" s="14">
        <f>AI5*VLOOKUP('Données projet'!$B$10,Paramètres!$A$1:$I$89,3,0)*VLOOKUP('Données projet'!$B$10,Paramètres!$A$1:$I$89,5,0)</f>
        <v>0.66520632630682341</v>
      </c>
      <c r="AK5" s="14">
        <f t="shared" ref="AK5:AK68" si="35">EXP(-1.0587+0.8836*LN(AJ5)+0.284)</f>
        <v>0.32145213467656786</v>
      </c>
      <c r="AL5" s="22">
        <f t="shared" si="4"/>
        <v>1.7184301528794064</v>
      </c>
      <c r="AM5" s="62">
        <f t="shared" si="5"/>
        <v>295.05176348621274</v>
      </c>
      <c r="AN5" s="62">
        <f ca="1">AVERAGE(OFFSET($AM$3,0,0,'Données projet'!$E$10+1,1))-AVERAGE(OFFSET($H$3,0,0,'Données projet'!$E$10+1,1))</f>
        <v>199.36309817800088</v>
      </c>
      <c r="AO5" s="62">
        <f t="shared" ref="AO5:AO68" si="36">$AO$3</f>
        <v>151.91120569748284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6.166666666666667</v>
      </c>
      <c r="BD5" s="13">
        <f>IF('Données projet'!$A$88&gt;35,BD4+BC5-BL4,IF(A5&lt;'Données projet'!$A$88,$BA$205^A5,IF(A5='Données projet'!$A$88,'Données projet'!$B$88,BD4+BC5-BL4)))</f>
        <v>1.6875556710616693</v>
      </c>
      <c r="BE5" s="14">
        <f>BD5*VLOOKUP('Données projet'!$B$11,Paramètres!$A$1:$I$89,3,0)*VLOOKUP('Données projet'!$B$11,Paramètres!$A$1:$I$89,5,0)</f>
        <v>1.0091582912948782</v>
      </c>
      <c r="BF5" s="14">
        <f t="shared" ref="BF5:BF68" si="37">EXP(-1.0587+0.8836*LN(BE5)+0.284)</f>
        <v>0.46456928810721226</v>
      </c>
      <c r="BG5" s="22">
        <f t="shared" si="7"/>
        <v>2.5667422007919742</v>
      </c>
      <c r="BH5" s="62">
        <f t="shared" si="8"/>
        <v>295.90007553412528</v>
      </c>
      <c r="BI5" s="62">
        <f ca="1">AVERAGE(OFFSET($BH$3,0,0,'Données projet'!$E$11+1,1))-AVERAGE(OFFSET($H$3,0,0,'Données projet'!$E$11+1,1))</f>
        <v>140.16059323013189</v>
      </c>
      <c r="BJ5" s="62">
        <f t="shared" ref="BJ5:BJ68" si="38">$BJ$3</f>
        <v>219.0992563594865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2">
        <f t="shared" si="32"/>
        <v>0.92479818325965968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70">
        <f t="shared" si="1"/>
        <v>298.77499350251054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8.1284210526315785</v>
      </c>
      <c r="N6" s="14">
        <f>IF('Données projet'!$A$36&gt;35,N5+M6-V5,IF(A6&lt;'Données projet'!$A$36,$K$205^A6,IF(A6='Données projet'!$A$36,'Données projet'!$B$36,N5+M6-V5)))</f>
        <v>2.2161219306335851</v>
      </c>
      <c r="O6" s="14">
        <f>N6*VLOOKUP('Données projet'!$B$9,Paramètres!$A$1:$I$89,3,0)*VLOOKUP('Données projet'!$B$9,Paramètres!$A$1:$I$89,5,0)</f>
        <v>1.2388121592241741</v>
      </c>
      <c r="P6" s="14">
        <f t="shared" si="33"/>
        <v>0.5568416206694583</v>
      </c>
      <c r="Q6" s="22">
        <f t="shared" si="2"/>
        <v>3.1274303333147428</v>
      </c>
      <c r="R6" s="62">
        <f t="shared" si="0"/>
        <v>296.46076366664806</v>
      </c>
      <c r="S6" s="62">
        <f ca="1">AVERAGE(OFFSET($R$3,0,0,'Données projet'!$E$9+1,1))-AVERAGE(OFFSET($H$3,0,0,'Données projet'!$E$9+1,1))</f>
        <v>262.38865315945856</v>
      </c>
      <c r="T6" s="62">
        <f t="shared" si="34"/>
        <v>268.78503805457069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6.5093333333333332</v>
      </c>
      <c r="AI6" s="14">
        <f>IF('Données projet'!$A$62&gt;35,AI5+AH6-AQ5,IF(A6&lt;'Données projet'!$A$62,$AF$205^A6,IF(A6='Données projet'!$A$62,'Données projet'!$B$62,AI5+AH6-AQ5)))</f>
        <v>1.6945944380374807</v>
      </c>
      <c r="AJ6" s="14">
        <f>AI6*VLOOKUP('Données projet'!$B$10,Paramètres!$A$1:$I$89,3,0)*VLOOKUP('Données projet'!$B$10,Paramètres!$A$1:$I$89,5,0)</f>
        <v>0.79307019700154091</v>
      </c>
      <c r="AK6" s="14">
        <f t="shared" si="35"/>
        <v>0.37547741639349119</v>
      </c>
      <c r="AL6" s="22">
        <f t="shared" si="4"/>
        <v>2.0352204266630141</v>
      </c>
      <c r="AM6" s="62">
        <f t="shared" si="5"/>
        <v>295.3685537599963</v>
      </c>
      <c r="AN6" s="62">
        <f ca="1">AVERAGE(OFFSET($AM$3,0,0,'Données projet'!$E$10+1,1))-AVERAGE(OFFSET($H$3,0,0,'Données projet'!$E$10+1,1))</f>
        <v>199.36309817800088</v>
      </c>
      <c r="AO6" s="62">
        <f t="shared" si="36"/>
        <v>151.91120569748284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6.166666666666667</v>
      </c>
      <c r="BD6" s="13">
        <f>IF('Données projet'!$A$88&gt;35,BD5+BC6-BL5,IF(A6&lt;'Données projet'!$A$88,$BA$205^A6,IF(A6='Données projet'!$A$88,'Données projet'!$B$88,BD5+BC6-BL5)))</f>
        <v>2.1922352824697744</v>
      </c>
      <c r="BE6" s="14">
        <f>BD6*VLOOKUP('Données projet'!$B$11,Paramètres!$A$1:$I$89,3,0)*VLOOKUP('Données projet'!$B$11,Paramètres!$A$1:$I$89,5,0)</f>
        <v>1.3109566989169252</v>
      </c>
      <c r="BF6" s="14">
        <f t="shared" si="37"/>
        <v>0.58540055303921845</v>
      </c>
      <c r="BG6" s="22">
        <f t="shared" si="7"/>
        <v>3.3028222138236161</v>
      </c>
      <c r="BH6" s="62">
        <f t="shared" si="8"/>
        <v>296.63615554715693</v>
      </c>
      <c r="BI6" s="62">
        <f ca="1">AVERAGE(OFFSET($BH$3,0,0,'Données projet'!$E$11+1,1))-AVERAGE(OFFSET($H$3,0,0,'Données projet'!$E$11+1,1))</f>
        <v>140.16059323013189</v>
      </c>
      <c r="BJ6" s="62">
        <f t="shared" si="38"/>
        <v>219.0992563594865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2">
        <f t="shared" si="32"/>
        <v>1.1924572972247856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70">
        <f t="shared" si="1"/>
        <v>300.51815645933317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8.1284210526315785</v>
      </c>
      <c r="N7" s="14">
        <f>IF('Données projet'!$A$36&gt;35,N6+M7-V6,IF(A7&lt;'Données projet'!$A$36,$K$205^A7,IF(A7='Données projet'!$A$36,'Données projet'!$B$36,N6+M7-V6)))</f>
        <v>2.8892926670846877</v>
      </c>
      <c r="O7" s="14">
        <f>N7*VLOOKUP('Données projet'!$B$9,Paramètres!$A$1:$I$89,3,0)*VLOOKUP('Données projet'!$B$9,Paramètres!$A$1:$I$89,5,0)</f>
        <v>1.6151146009003403</v>
      </c>
      <c r="P7" s="14">
        <f t="shared" si="33"/>
        <v>0.70391551721783874</v>
      </c>
      <c r="Q7" s="22">
        <f t="shared" si="2"/>
        <v>4.0389774557224944</v>
      </c>
      <c r="R7" s="62">
        <f t="shared" si="0"/>
        <v>297.3723107890558</v>
      </c>
      <c r="S7" s="62">
        <f ca="1">AVERAGE(OFFSET($R$3,0,0,'Données projet'!$E$9+1,1))-AVERAGE(OFFSET($H$3,0,0,'Données projet'!$E$9+1,1))</f>
        <v>262.38865315945856</v>
      </c>
      <c r="T7" s="62">
        <f t="shared" si="34"/>
        <v>268.78503805457069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6.5093333333333332</v>
      </c>
      <c r="AI7" s="14">
        <f>IF('Données projet'!$A$62&gt;35,AI6+AH7-AQ6,IF(A7&lt;'Données projet'!$A$62,$AF$205^A7,IF(A7='Données projet'!$A$62,'Données projet'!$B$62,AI6+AH7-AQ6)))</f>
        <v>2.0203240583617328</v>
      </c>
      <c r="AJ7" s="14">
        <f>AI7*VLOOKUP('Données projet'!$B$10,Paramètres!$A$1:$I$89,3,0)*VLOOKUP('Données projet'!$B$10,Paramètres!$A$1:$I$89,5,0)</f>
        <v>0.94551165931329084</v>
      </c>
      <c r="AK7" s="14">
        <f t="shared" si="35"/>
        <v>0.43858252913262774</v>
      </c>
      <c r="AL7" s="22">
        <f t="shared" si="4"/>
        <v>2.4106307115433077</v>
      </c>
      <c r="AM7" s="62">
        <f t="shared" si="5"/>
        <v>295.74396404487663</v>
      </c>
      <c r="AN7" s="62">
        <f ca="1">AVERAGE(OFFSET($AM$3,0,0,'Données projet'!$E$10+1,1))-AVERAGE(OFFSET($H$3,0,0,'Données projet'!$E$10+1,1))</f>
        <v>199.36309817800088</v>
      </c>
      <c r="AO7" s="62">
        <f t="shared" si="36"/>
        <v>151.91120569748284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6.166666666666667</v>
      </c>
      <c r="BD7" s="13">
        <f>IF('Données projet'!$A$88&gt;35,BD6+BC7-BL6,IF(A7&lt;'Données projet'!$A$88,$BA$205^A7,IF(A7='Données projet'!$A$88,'Données projet'!$B$88,BD6+BC7-BL6)))</f>
        <v>2.8478441429324008</v>
      </c>
      <c r="BE7" s="14">
        <f>BD7*VLOOKUP('Données projet'!$B$11,Paramètres!$A$1:$I$89,3,0)*VLOOKUP('Données projet'!$B$11,Paramètres!$A$1:$I$89,5,0)</f>
        <v>1.703010797473576</v>
      </c>
      <c r="BF7" s="14">
        <f t="shared" si="37"/>
        <v>0.73765919588626938</v>
      </c>
      <c r="BG7" s="22">
        <f t="shared" si="7"/>
        <v>4.2508335717683972</v>
      </c>
      <c r="BH7" s="62">
        <f t="shared" si="8"/>
        <v>297.58416690510171</v>
      </c>
      <c r="BI7" s="62">
        <f ca="1">AVERAGE(OFFSET($BH$3,0,0,'Données projet'!$E$11+1,1))-AVERAGE(OFFSET($H$3,0,0,'Données projet'!$E$11+1,1))</f>
        <v>140.16059323013189</v>
      </c>
      <c r="BJ7" s="62">
        <f t="shared" si="38"/>
        <v>219.0992563594865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2">
        <f t="shared" si="32"/>
        <v>1.4523541267681601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70">
        <f t="shared" si="1"/>
        <v>302.24780010412121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8.1284210526315785</v>
      </c>
      <c r="N8" s="14">
        <f>IF('Données projet'!$A$36&gt;35,N7+M8-V7,IF(A8&lt;'Données projet'!$A$36,$K$205^A8,IF(A8='Données projet'!$A$36,'Données projet'!$B$36,N7+M8-V7)))</f>
        <v>3.7669462138676937</v>
      </c>
      <c r="O8" s="14">
        <f>N8*VLOOKUP('Données projet'!$B$9,Paramètres!$A$1:$I$89,3,0)*VLOOKUP('Données projet'!$B$9,Paramètres!$A$1:$I$89,5,0)</f>
        <v>2.1057229335520411</v>
      </c>
      <c r="P8" s="14">
        <f t="shared" si="33"/>
        <v>0.88983480578256757</v>
      </c>
      <c r="Q8" s="22">
        <f t="shared" si="2"/>
        <v>5.2172630626744434</v>
      </c>
      <c r="R8" s="62">
        <f t="shared" si="0"/>
        <v>298.55059639600773</v>
      </c>
      <c r="S8" s="62">
        <f ca="1">AVERAGE(OFFSET($R$3,0,0,'Données projet'!$E$9+1,1))-AVERAGE(OFFSET($H$3,0,0,'Données projet'!$E$9+1,1))</f>
        <v>262.38865315945856</v>
      </c>
      <c r="T8" s="62">
        <f t="shared" si="34"/>
        <v>268.78503805457069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6.5093333333333332</v>
      </c>
      <c r="AI8" s="14">
        <f>IF('Données projet'!$A$62&gt;35,AI7+AH8-AQ7,IF(A8&lt;'Données projet'!$A$62,$AF$205^A8,IF(A8='Données projet'!$A$62,'Données projet'!$B$62,AI7+AH8-AQ7)))</f>
        <v>2.4086644032198476</v>
      </c>
      <c r="AJ8" s="14">
        <f>AI8*VLOOKUP('Données projet'!$B$10,Paramètres!$A$1:$I$89,3,0)*VLOOKUP('Données projet'!$B$10,Paramètres!$A$1:$I$89,5,0)</f>
        <v>1.1272549407068886</v>
      </c>
      <c r="AK8" s="14">
        <f t="shared" si="35"/>
        <v>0.5122934868039819</v>
      </c>
      <c r="AL8" s="22">
        <f t="shared" si="4"/>
        <v>2.8555468445814327</v>
      </c>
      <c r="AM8" s="62">
        <f t="shared" si="5"/>
        <v>296.18888017791477</v>
      </c>
      <c r="AN8" s="62">
        <f ca="1">AVERAGE(OFFSET($AM$3,0,0,'Données projet'!$E$10+1,1))-AVERAGE(OFFSET($H$3,0,0,'Données projet'!$E$10+1,1))</f>
        <v>199.36309817800088</v>
      </c>
      <c r="AO8" s="62">
        <f t="shared" si="36"/>
        <v>151.91120569748284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6.166666666666667</v>
      </c>
      <c r="BD8" s="13">
        <f>IF('Données projet'!$A$88&gt;35,BD7+BC8-BL7,IF(A8&lt;'Données projet'!$A$88,$BA$205^A8,IF(A8='Données projet'!$A$88,'Données projet'!$B$88,BD7+BC8-BL7)))</f>
        <v>3.6995190832333482</v>
      </c>
      <c r="BE8" s="14">
        <f>BD8*VLOOKUP('Données projet'!$B$11,Paramètres!$A$1:$I$89,3,0)*VLOOKUP('Données projet'!$B$11,Paramètres!$A$1:$I$89,5,0)</f>
        <v>2.2123124117735422</v>
      </c>
      <c r="BF8" s="14">
        <f t="shared" si="37"/>
        <v>0.92951926070203594</v>
      </c>
      <c r="BG8" s="22">
        <f t="shared" si="7"/>
        <v>5.4720234962282985</v>
      </c>
      <c r="BH8" s="62">
        <f t="shared" si="8"/>
        <v>298.80535682956162</v>
      </c>
      <c r="BI8" s="62">
        <f ca="1">AVERAGE(OFFSET($BH$3,0,0,'Données projet'!$E$11+1,1))-AVERAGE(OFFSET($H$3,0,0,'Données projet'!$E$11+1,1))</f>
        <v>140.16059323013189</v>
      </c>
      <c r="BJ8" s="62">
        <f t="shared" si="38"/>
        <v>219.0992563594865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2">
        <f t="shared" si="32"/>
        <v>1.7062280291992591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70">
        <f t="shared" si="1"/>
        <v>303.96695381752204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8.1284210526315785</v>
      </c>
      <c r="N9" s="14">
        <f>IF('Données projet'!$A$36&gt;35,N8+M9-V8,IF(A9&lt;'Données projet'!$A$36,$K$205^A9,IF(A9='Données projet'!$A$36,'Données projet'!$B$36,N8+M9-V8)))</f>
        <v>4.911196411435129</v>
      </c>
      <c r="O9" s="14">
        <f>N9*VLOOKUP('Données projet'!$B$9,Paramètres!$A$1:$I$89,3,0)*VLOOKUP('Données projet'!$B$9,Paramètres!$A$1:$I$89,5,0)</f>
        <v>2.7453587939922373</v>
      </c>
      <c r="P9" s="14">
        <f t="shared" si="33"/>
        <v>1.1248593932289483</v>
      </c>
      <c r="Q9" s="22">
        <f t="shared" si="2"/>
        <v>6.7406300094102312</v>
      </c>
      <c r="R9" s="62">
        <f t="shared" si="0"/>
        <v>300.07396334274353</v>
      </c>
      <c r="S9" s="62">
        <f ca="1">AVERAGE(OFFSET($R$3,0,0,'Données projet'!$E$9+1,1))-AVERAGE(OFFSET($H$3,0,0,'Données projet'!$E$9+1,1))</f>
        <v>262.38865315945856</v>
      </c>
      <c r="T9" s="62">
        <f t="shared" si="34"/>
        <v>268.78503805457069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6.5093333333333332</v>
      </c>
      <c r="AI9" s="14">
        <f>IF('Données projet'!$A$62&gt;35,AI8+AH9-AQ8,IF(A9&lt;'Données projet'!$A$62,$AF$205^A9,IF(A9='Données projet'!$A$62,'Données projet'!$B$62,AI8+AH9-AQ8)))</f>
        <v>2.8716503094275656</v>
      </c>
      <c r="AJ9" s="14">
        <f>AI9*VLOOKUP('Données projet'!$B$10,Paramètres!$A$1:$I$89,3,0)*VLOOKUP('Données projet'!$B$10,Paramètres!$A$1:$I$89,5,0)</f>
        <v>1.3439323448121006</v>
      </c>
      <c r="AK9" s="14">
        <f t="shared" si="35"/>
        <v>0.5983927748805018</v>
      </c>
      <c r="AL9" s="22">
        <f t="shared" si="4"/>
        <v>3.3828829167979486</v>
      </c>
      <c r="AM9" s="62">
        <f t="shared" si="5"/>
        <v>296.71621625013125</v>
      </c>
      <c r="AN9" s="62">
        <f ca="1">AVERAGE(OFFSET($AM$3,0,0,'Données projet'!$E$10+1,1))-AVERAGE(OFFSET($H$3,0,0,'Données projet'!$E$10+1,1))</f>
        <v>199.36309817800088</v>
      </c>
      <c r="AO9" s="62">
        <f t="shared" si="36"/>
        <v>151.91120569748284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6.166666666666667</v>
      </c>
      <c r="BD9" s="13">
        <f>IF('Données projet'!$A$88&gt;35,BD8+BC9-BL8,IF(A9&lt;'Données projet'!$A$88,$BA$205^A9,IF(A9='Données projet'!$A$88,'Données projet'!$B$88,BD8+BC9-BL8)))</f>
        <v>4.805895533705332</v>
      </c>
      <c r="BE9" s="14">
        <f>BD9*VLOOKUP('Données projet'!$B$11,Paramètres!$A$1:$I$89,3,0)*VLOOKUP('Données projet'!$B$11,Paramètres!$A$1:$I$89,5,0)</f>
        <v>2.8739255291557888</v>
      </c>
      <c r="BF9" s="14">
        <f t="shared" si="37"/>
        <v>1.1712808039734253</v>
      </c>
      <c r="BG9" s="22">
        <f t="shared" si="7"/>
        <v>7.0454010302000478</v>
      </c>
      <c r="BH9" s="62">
        <f t="shared" si="8"/>
        <v>300.37873436353334</v>
      </c>
      <c r="BI9" s="62">
        <f ca="1">AVERAGE(OFFSET($BH$3,0,0,'Données projet'!$E$11+1,1))-AVERAGE(OFFSET($H$3,0,0,'Données projet'!$E$11+1,1))</f>
        <v>140.16059323013189</v>
      </c>
      <c r="BJ9" s="62">
        <f t="shared" si="38"/>
        <v>219.0992563594865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2">
        <f t="shared" si="32"/>
        <v>1.9552003009222731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70">
        <f t="shared" si="1"/>
        <v>305.67757052410627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8.1284210526315785</v>
      </c>
      <c r="N10" s="14">
        <f>IF('Données projet'!$A$36&gt;35,N9+M10-V9,IF(A10&lt;'Données projet'!$A$36,$K$205^A10,IF(A10='Données projet'!$A$36,'Données projet'!$B$36,N9+M10-V9)))</f>
        <v>6.403024843545178</v>
      </c>
      <c r="O10" s="14">
        <f>N10*VLOOKUP('Données projet'!$B$9,Paramètres!$A$1:$I$89,3,0)*VLOOKUP('Données projet'!$B$9,Paramètres!$A$1:$I$89,5,0)</f>
        <v>3.5792908875417546</v>
      </c>
      <c r="P10" s="14">
        <f t="shared" si="33"/>
        <v>1.4219590493795295</v>
      </c>
      <c r="Q10" s="22">
        <f t="shared" si="2"/>
        <v>8.7105103068045704</v>
      </c>
      <c r="R10" s="62">
        <f t="shared" si="0"/>
        <v>302.04384364013788</v>
      </c>
      <c r="S10" s="62">
        <f ca="1">AVERAGE(OFFSET($R$3,0,0,'Données projet'!$E$9+1,1))-AVERAGE(OFFSET($H$3,0,0,'Données projet'!$E$9+1,1))</f>
        <v>262.38865315945856</v>
      </c>
      <c r="T10" s="62">
        <f t="shared" si="34"/>
        <v>268.78503805457069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6.5093333333333332</v>
      </c>
      <c r="AI10" s="14">
        <f>IF('Données projet'!$A$62&gt;35,AI9+AH10-AQ9,IF(A10&lt;'Données projet'!$A$62,$AF$205^A10,IF(A10='Données projet'!$A$62,'Données projet'!$B$62,AI9+AH10-AQ9)))</f>
        <v>3.4236299123331029</v>
      </c>
      <c r="AJ10" s="14">
        <f>AI10*VLOOKUP('Données projet'!$B$10,Paramètres!$A$1:$I$89,3,0)*VLOOKUP('Données projet'!$B$10,Paramètres!$A$1:$I$89,5,0)</f>
        <v>1.6022587989718919</v>
      </c>
      <c r="AK10" s="14">
        <f t="shared" si="35"/>
        <v>0.69896245463334605</v>
      </c>
      <c r="AL10" s="22">
        <f t="shared" si="4"/>
        <v>4.0079603500291228</v>
      </c>
      <c r="AM10" s="62">
        <f t="shared" si="5"/>
        <v>297.34129368336244</v>
      </c>
      <c r="AN10" s="62">
        <f ca="1">AVERAGE(OFFSET($AM$3,0,0,'Données projet'!$E$10+1,1))-AVERAGE(OFFSET($H$3,0,0,'Données projet'!$E$10+1,1))</f>
        <v>199.36309817800088</v>
      </c>
      <c r="AO10" s="62">
        <f t="shared" si="36"/>
        <v>151.91120569748284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6.166666666666667</v>
      </c>
      <c r="BD10" s="13">
        <f>IF('Données projet'!$A$88&gt;35,BD9+BC10-BL9,IF(A10&lt;'Données projet'!$A$88,$BA$205^A10,IF(A10='Données projet'!$A$88,'Données projet'!$B$88,BD9+BC10-BL9)))</f>
        <v>6.243144409111304</v>
      </c>
      <c r="BE10" s="14">
        <f>BD10*VLOOKUP('Données projet'!$B$11,Paramètres!$A$1:$I$89,3,0)*VLOOKUP('Données projet'!$B$11,Paramètres!$A$1:$I$89,5,0)</f>
        <v>3.7334003566485601</v>
      </c>
      <c r="BF10" s="14">
        <f t="shared" si="37"/>
        <v>1.4759228557786761</v>
      </c>
      <c r="BG10" s="22">
        <f t="shared" si="7"/>
        <v>9.0729045949774356</v>
      </c>
      <c r="BH10" s="62">
        <f t="shared" si="8"/>
        <v>302.40623792831076</v>
      </c>
      <c r="BI10" s="62">
        <f ca="1">AVERAGE(OFFSET($BH$3,0,0,'Données projet'!$E$11+1,1))-AVERAGE(OFFSET($H$3,0,0,'Données projet'!$E$11+1,1))</f>
        <v>140.16059323013189</v>
      </c>
      <c r="BJ10" s="62">
        <f t="shared" si="38"/>
        <v>219.0992563594865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2">
        <f t="shared" si="32"/>
        <v>2.2000519691514757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70">
        <f t="shared" si="1"/>
        <v>307.38101051293881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8.1284210526315785</v>
      </c>
      <c r="N11" s="14">
        <f>IF('Données projet'!$A$36&gt;35,N10+M11-V10,IF(A11&lt;'Données projet'!$A$36,$K$205^A11,IF(A11='Données projet'!$A$36,'Données projet'!$B$36,N10+M11-V10)))</f>
        <v>8.3480121160693486</v>
      </c>
      <c r="O11" s="14">
        <f>N11*VLOOKUP('Données projet'!$B$9,Paramètres!$A$1:$I$89,3,0)*VLOOKUP('Données projet'!$B$9,Paramètres!$A$1:$I$89,5,0)</f>
        <v>4.6665387728827659</v>
      </c>
      <c r="P11" s="14">
        <f t="shared" si="33"/>
        <v>1.7975291403383375</v>
      </c>
      <c r="Q11" s="22">
        <f t="shared" si="2"/>
        <v>11.258251615526754</v>
      </c>
      <c r="R11" s="62">
        <f t="shared" si="0"/>
        <v>304.59158494886009</v>
      </c>
      <c r="S11" s="62">
        <f ca="1">AVERAGE(OFFSET($R$3,0,0,'Données projet'!$E$9+1,1))-AVERAGE(OFFSET($H$3,0,0,'Données projet'!$E$9+1,1))</f>
        <v>262.38865315945856</v>
      </c>
      <c r="T11" s="62">
        <f t="shared" si="34"/>
        <v>268.78503805457069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6.5093333333333332</v>
      </c>
      <c r="AI11" s="14">
        <f>IF('Données projet'!$A$62&gt;35,AI10+AH11-AQ10,IF(A11&lt;'Données projet'!$A$62,$AF$205^A11,IF(A11='Données projet'!$A$62,'Données projet'!$B$62,AI10+AH11-AQ10)))</f>
        <v>4.0817093007952225</v>
      </c>
      <c r="AJ11" s="14">
        <f>AI11*VLOOKUP('Données projet'!$B$10,Paramètres!$A$1:$I$89,3,0)*VLOOKUP('Données projet'!$B$10,Paramètres!$A$1:$I$89,5,0)</f>
        <v>1.9102399527721641</v>
      </c>
      <c r="AK11" s="14">
        <f t="shared" si="35"/>
        <v>0.81643451173793824</v>
      </c>
      <c r="AL11" s="22">
        <f t="shared" si="4"/>
        <v>4.7489580256884283</v>
      </c>
      <c r="AM11" s="62">
        <f t="shared" si="5"/>
        <v>298.08229135902172</v>
      </c>
      <c r="AN11" s="62">
        <f ca="1">AVERAGE(OFFSET($AM$3,0,0,'Données projet'!$E$10+1,1))-AVERAGE(OFFSET($H$3,0,0,'Données projet'!$E$10+1,1))</f>
        <v>199.36309817800088</v>
      </c>
      <c r="AO11" s="62">
        <f t="shared" si="36"/>
        <v>151.91120569748284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6.166666666666667</v>
      </c>
      <c r="BD11" s="13">
        <f>IF('Données projet'!$A$88&gt;35,BD10+BC11-BL10,IF(A11&lt;'Données projet'!$A$88,$BA$205^A11,IF(A11='Données projet'!$A$88,'Données projet'!$B$88,BD10+BC11-BL10)))</f>
        <v>8.1102162624343812</v>
      </c>
      <c r="BE11" s="14">
        <f>BD11*VLOOKUP('Données projet'!$B$11,Paramètres!$A$1:$I$89,3,0)*VLOOKUP('Données projet'!$B$11,Paramètres!$A$1:$I$89,5,0)</f>
        <v>4.8499093249357603</v>
      </c>
      <c r="BF11" s="14">
        <f t="shared" si="37"/>
        <v>1.8598002023256139</v>
      </c>
      <c r="BG11" s="22">
        <f t="shared" si="7"/>
        <v>11.686077426646891</v>
      </c>
      <c r="BH11" s="62">
        <f t="shared" si="8"/>
        <v>305.01941075998019</v>
      </c>
      <c r="BI11" s="62">
        <f ca="1">AVERAGE(OFFSET($BH$3,0,0,'Données projet'!$E$11+1,1))-AVERAGE(OFFSET($H$3,0,0,'Données projet'!$E$11+1,1))</f>
        <v>140.16059323013189</v>
      </c>
      <c r="BJ11" s="62">
        <f t="shared" si="38"/>
        <v>219.0992563594865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2">
        <f t="shared" si="32"/>
        <v>2.4413570988248194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70">
        <f t="shared" si="1"/>
        <v>309.07827361378656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8.1284210526315785</v>
      </c>
      <c r="N12" s="14">
        <f>IF('Données projet'!$A$36&gt;35,N11+M12-V11,IF(A12&lt;'Données projet'!$A$36,$K$205^A12,IF(A12='Données projet'!$A$36,'Données projet'!$B$36,N11+M12-V11)))</f>
        <v>10.883810073030356</v>
      </c>
      <c r="O12" s="14">
        <f>N12*VLOOKUP('Données projet'!$B$9,Paramètres!$A$1:$I$89,3,0)*VLOOKUP('Données projet'!$B$9,Paramètres!$A$1:$I$89,5,0)</f>
        <v>6.084049830823969</v>
      </c>
      <c r="P12" s="14">
        <f t="shared" si="33"/>
        <v>2.272295402441705</v>
      </c>
      <c r="Q12" s="22">
        <f t="shared" si="2"/>
        <v>14.553967947937716</v>
      </c>
      <c r="R12" s="62">
        <f t="shared" si="0"/>
        <v>307.88730128127105</v>
      </c>
      <c r="S12" s="62">
        <f ca="1">AVERAGE(OFFSET($R$3,0,0,'Données projet'!$E$9+1,1))-AVERAGE(OFFSET($H$3,0,0,'Données projet'!$E$9+1,1))</f>
        <v>262.38865315945856</v>
      </c>
      <c r="T12" s="62">
        <f t="shared" si="34"/>
        <v>268.78503805457069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6.5093333333333332</v>
      </c>
      <c r="AI12" s="14">
        <f>IF('Données projet'!$A$62&gt;35,AI11+AH12-AQ11,IF(A12&lt;'Données projet'!$A$62,$AF$205^A12,IF(A12='Données projet'!$A$62,'Données projet'!$B$62,AI11+AH12-AQ11)))</f>
        <v>4.8662826423445642</v>
      </c>
      <c r="AJ12" s="14">
        <f>AI12*VLOOKUP('Données projet'!$B$10,Paramètres!$A$1:$I$89,3,0)*VLOOKUP('Données projet'!$B$10,Paramètres!$A$1:$I$89,5,0)</f>
        <v>2.277420276617256</v>
      </c>
      <c r="AK12" s="14">
        <f t="shared" si="35"/>
        <v>0.95364966678564289</v>
      </c>
      <c r="AL12" s="22">
        <f t="shared" si="4"/>
        <v>5.6274468180933814</v>
      </c>
      <c r="AM12" s="62">
        <f t="shared" si="5"/>
        <v>298.96078015142672</v>
      </c>
      <c r="AN12" s="62">
        <f ca="1">AVERAGE(OFFSET($AM$3,0,0,'Données projet'!$E$10+1,1))-AVERAGE(OFFSET($H$3,0,0,'Données projet'!$E$10+1,1))</f>
        <v>199.36309817800088</v>
      </c>
      <c r="AO12" s="62">
        <f t="shared" si="36"/>
        <v>151.91120569748284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6.166666666666667</v>
      </c>
      <c r="BD12" s="13">
        <f>IF('Données projet'!$A$88&gt;35,BD11+BC12-BL11,IF(A12&lt;'Données projet'!$A$88,$BA$205^A12,IF(A12='Données projet'!$A$88,'Données projet'!$B$88,BD11+BC12-BL11)))</f>
        <v>10.535653752852737</v>
      </c>
      <c r="BE12" s="14">
        <f>BD12*VLOOKUP('Données projet'!$B$11,Paramètres!$A$1:$I$89,3,0)*VLOOKUP('Données projet'!$B$11,Paramètres!$A$1:$I$89,5,0)</f>
        <v>6.3003209442059376</v>
      </c>
      <c r="BF12" s="14">
        <f t="shared" si="37"/>
        <v>2.3435213968182298</v>
      </c>
      <c r="BG12" s="22">
        <f t="shared" si="7"/>
        <v>15.054692077283761</v>
      </c>
      <c r="BH12" s="62">
        <f t="shared" si="8"/>
        <v>308.38802541061705</v>
      </c>
      <c r="BI12" s="62">
        <f ca="1">AVERAGE(OFFSET($BH$3,0,0,'Données projet'!$E$11+1,1))-AVERAGE(OFFSET($H$3,0,0,'Données projet'!$E$11+1,1))</f>
        <v>140.16059323013189</v>
      </c>
      <c r="BJ12" s="62">
        <f t="shared" si="38"/>
        <v>219.0992563594865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2">
        <f t="shared" si="32"/>
        <v>2.6795547009841778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70">
        <f t="shared" si="1"/>
        <v>310.77012443754745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8.1284210526315785</v>
      </c>
      <c r="N13" s="14">
        <f>IF('Données projet'!$A$36&gt;35,N12+M13-V12,IF(A13&lt;'Données projet'!$A$36,$K$205^A13,IF(A13='Données projet'!$A$36,'Données projet'!$B$36,N12+M13-V12)))</f>
        <v>14.189883778172153</v>
      </c>
      <c r="O13" s="14">
        <f>N13*VLOOKUP('Données projet'!$B$9,Paramètres!$A$1:$I$89,3,0)*VLOOKUP('Données projet'!$B$9,Paramètres!$A$1:$I$89,5,0)</f>
        <v>7.9321450319982336</v>
      </c>
      <c r="P13" s="14">
        <f t="shared" si="33"/>
        <v>2.8724576865473512</v>
      </c>
      <c r="Q13" s="22">
        <f t="shared" si="2"/>
        <v>18.818016401466895</v>
      </c>
      <c r="R13" s="62">
        <f t="shared" si="0"/>
        <v>312.15134973480019</v>
      </c>
      <c r="S13" s="62">
        <f ca="1">AVERAGE(OFFSET($R$3,0,0,'Données projet'!$E$9+1,1))-AVERAGE(OFFSET($H$3,0,0,'Données projet'!$E$9+1,1))</f>
        <v>262.38865315945856</v>
      </c>
      <c r="T13" s="62">
        <f t="shared" si="34"/>
        <v>268.78503805457069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6.5093333333333332</v>
      </c>
      <c r="AI13" s="14">
        <f>IF('Données projet'!$A$62&gt;35,AI12+AH13-AQ12,IF(A13&lt;'Données projet'!$A$62,$AF$205^A13,IF(A13='Données projet'!$A$62,'Données projet'!$B$62,AI12+AH13-AQ12)))</f>
        <v>5.8016642073384252</v>
      </c>
      <c r="AJ13" s="14">
        <f>AI13*VLOOKUP('Données projet'!$B$10,Paramètres!$A$1:$I$89,3,0)*VLOOKUP('Données projet'!$B$10,Paramètres!$A$1:$I$89,5,0)</f>
        <v>2.7151788490343831</v>
      </c>
      <c r="AK13" s="14">
        <f t="shared" si="35"/>
        <v>1.1139260698625209</v>
      </c>
      <c r="AL13" s="22">
        <f t="shared" si="4"/>
        <v>6.6690244004121082</v>
      </c>
      <c r="AM13" s="62">
        <f t="shared" si="5"/>
        <v>300.00235773374544</v>
      </c>
      <c r="AN13" s="62">
        <f ca="1">AVERAGE(OFFSET($AM$3,0,0,'Données projet'!$E$10+1,1))-AVERAGE(OFFSET($H$3,0,0,'Données projet'!$E$10+1,1))</f>
        <v>199.36309817800088</v>
      </c>
      <c r="AO13" s="62">
        <f t="shared" si="36"/>
        <v>151.91120569748284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6.166666666666667</v>
      </c>
      <c r="BD13" s="13">
        <f>IF('Données projet'!$A$88&gt;35,BD12+BC13-BL12,IF(A13&lt;'Données projet'!$A$88,$BA$205^A13,IF(A13='Données projet'!$A$88,'Données projet'!$B$88,BD12+BC13-BL12)))</f>
        <v>13.686441447207715</v>
      </c>
      <c r="BE13" s="14">
        <f>BD13*VLOOKUP('Données projet'!$B$11,Paramètres!$A$1:$I$89,3,0)*VLOOKUP('Données projet'!$B$11,Paramètres!$A$1:$I$89,5,0)</f>
        <v>8.1844919854302152</v>
      </c>
      <c r="BF13" s="14">
        <f t="shared" si="37"/>
        <v>2.9530551348887908</v>
      </c>
      <c r="BG13" s="22">
        <f t="shared" si="7"/>
        <v>19.397894567888933</v>
      </c>
      <c r="BH13" s="62">
        <f t="shared" si="8"/>
        <v>312.73122790122227</v>
      </c>
      <c r="BI13" s="62">
        <f ca="1">AVERAGE(OFFSET($BH$3,0,0,'Données projet'!$E$11+1,1))-AVERAGE(OFFSET($H$3,0,0,'Données projet'!$E$11+1,1))</f>
        <v>140.16059323013189</v>
      </c>
      <c r="BJ13" s="62">
        <f t="shared" si="38"/>
        <v>219.0992563594865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2">
        <f t="shared" si="32"/>
        <v>2.9149909035839161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70">
        <f t="shared" si="1"/>
        <v>312.45716582374195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8.1284210526315785</v>
      </c>
      <c r="N14" s="14">
        <f>IF('Données projet'!$A$36&gt;35,N13+M14-V13,IF(A14&lt;'Données projet'!$A$36,$K$205^A14,IF(A14='Données projet'!$A$36,'Données projet'!$B$36,N13+M14-V13)))</f>
        <v>18.500212727616166</v>
      </c>
      <c r="O14" s="14">
        <f>N14*VLOOKUP('Données projet'!$B$9,Paramètres!$A$1:$I$89,3,0)*VLOOKUP('Données projet'!$B$9,Paramètres!$A$1:$I$89,5,0)</f>
        <v>10.341618914737436</v>
      </c>
      <c r="P14" s="14">
        <f t="shared" si="33"/>
        <v>3.6311357898884093</v>
      </c>
      <c r="Q14" s="22">
        <f t="shared" si="2"/>
        <v>24.335881110556681</v>
      </c>
      <c r="R14" s="62">
        <f t="shared" si="0"/>
        <v>317.66921444388998</v>
      </c>
      <c r="S14" s="62">
        <f ca="1">AVERAGE(OFFSET($R$3,0,0,'Données projet'!$E$9+1,1))-AVERAGE(OFFSET($H$3,0,0,'Données projet'!$E$9+1,1))</f>
        <v>262.38865315945856</v>
      </c>
      <c r="T14" s="62">
        <f t="shared" si="34"/>
        <v>268.78503805457069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6.5093333333333332</v>
      </c>
      <c r="AI14" s="14">
        <f>IF('Données projet'!$A$62&gt;35,AI13+AH14-AQ13,IF(A14&lt;'Données projet'!$A$62,$AF$205^A14,IF(A14='Données projet'!$A$62,'Données projet'!$B$62,AI13+AH14-AQ13)))</f>
        <v>6.9168418788134387</v>
      </c>
      <c r="AJ14" s="14">
        <f>AI14*VLOOKUP('Données projet'!$B$10,Paramètres!$A$1:$I$89,3,0)*VLOOKUP('Données projet'!$B$10,Paramètres!$A$1:$I$89,5,0)</f>
        <v>3.2370819992846895</v>
      </c>
      <c r="AK14" s="14">
        <f t="shared" si="35"/>
        <v>1.3011395403740753</v>
      </c>
      <c r="AL14" s="22">
        <f t="shared" si="4"/>
        <v>7.9040691815723489</v>
      </c>
      <c r="AM14" s="62">
        <f t="shared" si="5"/>
        <v>301.23740251490568</v>
      </c>
      <c r="AN14" s="62">
        <f ca="1">AVERAGE(OFFSET($AM$3,0,0,'Données projet'!$E$10+1,1))-AVERAGE(OFFSET($H$3,0,0,'Données projet'!$E$10+1,1))</f>
        <v>199.36309817800088</v>
      </c>
      <c r="AO14" s="62">
        <f t="shared" si="36"/>
        <v>151.91120569748284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6.166666666666667</v>
      </c>
      <c r="BD14" s="13">
        <f>IF('Données projet'!$A$88&gt;35,BD13+BC14-BL13,IF(A14&lt;'Données projet'!$A$88,$BA$205^A14,IF(A14='Données projet'!$A$88,'Données projet'!$B$88,BD13+BC14-BL13)))</f>
        <v>17.779502238968792</v>
      </c>
      <c r="BE14" s="14">
        <f>BD14*VLOOKUP('Données projet'!$B$11,Paramètres!$A$1:$I$89,3,0)*VLOOKUP('Données projet'!$B$11,Paramètres!$A$1:$I$89,5,0)</f>
        <v>10.632142338903337</v>
      </c>
      <c r="BF14" s="14">
        <f t="shared" si="37"/>
        <v>3.7211243906425677</v>
      </c>
      <c r="BG14" s="22">
        <f t="shared" si="7"/>
        <v>24.998606220625785</v>
      </c>
      <c r="BH14" s="62">
        <f t="shared" si="8"/>
        <v>318.3319395539591</v>
      </c>
      <c r="BI14" s="62">
        <f ca="1">AVERAGE(OFFSET($BH$3,0,0,'Données projet'!$E$11+1,1))-AVERAGE(OFFSET($H$3,0,0,'Données projet'!$E$11+1,1))</f>
        <v>140.16059323013189</v>
      </c>
      <c r="BJ14" s="62">
        <f t="shared" si="38"/>
        <v>219.0992563594865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2">
        <f t="shared" si="32"/>
        <v>3.1479452926301796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70">
        <f t="shared" si="1"/>
        <v>314.13988471799752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8.1284210526315785</v>
      </c>
      <c r="N15" s="14">
        <f>IF('Données projet'!$A$36&gt;35,N14+M15-V14,IF(A15&lt;'Données projet'!$A$36,$K$205^A15,IF(A15='Données projet'!$A$36,'Données projet'!$B$36,N14+M15-V14)))</f>
        <v>24.119850191693295</v>
      </c>
      <c r="O15" s="14">
        <f>N15*VLOOKUP('Données projet'!$B$9,Paramètres!$A$1:$I$89,3,0)*VLOOKUP('Données projet'!$B$9,Paramètres!$A$1:$I$89,5,0)</f>
        <v>13.482996257156552</v>
      </c>
      <c r="P15" s="14">
        <f t="shared" si="33"/>
        <v>4.5901971633416325</v>
      </c>
      <c r="Q15" s="22">
        <f t="shared" si="2"/>
        <v>31.477478540701004</v>
      </c>
      <c r="R15" s="62">
        <f t="shared" si="0"/>
        <v>324.8108118740343</v>
      </c>
      <c r="S15" s="62">
        <f ca="1">AVERAGE(OFFSET($R$3,0,0,'Données projet'!$E$9+1,1))-AVERAGE(OFFSET($H$3,0,0,'Données projet'!$E$9+1,1))</f>
        <v>262.38865315945856</v>
      </c>
      <c r="T15" s="62">
        <f t="shared" si="34"/>
        <v>268.78503805457069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6.5093333333333332</v>
      </c>
      <c r="AI15" s="14">
        <f>IF('Données projet'!$A$62&gt;35,AI14+AH15-AQ14,IF(A15&lt;'Données projet'!$A$62,$AF$205^A15,IF(A15='Données projet'!$A$62,'Données projet'!$B$62,AI14+AH15-AQ14)))</f>
        <v>8.2463754996354339</v>
      </c>
      <c r="AJ15" s="14">
        <f>AI15*VLOOKUP('Données projet'!$B$10,Paramètres!$A$1:$I$89,3,0)*VLOOKUP('Données projet'!$B$10,Paramètres!$A$1:$I$89,5,0)</f>
        <v>3.8593037338293832</v>
      </c>
      <c r="AK15" s="14">
        <f t="shared" si="35"/>
        <v>1.5198172924831568</v>
      </c>
      <c r="AL15" s="22">
        <f t="shared" si="4"/>
        <v>9.3686357874943393</v>
      </c>
      <c r="AM15" s="62">
        <f t="shared" si="5"/>
        <v>302.70196912082764</v>
      </c>
      <c r="AN15" s="62">
        <f ca="1">AVERAGE(OFFSET($AM$3,0,0,'Données projet'!$E$10+1,1))-AVERAGE(OFFSET($H$3,0,0,'Données projet'!$E$10+1,1))</f>
        <v>199.36309817800088</v>
      </c>
      <c r="AO15" s="62">
        <f t="shared" si="36"/>
        <v>151.91120569748284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6.166666666666667</v>
      </c>
      <c r="BD15" s="13">
        <f>IF('Données projet'!$A$88&gt;35,BD14+BC15-BL14,IF(A15&lt;'Données projet'!$A$88,$BA$205^A15,IF(A15='Données projet'!$A$88,'Données projet'!$B$88,BD14+BC15-BL14)))</f>
        <v>23.096631880888861</v>
      </c>
      <c r="BE15" s="14">
        <f>BD15*VLOOKUP('Données projet'!$B$11,Paramètres!$A$1:$I$89,3,0)*VLOOKUP('Données projet'!$B$11,Paramètres!$A$1:$I$89,5,0)</f>
        <v>13.811785864771538</v>
      </c>
      <c r="BF15" s="14">
        <f t="shared" si="37"/>
        <v>4.6889631578641264</v>
      </c>
      <c r="BG15" s="22">
        <f t="shared" si="7"/>
        <v>32.222137881090447</v>
      </c>
      <c r="BH15" s="62">
        <f t="shared" si="8"/>
        <v>325.55547121442373</v>
      </c>
      <c r="BI15" s="62">
        <f ca="1">AVERAGE(OFFSET($BH$3,0,0,'Données projet'!$E$11+1,1))-AVERAGE(OFFSET($H$3,0,0,'Données projet'!$E$11+1,1))</f>
        <v>140.16059323013189</v>
      </c>
      <c r="BJ15" s="62">
        <f t="shared" si="38"/>
        <v>219.0992563594865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2">
        <f t="shared" si="32"/>
        <v>3.3786481992658062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70">
        <f t="shared" si="1"/>
        <v>315.81868228038792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8.1284210526315785</v>
      </c>
      <c r="N16" s="14">
        <f>IF('Données projet'!$A$36&gt;35,N15+M16-V15,IF(A16&lt;'Données projet'!$A$36,$K$205^A16,IF(A16='Données projet'!$A$36,'Données projet'!$B$36,N15+M16-V15)))</f>
        <v>31.446512633949066</v>
      </c>
      <c r="O16" s="14">
        <f>N16*VLOOKUP('Données projet'!$B$9,Paramètres!$A$1:$I$89,3,0)*VLOOKUP('Données projet'!$B$9,Paramètres!$A$1:$I$89,5,0)</f>
        <v>17.578600562377527</v>
      </c>
      <c r="P16" s="14">
        <f t="shared" si="33"/>
        <v>5.8025673556529513</v>
      </c>
      <c r="Q16" s="22">
        <f t="shared" si="2"/>
        <v>40.722200790569744</v>
      </c>
      <c r="R16" s="62">
        <f t="shared" si="0"/>
        <v>334.05553412390304</v>
      </c>
      <c r="S16" s="62">
        <f ca="1">AVERAGE(OFFSET($R$3,0,0,'Données projet'!$E$9+1,1))-AVERAGE(OFFSET($H$3,0,0,'Données projet'!$E$9+1,1))</f>
        <v>262.38865315945856</v>
      </c>
      <c r="T16" s="62">
        <f t="shared" si="34"/>
        <v>268.78503805457069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6.5093333333333332</v>
      </c>
      <c r="AI16" s="14">
        <f>IF('Données projet'!$A$62&gt;35,AI15+AH16-AQ15,IF(A16&lt;'Données projet'!$A$62,$AF$205^A16,IF(A16='Données projet'!$A$62,'Données projet'!$B$62,AI15+AH16-AQ15)))</f>
        <v>9.831467897116827</v>
      </c>
      <c r="AJ16" s="14">
        <f>AI16*VLOOKUP('Données projet'!$B$10,Paramètres!$A$1:$I$89,3,0)*VLOOKUP('Données projet'!$B$10,Paramètres!$A$1:$I$89,5,0)</f>
        <v>4.6011269758506748</v>
      </c>
      <c r="AK16" s="14">
        <f t="shared" si="35"/>
        <v>1.7752474126385842</v>
      </c>
      <c r="AL16" s="22">
        <f t="shared" si="4"/>
        <v>11.105518726618792</v>
      </c>
      <c r="AM16" s="62">
        <f t="shared" si="5"/>
        <v>304.43885205995213</v>
      </c>
      <c r="AN16" s="62">
        <f ca="1">AVERAGE(OFFSET($AM$3,0,0,'Données projet'!$E$10+1,1))-AVERAGE(OFFSET($H$3,0,0,'Données projet'!$E$10+1,1))</f>
        <v>199.36309817800088</v>
      </c>
      <c r="AO16" s="62">
        <f t="shared" si="36"/>
        <v>151.91120569748284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6.166666666666667</v>
      </c>
      <c r="BD16" s="13">
        <f>IF('Données projet'!$A$88&gt;35,BD15+BC16-BL15,IF(A16&lt;'Données projet'!$A$88,$BA$205^A16,IF(A16='Données projet'!$A$88,'Données projet'!$B$88,BD15+BC16-BL15)))</f>
        <v>30.003899832025432</v>
      </c>
      <c r="BE16" s="14">
        <f>BD16*VLOOKUP('Données projet'!$B$11,Paramètres!$A$1:$I$89,3,0)*VLOOKUP('Données projet'!$B$11,Paramètres!$A$1:$I$89,5,0)</f>
        <v>17.942332099551209</v>
      </c>
      <c r="BF16" s="14">
        <f t="shared" si="37"/>
        <v>5.9085301074846619</v>
      </c>
      <c r="BG16" s="22">
        <f t="shared" si="7"/>
        <v>41.54025167725414</v>
      </c>
      <c r="BH16" s="62">
        <f t="shared" si="8"/>
        <v>334.87358501058748</v>
      </c>
      <c r="BI16" s="62">
        <f ca="1">AVERAGE(OFFSET($BH$3,0,0,'Données projet'!$E$11+1,1))-AVERAGE(OFFSET($H$3,0,0,'Données projet'!$E$11+1,1))</f>
        <v>140.16059323013189</v>
      </c>
      <c r="BJ16" s="62">
        <f t="shared" si="38"/>
        <v>219.0992563594865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2">
        <f t="shared" si="32"/>
        <v>3.6072925061053467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70">
        <f t="shared" si="1"/>
        <v>317.49389444813346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8.1284210526315785</v>
      </c>
      <c r="N17" s="14">
        <f>IF('Données projet'!$A$36&gt;35,N16+M17-V16,IF(A17&lt;'Données projet'!$A$36,$K$205^A17,IF(A17='Données projet'!$A$36,'Données projet'!$B$36,N16+M17-V16)))</f>
        <v>40.998727147056762</v>
      </c>
      <c r="O17" s="14">
        <f>N17*VLOOKUP('Données projet'!$B$9,Paramètres!$A$1:$I$89,3,0)*VLOOKUP('Données projet'!$B$9,Paramètres!$A$1:$I$89,5,0)</f>
        <v>22.918288475204729</v>
      </c>
      <c r="P17" s="14">
        <f t="shared" si="33"/>
        <v>7.3351506958750976</v>
      </c>
      <c r="Q17" s="22">
        <f t="shared" si="2"/>
        <v>52.691406556297359</v>
      </c>
      <c r="R17" s="62">
        <f t="shared" si="0"/>
        <v>346.02473988963067</v>
      </c>
      <c r="S17" s="62">
        <f ca="1">AVERAGE(OFFSET($R$3,0,0,'Données projet'!$E$9+1,1))-AVERAGE(OFFSET($H$3,0,0,'Données projet'!$E$9+1,1))</f>
        <v>262.38865315945856</v>
      </c>
      <c r="T17" s="62">
        <f t="shared" si="34"/>
        <v>268.78503805457069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6.5093333333333332</v>
      </c>
      <c r="AI17" s="14">
        <f>IF('Données projet'!$A$62&gt;35,AI16+AH17-AQ16,IF(A17&lt;'Données projet'!$A$62,$AF$205^A17,IF(A17='Données projet'!$A$62,'Données projet'!$B$62,AI16+AH17-AQ16)))</f>
        <v>11.721241776621973</v>
      </c>
      <c r="AJ17" s="14">
        <f>AI17*VLOOKUP('Données projet'!$B$10,Paramètres!$A$1:$I$89,3,0)*VLOOKUP('Données projet'!$B$10,Paramètres!$A$1:$I$89,5,0)</f>
        <v>5.4855411514590839</v>
      </c>
      <c r="AK17" s="14">
        <f t="shared" si="35"/>
        <v>2.0736067365906181</v>
      </c>
      <c r="AL17" s="22">
        <f t="shared" si="4"/>
        <v>13.1655159050199</v>
      </c>
      <c r="AM17" s="62">
        <f t="shared" si="5"/>
        <v>306.49884923835322</v>
      </c>
      <c r="AN17" s="62">
        <f ca="1">AVERAGE(OFFSET($AM$3,0,0,'Données projet'!$E$10+1,1))-AVERAGE(OFFSET($H$3,0,0,'Données projet'!$E$10+1,1))</f>
        <v>199.36309817800088</v>
      </c>
      <c r="AO17" s="62">
        <f t="shared" si="36"/>
        <v>151.91120569748284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6.166666666666667</v>
      </c>
      <c r="BD17" s="13">
        <f>IF('Données projet'!$A$88&gt;35,BD16+BC17-BL16,IF(A17&lt;'Données projet'!$A$88,$BA$205^A17,IF(A17='Données projet'!$A$88,'Données projet'!$B$88,BD16+BC17-BL16)))</f>
        <v>38.976852113017742</v>
      </c>
      <c r="BE17" s="14">
        <f>BD17*VLOOKUP('Données projet'!$B$11,Paramètres!$A$1:$I$89,3,0)*VLOOKUP('Données projet'!$B$11,Paramètres!$A$1:$I$89,5,0)</f>
        <v>23.308157563584611</v>
      </c>
      <c r="BF17" s="14">
        <f t="shared" si="37"/>
        <v>7.4452980020757735</v>
      </c>
      <c r="BG17" s="22">
        <f t="shared" si="7"/>
        <v>53.56226844352517</v>
      </c>
      <c r="BH17" s="62">
        <f t="shared" si="8"/>
        <v>346.89560177685848</v>
      </c>
      <c r="BI17" s="62">
        <f ca="1">AVERAGE(OFFSET($BH$3,0,0,'Données projet'!$E$11+1,1))-AVERAGE(OFFSET($H$3,0,0,'Données projet'!$E$11+1,1))</f>
        <v>140.16059323013189</v>
      </c>
      <c r="BJ17" s="62">
        <f t="shared" si="38"/>
        <v>219.0992563594865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2">
        <f t="shared" si="32"/>
        <v>3.8340419797271834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70">
        <f t="shared" si="1"/>
        <v>319.1658064480248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8.1284210526315785</v>
      </c>
      <c r="N18" s="14">
        <f>IF('Données projet'!$A$36&gt;35,N17+M18-V17,IF(A18&lt;'Données projet'!$A$36,$K$205^A18,IF(A18='Données projet'!$A$36,'Données projet'!$B$36,N17+M18-V17)))</f>
        <v>53.452528973408192</v>
      </c>
      <c r="O18" s="14">
        <f>N18*VLOOKUP('Données projet'!$B$9,Paramètres!$A$1:$I$89,3,0)*VLOOKUP('Données projet'!$B$9,Paramètres!$A$1:$I$89,5,0)</f>
        <v>29.879963696135178</v>
      </c>
      <c r="P18" s="14">
        <f t="shared" si="33"/>
        <v>9.2725223911067207</v>
      </c>
      <c r="Q18" s="22">
        <f t="shared" si="2"/>
        <v>68.190579935279629</v>
      </c>
      <c r="R18" s="62">
        <f t="shared" si="0"/>
        <v>361.52391326861294</v>
      </c>
      <c r="S18" s="62">
        <f ca="1">AVERAGE(OFFSET($R$3,0,0,'Données projet'!$E$9+1,1))-AVERAGE(OFFSET($H$3,0,0,'Données projet'!$E$9+1,1))</f>
        <v>262.38865315945856</v>
      </c>
      <c r="T18" s="62">
        <f t="shared" si="34"/>
        <v>268.78503805457069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6.5093333333333332</v>
      </c>
      <c r="AI18" s="14">
        <f>IF('Données projet'!$A$62&gt;35,AI17+AH18-AQ17,IF(A18&lt;'Données projet'!$A$62,$AF$205^A18,IF(A18='Données projet'!$A$62,'Données projet'!$B$62,AI17+AH18-AQ17)))</f>
        <v>13.974262055650758</v>
      </c>
      <c r="AJ18" s="14">
        <f>AI18*VLOOKUP('Données projet'!$B$10,Paramètres!$A$1:$I$89,3,0)*VLOOKUP('Données projet'!$B$10,Paramètres!$A$1:$I$89,5,0)</f>
        <v>6.5399546420445542</v>
      </c>
      <c r="AK18" s="14">
        <f t="shared" si="35"/>
        <v>2.4221102182275818</v>
      </c>
      <c r="AL18" s="22">
        <f t="shared" si="4"/>
        <v>15.608929631640637</v>
      </c>
      <c r="AM18" s="62">
        <f t="shared" si="5"/>
        <v>308.94226296497396</v>
      </c>
      <c r="AN18" s="62">
        <f ca="1">AVERAGE(OFFSET($AM$3,0,0,'Données projet'!$E$10+1,1))-AVERAGE(OFFSET($H$3,0,0,'Données projet'!$E$10+1,1))</f>
        <v>199.36309817800088</v>
      </c>
      <c r="AO18" s="62">
        <f t="shared" si="36"/>
        <v>151.91120569748284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6.166666666666667</v>
      </c>
      <c r="BD18" s="13">
        <f>IF('Données projet'!$A$88&gt;35,BD17+BC18-BL17,IF(A18&lt;'Données projet'!$A$88,$BA$205^A18,IF(A18='Données projet'!$A$88,'Données projet'!$B$88,BD17+BC18-BL17)))</f>
        <v>50.633251315500786</v>
      </c>
      <c r="BE18" s="14">
        <f>BD18*VLOOKUP('Données projet'!$B$11,Paramètres!$A$1:$I$89,3,0)*VLOOKUP('Données projet'!$B$11,Paramètres!$A$1:$I$89,5,0)</f>
        <v>30.278684286669471</v>
      </c>
      <c r="BF18" s="14">
        <f t="shared" si="37"/>
        <v>9.3817686177978814</v>
      </c>
      <c r="BG18" s="22">
        <f t="shared" si="7"/>
        <v>69.075288808613962</v>
      </c>
      <c r="BH18" s="62">
        <f t="shared" si="8"/>
        <v>362.40862214194726</v>
      </c>
      <c r="BI18" s="62">
        <f ca="1">AVERAGE(OFFSET($BH$3,0,0,'Données projet'!$E$11+1,1))-AVERAGE(OFFSET($H$3,0,0,'Données projet'!$E$11+1,1))</f>
        <v>140.16059323013189</v>
      </c>
      <c r="BJ18" s="62">
        <f t="shared" si="38"/>
        <v>219.0992563594865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2">
        <f t="shared" si="32"/>
        <v>4.0590373158284008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70">
        <f t="shared" si="1"/>
        <v>320.83466332506777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8.1284210526315785</v>
      </c>
      <c r="N19" s="14">
        <f>IF('Données projet'!$A$36&gt;35,N18+M19-V18,IF(A19&lt;'Données projet'!$A$36,$K$205^A19,IF(A19='Données projet'!$A$36,'Données projet'!$B$36,N18+M19-V18)))</f>
        <v>69.689306290040648</v>
      </c>
      <c r="O19" s="14">
        <f>N19*VLOOKUP('Données projet'!$B$9,Paramètres!$A$1:$I$89,3,0)*VLOOKUP('Données projet'!$B$9,Paramètres!$A$1:$I$89,5,0)</f>
        <v>38.956322216132719</v>
      </c>
      <c r="P19" s="14">
        <f t="shared" si="33"/>
        <v>11.721595786972175</v>
      </c>
      <c r="Q19" s="22">
        <f t="shared" si="2"/>
        <v>88.264040522074353</v>
      </c>
      <c r="R19" s="62">
        <f t="shared" si="0"/>
        <v>381.59737385540768</v>
      </c>
      <c r="S19" s="62">
        <f ca="1">AVERAGE(OFFSET($R$3,0,0,'Données projet'!$E$9+1,1))-AVERAGE(OFFSET($H$3,0,0,'Données projet'!$E$9+1,1))</f>
        <v>262.38865315945856</v>
      </c>
      <c r="T19" s="62">
        <f t="shared" si="34"/>
        <v>268.78503805457069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6.5093333333333332</v>
      </c>
      <c r="AI19" s="14">
        <f>IF('Données projet'!$A$62&gt;35,AI18+AH19-AQ18,IF(A19&lt;'Données projet'!$A$62,$AF$205^A19,IF(A19='Données projet'!$A$62,'Données projet'!$B$62,AI18+AH19-AQ18)))</f>
        <v>16.660350816198225</v>
      </c>
      <c r="AJ19" s="14">
        <f>AI19*VLOOKUP('Données projet'!$B$10,Paramètres!$A$1:$I$89,3,0)*VLOOKUP('Données projet'!$B$10,Paramètres!$A$1:$I$89,5,0)</f>
        <v>7.7970441819807697</v>
      </c>
      <c r="AK19" s="14">
        <f t="shared" si="35"/>
        <v>2.8291854022852188</v>
      </c>
      <c r="AL19" s="22">
        <f t="shared" si="4"/>
        <v>18.507349859263261</v>
      </c>
      <c r="AM19" s="62">
        <f t="shared" si="5"/>
        <v>311.8406831925966</v>
      </c>
      <c r="AN19" s="62">
        <f ca="1">AVERAGE(OFFSET($AM$3,0,0,'Données projet'!$E$10+1,1))-AVERAGE(OFFSET($H$3,0,0,'Données projet'!$E$10+1,1))</f>
        <v>199.36309817800088</v>
      </c>
      <c r="AO19" s="62">
        <f t="shared" si="36"/>
        <v>151.91120569748284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6.166666666666667</v>
      </c>
      <c r="BD19" s="13">
        <f>IF('Données projet'!$A$88&gt;35,BD18+BC19-BL18,IF(A19&lt;'Données projet'!$A$88,$BA$205^A19,IF(A19='Données projet'!$A$88,'Données projet'!$B$88,BD18+BC19-BL18)))</f>
        <v>65.775607823455104</v>
      </c>
      <c r="BE19" s="14">
        <f>BD19*VLOOKUP('Données projet'!$B$11,Paramètres!$A$1:$I$89,3,0)*VLOOKUP('Données projet'!$B$11,Paramètres!$A$1:$I$89,5,0)</f>
        <v>39.333813478426158</v>
      </c>
      <c r="BF19" s="14">
        <f t="shared" si="37"/>
        <v>11.821901873283993</v>
      </c>
      <c r="BG19" s="22">
        <f t="shared" si="7"/>
        <v>89.096204237561849</v>
      </c>
      <c r="BH19" s="62">
        <f t="shared" si="8"/>
        <v>382.42953757089515</v>
      </c>
      <c r="BI19" s="62">
        <f ca="1">AVERAGE(OFFSET($BH$3,0,0,'Données projet'!$E$11+1,1))-AVERAGE(OFFSET($H$3,0,0,'Données projet'!$E$11+1,1))</f>
        <v>140.16059323013189</v>
      </c>
      <c r="BJ19" s="62">
        <f t="shared" si="38"/>
        <v>219.0992563594865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2">
        <f t="shared" si="32"/>
        <v>4.2824006291256396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70">
        <f t="shared" si="1"/>
        <v>322.50067776239382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8.1284210526315785</v>
      </c>
      <c r="N20" s="14">
        <f>IF('Données projet'!$A$36&gt;35,N19+M20-V19,IF(A20&lt;'Données projet'!$A$36,$K$205^A20,IF(A20='Données projet'!$A$36,'Données projet'!$B$36,N19+M20-V19)))</f>
        <v>90.858178358655039</v>
      </c>
      <c r="O20" s="14">
        <f>N20*VLOOKUP('Données projet'!$B$9,Paramètres!$A$1:$I$89,3,0)*VLOOKUP('Données projet'!$B$9,Paramètres!$A$1:$I$89,5,0)</f>
        <v>50.789721702488166</v>
      </c>
      <c r="P20" s="14">
        <f t="shared" si="33"/>
        <v>14.817522352379566</v>
      </c>
      <c r="Q20" s="22">
        <f t="shared" si="2"/>
        <v>114.26595006222796</v>
      </c>
      <c r="R20" s="62">
        <f t="shared" si="0"/>
        <v>407.59928339556126</v>
      </c>
      <c r="S20" s="62">
        <f ca="1">AVERAGE(OFFSET($R$3,0,0,'Données projet'!$E$9+1,1))-AVERAGE(OFFSET($H$3,0,0,'Données projet'!$E$9+1,1))</f>
        <v>262.38865315945856</v>
      </c>
      <c r="T20" s="62">
        <f t="shared" si="34"/>
        <v>268.78503805457069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6.5093333333333332</v>
      </c>
      <c r="AI20" s="14">
        <f>IF('Données projet'!$A$62&gt;35,AI19+AH20-AQ19,IF(A20&lt;'Données projet'!$A$62,$AF$205^A20,IF(A20='Données projet'!$A$62,'Données projet'!$B$62,AI19+AH20-AQ19)))</f>
        <v>19.862751121556158</v>
      </c>
      <c r="AJ20" s="14">
        <f>AI20*VLOOKUP('Données projet'!$B$10,Paramètres!$A$1:$I$89,3,0)*VLOOKUP('Données projet'!$B$10,Paramètres!$A$1:$I$89,5,0)</f>
        <v>9.2957675248882818</v>
      </c>
      <c r="AK20" s="14">
        <f t="shared" si="35"/>
        <v>3.3046762200446183</v>
      </c>
      <c r="AL20" s="22">
        <f t="shared" si="4"/>
        <v>21.945772855758133</v>
      </c>
      <c r="AM20" s="62">
        <f t="shared" si="5"/>
        <v>315.27910618909146</v>
      </c>
      <c r="AN20" s="62">
        <f ca="1">AVERAGE(OFFSET($AM$3,0,0,'Données projet'!$E$10+1,1))-AVERAGE(OFFSET($H$3,0,0,'Données projet'!$E$10+1,1))</f>
        <v>199.36309817800088</v>
      </c>
      <c r="AO20" s="62">
        <f t="shared" si="36"/>
        <v>151.91120569748284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6.166666666666667</v>
      </c>
      <c r="BD20" s="13">
        <f>IF('Données projet'!$A$88&gt;35,BD19+BC20-BL19,IF(A20&lt;'Données projet'!$A$88,$BA$205^A20,IF(A20='Données projet'!$A$88,'Données projet'!$B$88,BD19+BC20-BL19)))</f>
        <v>85.44643040176409</v>
      </c>
      <c r="BE20" s="14">
        <f>BD20*VLOOKUP('Données projet'!$B$11,Paramètres!$A$1:$I$89,3,0)*VLOOKUP('Données projet'!$B$11,Paramètres!$A$1:$I$89,5,0)</f>
        <v>51.096965380254936</v>
      </c>
      <c r="BF20" s="14">
        <f t="shared" si="37"/>
        <v>14.896696944372083</v>
      </c>
      <c r="BG20" s="22">
        <f t="shared" si="7"/>
        <v>114.93896188205872</v>
      </c>
      <c r="BH20" s="62">
        <f t="shared" si="8"/>
        <v>408.27229521539203</v>
      </c>
      <c r="BI20" s="62">
        <f ca="1">AVERAGE(OFFSET($BH$3,0,0,'Données projet'!$E$11+1,1))-AVERAGE(OFFSET($H$3,0,0,'Données projet'!$E$11+1,1))</f>
        <v>140.16059323013189</v>
      </c>
      <c r="BJ20" s="62">
        <f t="shared" si="38"/>
        <v>219.0992563594865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2">
        <f t="shared" si="32"/>
        <v>4.504238856327774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70">
        <f t="shared" si="1"/>
        <v>324.16403600810418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8.1284210526315785</v>
      </c>
      <c r="N21" s="14">
        <f>IF('Données projet'!$A$36&gt;35,N20+M21-V20,IF(A21&lt;'Données projet'!$A$36,$K$205^A21,IF(A21='Données projet'!$A$36,'Données projet'!$B$36,N20+M21-V20)))</f>
        <v>118.45732170579704</v>
      </c>
      <c r="O21" s="14">
        <f>N21*VLOOKUP('Données projet'!$B$9,Paramètres!$A$1:$I$89,3,0)*VLOOKUP('Données projet'!$B$9,Paramètres!$A$1:$I$89,5,0)</f>
        <v>66.217642833540552</v>
      </c>
      <c r="P21" s="14">
        <f t="shared" si="33"/>
        <v>18.731149977658681</v>
      </c>
      <c r="Q21" s="22">
        <f t="shared" si="2"/>
        <v>147.95248081283867</v>
      </c>
      <c r="R21" s="62">
        <f t="shared" si="0"/>
        <v>441.28581414617202</v>
      </c>
      <c r="S21" s="62">
        <f ca="1">AVERAGE(OFFSET($R$3,0,0,'Données projet'!$E$9+1,1))-AVERAGE(OFFSET($H$3,0,0,'Données projet'!$E$9+1,1))</f>
        <v>262.38865315945856</v>
      </c>
      <c r="T21" s="62">
        <f t="shared" si="34"/>
        <v>268.78503805457069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6.5093333333333332</v>
      </c>
      <c r="AI21" s="14">
        <f>IF('Données projet'!$A$62&gt;35,AI20+AH21-AQ20,IF(A21&lt;'Données projet'!$A$62,$AF$205^A21,IF(A21='Données projet'!$A$62,'Données projet'!$B$62,AI20+AH21-AQ20)))</f>
        <v>23.680706755183994</v>
      </c>
      <c r="AJ21" s="14">
        <f>AI21*VLOOKUP('Données projet'!$B$10,Paramètres!$A$1:$I$89,3,0)*VLOOKUP('Données projet'!$B$10,Paramètres!$A$1:$I$89,5,0)</f>
        <v>11.08257076142611</v>
      </c>
      <c r="AK21" s="14">
        <f t="shared" si="35"/>
        <v>3.8600810362259259</v>
      </c>
      <c r="AL21" s="22">
        <f t="shared" si="4"/>
        <v>26.025118547577296</v>
      </c>
      <c r="AM21" s="62">
        <f t="shared" si="5"/>
        <v>319.35845188091059</v>
      </c>
      <c r="AN21" s="62">
        <f ca="1">AVERAGE(OFFSET($AM$3,0,0,'Données projet'!$E$10+1,1))-AVERAGE(OFFSET($H$3,0,0,'Données projet'!$E$10+1,1))</f>
        <v>199.36309817800088</v>
      </c>
      <c r="AO21" s="62">
        <f t="shared" si="36"/>
        <v>151.91120569748284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111</v>
      </c>
      <c r="BB21" s="13">
        <f>VLOOKUP(A21,'Données projet'!$A$87:$I$107,9,0)</f>
        <v>6.166666666666667</v>
      </c>
      <c r="BC21" s="13">
        <f t="array" ref="BC21">INDEX(BB:BB,MIN(IF(ISNUMBER(BB21:BB217),ROW(BB21:BB217),"")))</f>
        <v>6.166666666666667</v>
      </c>
      <c r="BD21" s="13">
        <f>IF('Données projet'!$A$88&gt;35,BD20+BC21-BL20,IF(A21&lt;'Données projet'!$A$88,$BA$205^A21,IF(A21='Données projet'!$A$88,'Données projet'!$B$88,BD20+BC21-BL20)))</f>
        <v>111</v>
      </c>
      <c r="BE21" s="14">
        <f>BD21*VLOOKUP('Données projet'!$B$11,Paramètres!$A$1:$I$89,3,0)*VLOOKUP('Données projet'!$B$11,Paramètres!$A$1:$I$89,5,0)</f>
        <v>66.378</v>
      </c>
      <c r="BF21" s="14">
        <f t="shared" si="37"/>
        <v>18.771224988253085</v>
      </c>
      <c r="BG21" s="22">
        <f t="shared" si="7"/>
        <v>148.30156685454077</v>
      </c>
      <c r="BH21" s="62">
        <f t="shared" si="8"/>
        <v>441.63490018787411</v>
      </c>
      <c r="BI21" s="62">
        <f ca="1">AVERAGE(OFFSET($BH$3,0,0,'Données projet'!$E$11+1,1))-AVERAGE(OFFSET($H$3,0,0,'Données projet'!$E$11+1,1))</f>
        <v>140.16059323013189</v>
      </c>
      <c r="BJ21" s="62">
        <f t="shared" si="38"/>
        <v>219.0992563594865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29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1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19.635172503703973</v>
      </c>
      <c r="BS21" s="24">
        <f t="shared" si="9"/>
        <v>19.635172503703973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2">
        <f t="shared" si="32"/>
        <v>4.7246463812124082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70">
        <f t="shared" si="1"/>
        <v>325.82490244727825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154.44</v>
      </c>
      <c r="L22" s="13">
        <f>VLOOKUP(A22,'Données projet'!$A$35:$I$55,9,0)</f>
        <v>8.1284210526315785</v>
      </c>
      <c r="M22" s="13">
        <f t="array" ref="M22">INDEX(L:L,MIN(IF(ISNUMBER(L22:L218),ROW(L22:L218),"")))</f>
        <v>8.1284210526315785</v>
      </c>
      <c r="N22" s="14">
        <f>IF('Données projet'!$A$36&gt;35,N21+M22-V21,IF(A22&lt;'Données projet'!$A$36,$K$205^A22,IF(A22='Données projet'!$A$36,'Données projet'!$B$36,N21+M22-V21)))</f>
        <v>154.44</v>
      </c>
      <c r="O22" s="14">
        <f>N22*VLOOKUP('Données projet'!$B$9,Paramètres!$A$1:$I$89,3,0)*VLOOKUP('Données projet'!$B$9,Paramètres!$A$1:$I$89,5,0)</f>
        <v>86.331959999999995</v>
      </c>
      <c r="P22" s="14">
        <f t="shared" si="33"/>
        <v>23.67845117029286</v>
      </c>
      <c r="Q22" s="22">
        <f t="shared" si="2"/>
        <v>191.60146612159338</v>
      </c>
      <c r="R22" s="62">
        <f t="shared" si="0"/>
        <v>484.93479945492669</v>
      </c>
      <c r="S22" s="62">
        <f ca="1">AVERAGE(OFFSET($R$3,0,0,'Données projet'!$E$9+1,1))-AVERAGE(OFFSET($H$3,0,0,'Données projet'!$E$9+1,1))</f>
        <v>262.38865315945856</v>
      </c>
      <c r="T22" s="62">
        <f t="shared" si="34"/>
        <v>268.78503805457069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5.5000000000000007E-2</v>
      </c>
      <c r="Y22" s="17">
        <f>IF(ISNA(VLOOKUP(A22,'Données projet'!$A$35:$I$55,7,0)),0%,VLOOKUP(A22,'Données projet'!$A$35:$I$55,7,0))</f>
        <v>0.5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6.5093333333333332</v>
      </c>
      <c r="AI22" s="14">
        <f>IF('Données projet'!$A$62&gt;35,AI21+AH22-AQ21,IF(A22&lt;'Données projet'!$A$62,$AF$205^A22,IF(A22='Données projet'!$A$62,'Données projet'!$B$62,AI21+AH22-AQ21)))</f>
        <v>28.232537828882712</v>
      </c>
      <c r="AJ22" s="14">
        <f>AI22*VLOOKUP('Données projet'!$B$10,Paramètres!$A$1:$I$89,3,0)*VLOOKUP('Données projet'!$B$10,Paramètres!$A$1:$I$89,5,0)</f>
        <v>13.21282770391711</v>
      </c>
      <c r="AK22" s="14">
        <f t="shared" si="35"/>
        <v>4.5088307035506903</v>
      </c>
      <c r="AL22" s="22">
        <f t="shared" si="4"/>
        <v>30.865221726339751</v>
      </c>
      <c r="AM22" s="62">
        <f t="shared" si="5"/>
        <v>324.19855505967308</v>
      </c>
      <c r="AN22" s="62">
        <f ca="1">AVERAGE(OFFSET($AM$3,0,0,'Données projet'!$E$10+1,1))-AVERAGE(OFFSET($H$3,0,0,'Données projet'!$E$10+1,1))</f>
        <v>199.36309817800088</v>
      </c>
      <c r="AO22" s="62">
        <f t="shared" si="36"/>
        <v>151.91120569748284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</v>
      </c>
      <c r="BD22" s="13">
        <f>IF('Données projet'!$A$88&gt;35,BD21+BC22-BL21,IF(A22&lt;'Données projet'!$A$88,$BA$205^A22,IF(A22='Données projet'!$A$88,'Données projet'!$B$88,BD21+BC22-BL21)))</f>
        <v>96</v>
      </c>
      <c r="BE22" s="14">
        <f>BD22*VLOOKUP('Données projet'!$B$11,Paramètres!$A$1:$I$89,3,0)*VLOOKUP('Données projet'!$B$11,Paramètres!$A$1:$I$89,5,0)</f>
        <v>57.408000000000008</v>
      </c>
      <c r="BF22" s="14">
        <f t="shared" si="37"/>
        <v>16.511255298579947</v>
      </c>
      <c r="BG22" s="22">
        <f t="shared" si="7"/>
        <v>128.74270297836009</v>
      </c>
      <c r="BH22" s="62">
        <f t="shared" si="8"/>
        <v>422.07603631169343</v>
      </c>
      <c r="BI22" s="62">
        <f ca="1">AVERAGE(OFFSET($BH$3,0,0,'Données projet'!$E$11+1,1))-AVERAGE(OFFSET($H$3,0,0,'Données projet'!$E$11+1,1))</f>
        <v>140.16059323013189</v>
      </c>
      <c r="BJ22" s="62">
        <f t="shared" si="38"/>
        <v>219.0992563594865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13.88416362713672</v>
      </c>
      <c r="BS22" s="24">
        <f t="shared" si="9"/>
        <v>13.88416362713672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2">
        <f t="shared" si="32"/>
        <v>4.9437070912888705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70">
        <f t="shared" si="1"/>
        <v>327.48342318399477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20.355000000000004</v>
      </c>
      <c r="N23" s="14">
        <f>IF('Données projet'!$A$36&gt;35,N22+M23-V22,IF(A23&lt;'Données projet'!$A$36,$K$205^A23,IF(A23='Données projet'!$A$36,'Données projet'!$B$36,N22+M23-V22)))</f>
        <v>174.79500000000002</v>
      </c>
      <c r="O23" s="14">
        <f>N23*VLOOKUP('Données projet'!$B$9,Paramètres!$A$1:$I$89,3,0)*VLOOKUP('Données projet'!$B$9,Paramètres!$A$1:$I$89,5,0)</f>
        <v>97.710405000000009</v>
      </c>
      <c r="P23" s="14">
        <f t="shared" si="33"/>
        <v>26.41579998765167</v>
      </c>
      <c r="Q23" s="22">
        <f t="shared" si="2"/>
        <v>216.18647368682664</v>
      </c>
      <c r="R23" s="62">
        <f t="shared" si="0"/>
        <v>509.51980702015999</v>
      </c>
      <c r="S23" s="62">
        <f ca="1">AVERAGE(OFFSET($R$3,0,0,'Données projet'!$E$9+1,1))-AVERAGE(OFFSET($H$3,0,0,'Données projet'!$E$9+1,1))</f>
        <v>262.38865315945856</v>
      </c>
      <c r="T23" s="62">
        <f t="shared" si="34"/>
        <v>268.78503805457069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6.5093333333333332</v>
      </c>
      <c r="AI23" s="14">
        <f>IF('Données projet'!$A$62&gt;35,AI22+AH23-AQ22,IF(A23&lt;'Données projet'!$A$62,$AF$205^A23,IF(A23='Données projet'!$A$62,'Données projet'!$B$62,AI22+AH23-AQ22)))</f>
        <v>33.659307574711804</v>
      </c>
      <c r="AJ23" s="14">
        <f>AI23*VLOOKUP('Données projet'!$B$10,Paramètres!$A$1:$I$89,3,0)*VLOOKUP('Données projet'!$B$10,Paramètres!$A$1:$I$89,5,0)</f>
        <v>15.752555944965124</v>
      </c>
      <c r="AK23" s="14">
        <f t="shared" si="35"/>
        <v>5.2666133489150813</v>
      </c>
      <c r="AL23" s="22">
        <f t="shared" si="4"/>
        <v>36.608386520174683</v>
      </c>
      <c r="AM23" s="62">
        <f t="shared" si="5"/>
        <v>329.941719853508</v>
      </c>
      <c r="AN23" s="62">
        <f ca="1">AVERAGE(OFFSET($AM$3,0,0,'Données projet'!$E$10+1,1))-AVERAGE(OFFSET($H$3,0,0,'Données projet'!$E$10+1,1))</f>
        <v>199.36309817800088</v>
      </c>
      <c r="AO23" s="62">
        <f t="shared" si="36"/>
        <v>151.91120569748284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14</v>
      </c>
      <c r="BD23" s="13">
        <f>IF('Données projet'!$A$88&gt;35,BD22+BC23-BL22,IF(A23&lt;'Données projet'!$A$88,$BA$205^A23,IF(A23='Données projet'!$A$88,'Données projet'!$B$88,BD22+BC23-BL22)))</f>
        <v>110</v>
      </c>
      <c r="BE23" s="14">
        <f>BD23*VLOOKUP('Données projet'!$B$11,Paramètres!$A$1:$I$89,3,0)*VLOOKUP('Données projet'!$B$11,Paramètres!$A$1:$I$89,5,0)</f>
        <v>65.78</v>
      </c>
      <c r="BF23" s="14">
        <f t="shared" si="37"/>
        <v>18.621720661480644</v>
      </c>
      <c r="BG23" s="22">
        <f t="shared" si="7"/>
        <v>146.99966348541213</v>
      </c>
      <c r="BH23" s="62">
        <f t="shared" si="8"/>
        <v>440.33299681874541</v>
      </c>
      <c r="BI23" s="62">
        <f ca="1">AVERAGE(OFFSET($BH$3,0,0,'Données projet'!$E$11+1,1))-AVERAGE(OFFSET($H$3,0,0,'Données projet'!$E$11+1,1))</f>
        <v>140.16059323013189</v>
      </c>
      <c r="BJ23" s="62">
        <f t="shared" si="38"/>
        <v>219.0992563594865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9.8175862518519867</v>
      </c>
      <c r="BS23" s="24">
        <f t="shared" si="9"/>
        <v>9.8175862518519867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2">
        <f t="shared" si="32"/>
        <v>5.1614960114392687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70">
        <f t="shared" si="1"/>
        <v>329.13972888659004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195.15</v>
      </c>
      <c r="L24" s="13">
        <f>VLOOKUP(A24,'Données projet'!$A$35:$I$55,9,0)</f>
        <v>20.355000000000004</v>
      </c>
      <c r="M24" s="13">
        <f t="array" ref="M24">INDEX(L:L,MIN(IF(ISNUMBER(L24:L220),ROW(L24:L220),"")))</f>
        <v>20.355000000000004</v>
      </c>
      <c r="N24" s="14">
        <f>IF('Données projet'!$A$36&gt;35,N23+M24-V23,IF(A24&lt;'Données projet'!$A$36,$K$205^A24,IF(A24='Données projet'!$A$36,'Données projet'!$B$36,N23+M24-V23)))</f>
        <v>195.15000000000003</v>
      </c>
      <c r="O24" s="14">
        <f>N24*VLOOKUP('Données projet'!$B$9,Paramètres!$A$1:$I$89,3,0)*VLOOKUP('Données projet'!$B$9,Paramètres!$A$1:$I$89,5,0)</f>
        <v>109.08885000000002</v>
      </c>
      <c r="P24" s="14">
        <f t="shared" si="33"/>
        <v>29.116206715124498</v>
      </c>
      <c r="Q24" s="22">
        <f t="shared" si="2"/>
        <v>240.70714044550854</v>
      </c>
      <c r="R24" s="62">
        <f t="shared" si="0"/>
        <v>534.04047377884183</v>
      </c>
      <c r="S24" s="62">
        <f ca="1">AVERAGE(OFFSET($R$3,0,0,'Données projet'!$E$9+1,1))-AVERAGE(OFFSET($H$3,0,0,'Données projet'!$E$9+1,1))</f>
        <v>262.38865315945856</v>
      </c>
      <c r="T24" s="62">
        <f t="shared" si="34"/>
        <v>268.78503805457069</v>
      </c>
      <c r="U24" s="16">
        <f>IF(ISNA(VLOOKUP(A24,'Données projet'!$A$35:$I$55,3,0)),0,VLOOKUP(A24,'Données projet'!$A$35:$I$55,3,0))</f>
        <v>2</v>
      </c>
      <c r="V24" s="16">
        <f>IF(ISNA(VLOOKUP(A24,'Données projet'!$A$35:$I$55,4,0)),0,VLOOKUP(A24,'Données projet'!$A$35:$I$55,4,0))</f>
        <v>64.58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5.5000000000000007E-2</v>
      </c>
      <c r="Y24" s="17">
        <f>IF(ISNA(VLOOKUP(A24,'Données projet'!$A$35:$I$55,7,0)),0%,VLOOKUP(A24,'Données projet'!$A$35:$I$55,7,0))</f>
        <v>0.5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2.6235390713119866</v>
      </c>
      <c r="AB24" s="23">
        <f>EXP(-LN(2)/2)*AB23+(1-EXP(-LN(2)/2))/(LN(2)/2)*V24*Y24*VLOOKUP('Données projet'!$B$9,Paramètres!$A$1:$I$89,3,0)*0.475*44/12</f>
        <v>20.436917515905439</v>
      </c>
      <c r="AC24" s="24">
        <f t="shared" si="3"/>
        <v>23.060456587217423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6.5093333333333332</v>
      </c>
      <c r="AI24" s="14">
        <f>IF('Données projet'!$A$62&gt;35,AI23+AH24-AQ23,IF(A24&lt;'Données projet'!$A$62,$AF$205^A24,IF(A24='Données projet'!$A$62,'Données projet'!$B$62,AI23+AH24-AQ23)))</f>
        <v>40.129193956131395</v>
      </c>
      <c r="AJ24" s="14">
        <f>AI24*VLOOKUP('Données projet'!$B$10,Paramètres!$A$1:$I$89,3,0)*VLOOKUP('Données projet'!$B$10,Paramètres!$A$1:$I$89,5,0)</f>
        <v>18.780462771469494</v>
      </c>
      <c r="AK24" s="14">
        <f t="shared" si="35"/>
        <v>6.1517537451844344</v>
      </c>
      <c r="AL24" s="22">
        <f t="shared" si="4"/>
        <v>43.423610433172257</v>
      </c>
      <c r="AM24" s="62">
        <f t="shared" si="5"/>
        <v>336.75694376650557</v>
      </c>
      <c r="AN24" s="62">
        <f ca="1">AVERAGE(OFFSET($AM$3,0,0,'Données projet'!$E$10+1,1))-AVERAGE(OFFSET($H$3,0,0,'Données projet'!$E$10+1,1))</f>
        <v>199.36309817800088</v>
      </c>
      <c r="AO24" s="62">
        <f t="shared" si="36"/>
        <v>151.91120569748284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</v>
      </c>
      <c r="BD24" s="13">
        <f>IF('Données projet'!$A$88&gt;35,BD23+BC24-BL23,IF(A24&lt;'Données projet'!$A$88,$BA$205^A24,IF(A24='Données projet'!$A$88,'Données projet'!$B$88,BD23+BC24-BL23)))</f>
        <v>124</v>
      </c>
      <c r="BE24" s="14">
        <f>BD24*VLOOKUP('Données projet'!$B$11,Paramètres!$A$1:$I$89,3,0)*VLOOKUP('Données projet'!$B$11,Paramètres!$A$1:$I$89,5,0)</f>
        <v>74.152000000000001</v>
      </c>
      <c r="BF24" s="14">
        <f t="shared" si="37"/>
        <v>20.701062284590879</v>
      </c>
      <c r="BG24" s="22">
        <f t="shared" si="7"/>
        <v>165.20241681232909</v>
      </c>
      <c r="BH24" s="62">
        <f t="shared" si="8"/>
        <v>458.5357501456624</v>
      </c>
      <c r="BI24" s="62">
        <f ca="1">AVERAGE(OFFSET($BH$3,0,0,'Données projet'!$E$11+1,1))-AVERAGE(OFFSET($H$3,0,0,'Données projet'!$E$11+1,1))</f>
        <v>140.16059323013189</v>
      </c>
      <c r="BJ24" s="62">
        <f t="shared" si="38"/>
        <v>219.0992563594865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6.9420818135683602</v>
      </c>
      <c r="BS24" s="24">
        <f t="shared" si="9"/>
        <v>6.9420818135683602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2">
        <f t="shared" si="32"/>
        <v>5.3780806175732732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70">
        <f t="shared" si="1"/>
        <v>330.79393707560678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21.612857142857145</v>
      </c>
      <c r="N25" s="14">
        <f>IF('Données projet'!$A$36&gt;35,N24+M25-V24,IF(A25&lt;'Données projet'!$A$36,$K$205^A25,IF(A25='Données projet'!$A$36,'Données projet'!$B$36,N24+M25-V24)))</f>
        <v>152.18285714285719</v>
      </c>
      <c r="O25" s="14">
        <f>N25*VLOOKUP('Données projet'!$B$9,Paramètres!$A$1:$I$89,3,0)*VLOOKUP('Données projet'!$B$9,Paramètres!$A$1:$I$89,5,0)</f>
        <v>85.070217142857175</v>
      </c>
      <c r="P25" s="14">
        <f t="shared" si="33"/>
        <v>23.372410230575955</v>
      </c>
      <c r="Q25" s="22">
        <f t="shared" si="2"/>
        <v>188.87090934206267</v>
      </c>
      <c r="R25" s="62">
        <f t="shared" si="0"/>
        <v>482.20424267539602</v>
      </c>
      <c r="S25" s="62">
        <f ca="1">AVERAGE(OFFSET($R$3,0,0,'Données projet'!$E$9+1,1))-AVERAGE(OFFSET($H$3,0,0,'Données projet'!$E$9+1,1))</f>
        <v>262.38865315945856</v>
      </c>
      <c r="T25" s="62">
        <f t="shared" si="34"/>
        <v>268.78503805457069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2.5517982574410367</v>
      </c>
      <c r="AB25" s="23">
        <f>EXP(-LN(2)/2)*AB24+(1-EXP(-LN(2)/2))/(LN(2)/2)*V25*Y25*VLOOKUP('Données projet'!$B$9,Paramètres!$A$1:$I$89,3,0)*0.475*44/12</f>
        <v>14.451082962046868</v>
      </c>
      <c r="AC25" s="24">
        <f t="shared" si="3"/>
        <v>17.002881219487904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6.5093333333333332</v>
      </c>
      <c r="AI25" s="14">
        <f>IF('Données projet'!$A$62&gt;35,AI24+AH25-AQ24,IF(A25&lt;'Données projet'!$A$62,$AF$205^A25,IF(A25='Données projet'!$A$62,'Données projet'!$B$62,AI24+AH25-AQ24)))</f>
        <v>47.84270157650743</v>
      </c>
      <c r="AJ25" s="14">
        <f>AI25*VLOOKUP('Données projet'!$B$10,Paramètres!$A$1:$I$89,3,0)*VLOOKUP('Données projet'!$B$10,Paramètres!$A$1:$I$89,5,0)</f>
        <v>22.390384337805479</v>
      </c>
      <c r="AK25" s="14">
        <f t="shared" si="35"/>
        <v>7.1856564426144116</v>
      </c>
      <c r="AL25" s="22">
        <f t="shared" si="4"/>
        <v>51.511604359231313</v>
      </c>
      <c r="AM25" s="62">
        <f t="shared" si="5"/>
        <v>344.8449376925646</v>
      </c>
      <c r="AN25" s="62">
        <f ca="1">AVERAGE(OFFSET($AM$3,0,0,'Données projet'!$E$10+1,1))-AVERAGE(OFFSET($H$3,0,0,'Données projet'!$E$10+1,1))</f>
        <v>199.36309817800088</v>
      </c>
      <c r="AO25" s="62">
        <f t="shared" si="36"/>
        <v>151.91120569748284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</v>
      </c>
      <c r="BD25" s="13">
        <f>IF('Données projet'!$A$88&gt;35,BD24+BC25-BL24,IF(A25&lt;'Données projet'!$A$88,$BA$205^A25,IF(A25='Données projet'!$A$88,'Données projet'!$B$88,BD24+BC25-BL24)))</f>
        <v>138</v>
      </c>
      <c r="BE25" s="14">
        <f>BD25*VLOOKUP('Données projet'!$B$11,Paramètres!$A$1:$I$89,3,0)*VLOOKUP('Données projet'!$B$11,Paramètres!$A$1:$I$89,5,0)</f>
        <v>82.524000000000001</v>
      </c>
      <c r="BF25" s="14">
        <f t="shared" si="37"/>
        <v>22.753195154502869</v>
      </c>
      <c r="BG25" s="22">
        <f t="shared" si="7"/>
        <v>183.35778156075915</v>
      </c>
      <c r="BH25" s="62">
        <f t="shared" si="8"/>
        <v>476.69111489409249</v>
      </c>
      <c r="BI25" s="62">
        <f ca="1">AVERAGE(OFFSET($BH$3,0,0,'Données projet'!$E$11+1,1))-AVERAGE(OFFSET($H$3,0,0,'Données projet'!$E$11+1,1))</f>
        <v>140.16059323013189</v>
      </c>
      <c r="BJ25" s="62">
        <f t="shared" si="38"/>
        <v>219.0992563594865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4.9087931259259934</v>
      </c>
      <c r="BS25" s="24">
        <f t="shared" si="9"/>
        <v>4.9087931259259934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2">
        <f t="shared" si="32"/>
        <v>5.5935219046849918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70">
        <f t="shared" si="1"/>
        <v>332.44615398399299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21.612857142857145</v>
      </c>
      <c r="N26" s="14">
        <f>IF('Données projet'!$A$36&gt;35,N25+M26-V25,IF(A26&lt;'Données projet'!$A$36,$K$205^A26,IF(A26='Données projet'!$A$36,'Données projet'!$B$36,N25+M26-V25)))</f>
        <v>173.79571428571433</v>
      </c>
      <c r="O26" s="14">
        <f>N26*VLOOKUP('Données projet'!$B$9,Paramètres!$A$1:$I$89,3,0)*VLOOKUP('Données projet'!$B$9,Paramètres!$A$1:$I$89,5,0)</f>
        <v>97.15180428571432</v>
      </c>
      <c r="P26" s="14">
        <f t="shared" si="33"/>
        <v>26.282317303127122</v>
      </c>
      <c r="Q26" s="22">
        <f t="shared" si="2"/>
        <v>214.98109510056551</v>
      </c>
      <c r="R26" s="62">
        <f t="shared" si="0"/>
        <v>508.3144284338988</v>
      </c>
      <c r="S26" s="62">
        <f ca="1">AVERAGE(OFFSET($R$3,0,0,'Données projet'!$E$9+1,1))-AVERAGE(OFFSET($H$3,0,0,'Données projet'!$E$9+1,1))</f>
        <v>262.38865315945856</v>
      </c>
      <c r="T26" s="62">
        <f t="shared" si="34"/>
        <v>268.78503805457069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2.4820191998980734</v>
      </c>
      <c r="AB26" s="23">
        <f>EXP(-LN(2)/2)*AB25+(1-EXP(-LN(2)/2))/(LN(2)/2)*V26*Y26*VLOOKUP('Données projet'!$B$9,Paramètres!$A$1:$I$89,3,0)*0.475*44/12</f>
        <v>10.218458757952721</v>
      </c>
      <c r="AC26" s="24">
        <f t="shared" si="3"/>
        <v>12.700477957850794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6.5093333333333332</v>
      </c>
      <c r="AI26" s="14">
        <f>IF('Données projet'!$A$62&gt;35,AI25+AH26-AQ25,IF(A26&lt;'Données projet'!$A$62,$AF$205^A26,IF(A26='Données projet'!$A$62,'Données projet'!$B$62,AI25+AH26-AQ25)))</f>
        <v>57.038875404299468</v>
      </c>
      <c r="AJ26" s="14">
        <f>AI26*VLOOKUP('Données projet'!$B$10,Paramètres!$A$1:$I$89,3,0)*VLOOKUP('Données projet'!$B$10,Paramètres!$A$1:$I$89,5,0)</f>
        <v>26.694193689212153</v>
      </c>
      <c r="AK26" s="14">
        <f t="shared" si="35"/>
        <v>8.3933233757454229</v>
      </c>
      <c r="AL26" s="22">
        <f t="shared" si="4"/>
        <v>61.110758888134434</v>
      </c>
      <c r="AM26" s="62">
        <f t="shared" si="5"/>
        <v>354.44409222146777</v>
      </c>
      <c r="AN26" s="62">
        <f ca="1">AVERAGE(OFFSET($AM$3,0,0,'Données projet'!$E$10+1,1))-AVERAGE(OFFSET($H$3,0,0,'Données projet'!$E$10+1,1))</f>
        <v>199.36309817800088</v>
      </c>
      <c r="AO26" s="62">
        <f t="shared" si="36"/>
        <v>151.91120569748284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</v>
      </c>
      <c r="BD26" s="13">
        <f>IF('Données projet'!$A$88&gt;35,BD25+BC26-BL25,IF(A26&lt;'Données projet'!$A$88,$BA$205^A26,IF(A26='Données projet'!$A$88,'Données projet'!$B$88,BD25+BC26-BL25)))</f>
        <v>152</v>
      </c>
      <c r="BE26" s="14">
        <f>BD26*VLOOKUP('Données projet'!$B$11,Paramètres!$A$1:$I$89,3,0)*VLOOKUP('Données projet'!$B$11,Paramètres!$A$1:$I$89,5,0)</f>
        <v>90.896000000000001</v>
      </c>
      <c r="BF26" s="14">
        <f t="shared" si="37"/>
        <v>24.781193872187952</v>
      </c>
      <c r="BG26" s="22">
        <f t="shared" si="7"/>
        <v>201.47111266072736</v>
      </c>
      <c r="BH26" s="62">
        <f t="shared" si="8"/>
        <v>494.80444599406064</v>
      </c>
      <c r="BI26" s="62">
        <f ca="1">AVERAGE(OFFSET($BH$3,0,0,'Données projet'!$E$11+1,1))-AVERAGE(OFFSET($H$3,0,0,'Données projet'!$E$11+1,1))</f>
        <v>140.16059323013189</v>
      </c>
      <c r="BJ26" s="62">
        <f t="shared" si="38"/>
        <v>219.0992563594865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3.4710409067841801</v>
      </c>
      <c r="BS26" s="24">
        <f t="shared" si="9"/>
        <v>3.4710409067841801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2">
        <f t="shared" si="32"/>
        <v>5.8078752639195086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70">
        <f t="shared" si="1"/>
        <v>334.0964760846598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21.612857142857145</v>
      </c>
      <c r="N27" s="14">
        <f>IF('Données projet'!$A$36&gt;35,N26+M27-V26,IF(A27&lt;'Données projet'!$A$36,$K$205^A27,IF(A27='Données projet'!$A$36,'Données projet'!$B$36,N26+M27-V26)))</f>
        <v>195.40857142857146</v>
      </c>
      <c r="O27" s="14">
        <f>N27*VLOOKUP('Données projet'!$B$9,Paramètres!$A$1:$I$89,3,0)*VLOOKUP('Données projet'!$B$9,Paramètres!$A$1:$I$89,5,0)</f>
        <v>109.23339142857145</v>
      </c>
      <c r="P27" s="14">
        <f t="shared" si="33"/>
        <v>29.150292163037918</v>
      </c>
      <c r="Q27" s="22">
        <f t="shared" si="2"/>
        <v>241.018248922053</v>
      </c>
      <c r="R27" s="62">
        <f t="shared" si="0"/>
        <v>534.35158225538635</v>
      </c>
      <c r="S27" s="62">
        <f ca="1">AVERAGE(OFFSET($R$3,0,0,'Données projet'!$E$9+1,1))-AVERAGE(OFFSET($H$3,0,0,'Données projet'!$E$9+1,1))</f>
        <v>262.38865315945856</v>
      </c>
      <c r="T27" s="62">
        <f t="shared" si="34"/>
        <v>268.78503805457069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2.4141482543531434</v>
      </c>
      <c r="AB27" s="23">
        <f>EXP(-LN(2)/2)*AB26+(1-EXP(-LN(2)/2))/(LN(2)/2)*V27*Y27*VLOOKUP('Données projet'!$B$9,Paramètres!$A$1:$I$89,3,0)*0.475*44/12</f>
        <v>7.2255414810234351</v>
      </c>
      <c r="AC27" s="24">
        <f t="shared" si="3"/>
        <v>9.639689735376578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6.5093333333333332</v>
      </c>
      <c r="AI27" s="14">
        <f>IF('Données projet'!$A$62&gt;35,AI26+AH27-AQ26,IF(A27&lt;'Données projet'!$A$62,$AF$205^A27,IF(A27='Données projet'!$A$62,'Données projet'!$B$62,AI26+AH27-AQ26)))</f>
        <v>68.002708880987569</v>
      </c>
      <c r="AJ27" s="14">
        <f>AI27*VLOOKUP('Données projet'!$B$10,Paramètres!$A$1:$I$89,3,0)*VLOOKUP('Données projet'!$B$10,Paramètres!$A$1:$I$89,5,0)</f>
        <v>31.825267756302182</v>
      </c>
      <c r="AK27" s="14">
        <f t="shared" si="35"/>
        <v>9.803958462590094</v>
      </c>
      <c r="AL27" s="22">
        <f t="shared" si="4"/>
        <v>72.504235664570714</v>
      </c>
      <c r="AM27" s="62">
        <f t="shared" si="5"/>
        <v>365.83756899790404</v>
      </c>
      <c r="AN27" s="62">
        <f ca="1">AVERAGE(OFFSET($AM$3,0,0,'Données projet'!$E$10+1,1))-AVERAGE(OFFSET($H$3,0,0,'Données projet'!$E$10+1,1))</f>
        <v>199.36309817800088</v>
      </c>
      <c r="AO27" s="62">
        <f t="shared" si="36"/>
        <v>151.91120569748284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>
        <f>VLOOKUP(A27,'Données projet'!$A$87:$I$107,2,0)</f>
        <v>166</v>
      </c>
      <c r="BB27" s="13">
        <f>VLOOKUP(A27,'Données projet'!$A$87:$I$107,9,0)</f>
        <v>14</v>
      </c>
      <c r="BC27" s="13">
        <f t="array" ref="BC27">INDEX(BB:BB,MIN(IF(ISNUMBER(BB27:BB223),ROW(BB27:BB223),"")))</f>
        <v>14</v>
      </c>
      <c r="BD27" s="13">
        <f>IF('Données projet'!$A$88&gt;35,BD26+BC27-BL26,IF(A27&lt;'Données projet'!$A$88,$BA$205^A27,IF(A27='Données projet'!$A$88,'Données projet'!$B$88,BD26+BC27-BL26)))</f>
        <v>166</v>
      </c>
      <c r="BE27" s="14">
        <f>BD27*VLOOKUP('Données projet'!$B$11,Paramètres!$A$1:$I$89,3,0)*VLOOKUP('Données projet'!$B$11,Paramètres!$A$1:$I$89,5,0)</f>
        <v>99.268000000000001</v>
      </c>
      <c r="BF27" s="14">
        <f t="shared" si="37"/>
        <v>26.78753414535981</v>
      </c>
      <c r="BG27" s="22">
        <f t="shared" si="7"/>
        <v>219.54672196983498</v>
      </c>
      <c r="BH27" s="62">
        <f t="shared" si="8"/>
        <v>512.88005530316832</v>
      </c>
      <c r="BI27" s="62">
        <f ca="1">AVERAGE(OFFSET($BH$3,0,0,'Données projet'!$E$11+1,1))-AVERAGE(OFFSET($H$3,0,0,'Données projet'!$E$11+1,1))</f>
        <v>140.16059323013189</v>
      </c>
      <c r="BJ27" s="62">
        <f t="shared" si="38"/>
        <v>219.0992563594865</v>
      </c>
      <c r="BK27" s="16">
        <f>IF(ISNA(VLOOKUP(A27,'Données projet'!$A$87:$I$107,3,0)),0,VLOOKUP(A27,'Données projet'!$A$87:$I$107,3,0))</f>
        <v>2</v>
      </c>
      <c r="BL27" s="16">
        <f>IF(ISNA(VLOOKUP(A27,'Données projet'!$A$87:$I$107,4,0)),0,VLOOKUP(A27,'Données projet'!$A$87:$I$107,4,0))</f>
        <v>38</v>
      </c>
      <c r="BM27" s="17">
        <f>IF(ISNA(VLOOKUP(A27,'Données projet'!$A$87:$I$107,5,0)),0%,VLOOKUP(A27,'Données projet'!$A$87:$I$107,5,0)*VLOOKUP('Données projet'!$B$11,Paramètres!$A$1:$I$89,7,0))</f>
        <v>9.0000000000000011E-2</v>
      </c>
      <c r="BN27" s="17">
        <f>IF(ISNA(VLOOKUP(A27,'Données projet'!$A$87:$I$107,6,0)),0%,VLOOKUP(A27,'Données projet'!$A$87:$I$107,6,0)*VLOOKUP('Données projet'!$B$11,Paramètres!$A$1:$I$89,7,0))</f>
        <v>0.22500000000000001</v>
      </c>
      <c r="BO27" s="17">
        <f>IF(ISNA(VLOOKUP(A27,'Données projet'!$A$87:$I$107,7,0)),0%,VLOOKUP(A27,'Données projet'!$A$87:$I$107,7,0))</f>
        <v>0.3</v>
      </c>
      <c r="BP27" s="23">
        <f>EXP(-LN(2)/35)*BP26+(1-EXP(-LN(2)/35))/(LN(2)/35)*BL27*BM27*VLOOKUP('Données projet'!$B$11,Paramètres!$A$1:$I$89,3,0)*0.475*44/12</f>
        <v>2.7130365616867302</v>
      </c>
      <c r="BQ27" s="23">
        <f>EXP(-LN(2)/25)*BQ26+(1-EXP(-LN(2)/25))/(LN(2)/25)*Calculateur!BL27*Calculateur!BN27*VLOOKUP('Données projet'!$B$11,Paramètres!$A$1:$I$89,3,0)*0.475*44/12</f>
        <v>6.7558857574884863</v>
      </c>
      <c r="BR27" s="23">
        <f>EXP(-LN(2)/2)*BR26+(1-EXP(-LN(2)/2))/(LN(2)/2)*BL27*BO27*VLOOKUP('Données projet'!$B$11,Paramètres!$A$1:$I$89,3,0)*0.475*44/12</f>
        <v>10.173050581660421</v>
      </c>
      <c r="BS27" s="24">
        <f t="shared" si="9"/>
        <v>19.64197290083564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2">
        <f t="shared" si="32"/>
        <v>6.0211912093426747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70">
        <f t="shared" si="1"/>
        <v>335.74499135627178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21.612857142857145</v>
      </c>
      <c r="N28" s="14">
        <f>IF('Données projet'!$A$36&gt;35,N27+M28-V27,IF(A28&lt;'Données projet'!$A$36,$K$205^A28,IF(A28='Données projet'!$A$36,'Données projet'!$B$36,N27+M28-V27)))</f>
        <v>217.0214285714286</v>
      </c>
      <c r="O28" s="14">
        <f>N28*VLOOKUP('Données projet'!$B$9,Paramètres!$A$1:$I$89,3,0)*VLOOKUP('Données projet'!$B$9,Paramètres!$A$1:$I$89,5,0)</f>
        <v>121.31497857142858</v>
      </c>
      <c r="P28" s="14">
        <f t="shared" si="33"/>
        <v>31.981501643962339</v>
      </c>
      <c r="Q28" s="22">
        <f t="shared" si="2"/>
        <v>266.99136970847246</v>
      </c>
      <c r="R28" s="62">
        <f t="shared" si="0"/>
        <v>560.32470304180583</v>
      </c>
      <c r="S28" s="62">
        <f ca="1">AVERAGE(OFFSET($R$3,0,0,'Données projet'!$E$9+1,1))-AVERAGE(OFFSET($H$3,0,0,'Données projet'!$E$9+1,1))</f>
        <v>262.38865315945856</v>
      </c>
      <c r="T28" s="62">
        <f t="shared" si="34"/>
        <v>268.78503805457069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2.3481332433833177</v>
      </c>
      <c r="AB28" s="23">
        <f>EXP(-LN(2)/2)*AB27+(1-EXP(-LN(2)/2))/(LN(2)/2)*V28*Y28*VLOOKUP('Données projet'!$B$9,Paramètres!$A$1:$I$89,3,0)*0.475*44/12</f>
        <v>5.1092293789763614</v>
      </c>
      <c r="AC28" s="24">
        <f t="shared" si="3"/>
        <v>7.4573626223596792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6.5093333333333332</v>
      </c>
      <c r="AI28" s="14">
        <f>IF('Données projet'!$A$62&gt;35,AI27+AH28-AQ27,IF(A28&lt;'Données projet'!$A$62,$AF$205^A28,IF(A28='Données projet'!$A$62,'Données projet'!$B$62,AI27+AH28-AQ27)))</f>
        <v>81.073975992236512</v>
      </c>
      <c r="AJ28" s="14">
        <f>AI28*VLOOKUP('Données projet'!$B$10,Paramètres!$A$1:$I$89,3,0)*VLOOKUP('Données projet'!$B$10,Paramètres!$A$1:$I$89,5,0)</f>
        <v>37.942620764366687</v>
      </c>
      <c r="AK28" s="14">
        <f t="shared" si="35"/>
        <v>11.451673816589436</v>
      </c>
      <c r="AL28" s="22">
        <f t="shared" si="4"/>
        <v>86.028396395165245</v>
      </c>
      <c r="AM28" s="62">
        <f t="shared" si="5"/>
        <v>379.36172972849857</v>
      </c>
      <c r="AN28" s="62">
        <f ca="1">AVERAGE(OFFSET($AM$3,0,0,'Données projet'!$E$10+1,1))-AVERAGE(OFFSET($H$3,0,0,'Données projet'!$E$10+1,1))</f>
        <v>199.36309817800088</v>
      </c>
      <c r="AO28" s="62">
        <f t="shared" si="36"/>
        <v>151.91120569748284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12.833333333333334</v>
      </c>
      <c r="BD28" s="13">
        <f>IF('Données projet'!$A$88&gt;35,BD27+BC28-BL27,IF(A28&lt;'Données projet'!$A$88,$BA$205^A28,IF(A28='Données projet'!$A$88,'Données projet'!$B$88,BD27+BC28-BL27)))</f>
        <v>140.83333333333334</v>
      </c>
      <c r="BE28" s="14">
        <f>BD28*VLOOKUP('Données projet'!$B$11,Paramètres!$A$1:$I$89,3,0)*VLOOKUP('Données projet'!$B$11,Paramètres!$A$1:$I$89,5,0)</f>
        <v>84.218333333333348</v>
      </c>
      <c r="BF28" s="14">
        <f t="shared" si="37"/>
        <v>23.165483776806148</v>
      </c>
      <c r="BG28" s="22">
        <f t="shared" si="7"/>
        <v>187.0268148001596</v>
      </c>
      <c r="BH28" s="62">
        <f t="shared" si="8"/>
        <v>480.36014813349288</v>
      </c>
      <c r="BI28" s="62">
        <f ca="1">AVERAGE(OFFSET($BH$3,0,0,'Données projet'!$E$11+1,1))-AVERAGE(OFFSET($H$3,0,0,'Données projet'!$E$11+1,1))</f>
        <v>140.16059323013189</v>
      </c>
      <c r="BJ28" s="62">
        <f t="shared" si="38"/>
        <v>219.0992563594865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2.6598355695009595</v>
      </c>
      <c r="BQ28" s="23">
        <f>EXP(-LN(2)/25)*BQ27+(1-EXP(-LN(2)/25))/(LN(2)/25)*Calculateur!BL28*Calculateur!BN28*VLOOKUP('Données projet'!$B$11,Paramètres!$A$1:$I$89,3,0)*0.475*44/12</f>
        <v>6.5711457061733727</v>
      </c>
      <c r="BR28" s="23">
        <f>EXP(-LN(2)/2)*BR27+(1-EXP(-LN(2)/2))/(LN(2)/2)*BL28*BO28*VLOOKUP('Données projet'!$B$11,Paramètres!$A$1:$I$89,3,0)*0.475*44/12</f>
        <v>7.1934330516458358</v>
      </c>
      <c r="BS28" s="24">
        <f t="shared" si="9"/>
        <v>16.424414327320168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2">
        <f t="shared" si="32"/>
        <v>6.2335159851544919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70">
        <f t="shared" si="1"/>
        <v>337.39178034081073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21.612857142857145</v>
      </c>
      <c r="N29" s="14">
        <f>IF('Données projet'!$A$36&gt;35,N28+M29-V28,IF(A29&lt;'Données projet'!$A$36,$K$205^A29,IF(A29='Données projet'!$A$36,'Données projet'!$B$36,N28+M29-V28)))</f>
        <v>238.63428571428574</v>
      </c>
      <c r="O29" s="14">
        <f>N29*VLOOKUP('Données projet'!$B$9,Paramètres!$A$1:$I$89,3,0)*VLOOKUP('Données projet'!$B$9,Paramètres!$A$1:$I$89,5,0)</f>
        <v>133.39656571428571</v>
      </c>
      <c r="P29" s="14">
        <f t="shared" si="33"/>
        <v>34.780023938654864</v>
      </c>
      <c r="Q29" s="22">
        <f t="shared" si="2"/>
        <v>292.90756031220479</v>
      </c>
      <c r="R29" s="62">
        <f t="shared" si="0"/>
        <v>586.24089364553811</v>
      </c>
      <c r="S29" s="62">
        <f ca="1">AVERAGE(OFFSET($R$3,0,0,'Données projet'!$E$9+1,1))-AVERAGE(OFFSET($H$3,0,0,'Données projet'!$E$9+1,1))</f>
        <v>262.38865315945856</v>
      </c>
      <c r="T29" s="62">
        <f t="shared" si="34"/>
        <v>268.78503805457069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2.2839234163600404</v>
      </c>
      <c r="AB29" s="23">
        <f>EXP(-LN(2)/2)*AB28+(1-EXP(-LN(2)/2))/(LN(2)/2)*V29*Y29*VLOOKUP('Données projet'!$B$9,Paramètres!$A$1:$I$89,3,0)*0.475*44/12</f>
        <v>3.6127707405117184</v>
      </c>
      <c r="AC29" s="24">
        <f t="shared" si="3"/>
        <v>5.8966941568717584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6.5093333333333332</v>
      </c>
      <c r="AI29" s="14">
        <f>IF('Données projet'!$A$62&gt;35,AI28+AH29-AQ28,IF(A29&lt;'Données projet'!$A$62,$AF$205^A29,IF(A29='Données projet'!$A$62,'Données projet'!$B$62,AI28+AH29-AQ28)))</f>
        <v>96.657761012038762</v>
      </c>
      <c r="AJ29" s="14">
        <f>AI29*VLOOKUP('Données projet'!$B$10,Paramètres!$A$1:$I$89,3,0)*VLOOKUP('Données projet'!$B$10,Paramètres!$A$1:$I$89,5,0)</f>
        <v>45.235832153634135</v>
      </c>
      <c r="AK29" s="14">
        <f t="shared" si="35"/>
        <v>13.376314649023318</v>
      </c>
      <c r="AL29" s="22">
        <f t="shared" si="4"/>
        <v>102.08282234796172</v>
      </c>
      <c r="AM29" s="62">
        <f t="shared" si="5"/>
        <v>395.41615568129504</v>
      </c>
      <c r="AN29" s="62">
        <f ca="1">AVERAGE(OFFSET($AM$3,0,0,'Données projet'!$E$10+1,1))-AVERAGE(OFFSET($H$3,0,0,'Données projet'!$E$10+1,1))</f>
        <v>199.36309817800088</v>
      </c>
      <c r="AO29" s="62">
        <f t="shared" si="36"/>
        <v>151.91120569748284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12.833333333333334</v>
      </c>
      <c r="BD29" s="13">
        <f>IF('Données projet'!$A$88&gt;35,BD28+BC29-BL28,IF(A29&lt;'Données projet'!$A$88,$BA$205^A29,IF(A29='Données projet'!$A$88,'Données projet'!$B$88,BD28+BC29-BL28)))</f>
        <v>153.66666666666669</v>
      </c>
      <c r="BE29" s="14">
        <f>BD29*VLOOKUP('Données projet'!$B$11,Paramètres!$A$1:$I$89,3,0)*VLOOKUP('Données projet'!$B$11,Paramètres!$A$1:$I$89,5,0)</f>
        <v>91.892666666666685</v>
      </c>
      <c r="BF29" s="14">
        <f t="shared" si="37"/>
        <v>25.021136263266175</v>
      </c>
      <c r="BG29" s="22">
        <f t="shared" si="7"/>
        <v>203.62487343629971</v>
      </c>
      <c r="BH29" s="62">
        <f t="shared" si="8"/>
        <v>496.95820676963302</v>
      </c>
      <c r="BI29" s="62">
        <f ca="1">AVERAGE(OFFSET($BH$3,0,0,'Données projet'!$E$11+1,1))-AVERAGE(OFFSET($H$3,0,0,'Données projet'!$E$11+1,1))</f>
        <v>140.16059323013189</v>
      </c>
      <c r="BJ29" s="62">
        <f t="shared" si="38"/>
        <v>219.0992563594865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2.6076778163225502</v>
      </c>
      <c r="BQ29" s="23">
        <f>EXP(-LN(2)/25)*BQ28+(1-EXP(-LN(2)/25))/(LN(2)/25)*Calculateur!BL29*Calculateur!BN29*VLOOKUP('Données projet'!$B$11,Paramètres!$A$1:$I$89,3,0)*0.475*44/12</f>
        <v>6.3914573812765276</v>
      </c>
      <c r="BR29" s="23">
        <f>EXP(-LN(2)/2)*BR28+(1-EXP(-LN(2)/2))/(LN(2)/2)*BL29*BO29*VLOOKUP('Données projet'!$B$11,Paramètres!$A$1:$I$89,3,0)*0.475*44/12</f>
        <v>5.0865252908302114</v>
      </c>
      <c r="BS29" s="24">
        <f t="shared" si="9"/>
        <v>14.085660488429289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2">
        <f t="shared" si="32"/>
        <v>6.4448920768574434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70">
        <f t="shared" si="1"/>
        <v>339.03691703386005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21.612857142857145</v>
      </c>
      <c r="N30" s="14">
        <f>IF('Données projet'!$A$36&gt;35,N29+M30-V29,IF(A30&lt;'Données projet'!$A$36,$K$205^A30,IF(A30='Données projet'!$A$36,'Données projet'!$B$36,N29+M30-V29)))</f>
        <v>260.24714285714288</v>
      </c>
      <c r="O30" s="14">
        <f>N30*VLOOKUP('Données projet'!$B$9,Paramètres!$A$1:$I$89,3,0)*VLOOKUP('Données projet'!$B$9,Paramètres!$A$1:$I$89,5,0)</f>
        <v>145.47815285714287</v>
      </c>
      <c r="P30" s="14">
        <f t="shared" si="33"/>
        <v>37.54915616665005</v>
      </c>
      <c r="Q30" s="22">
        <f t="shared" si="2"/>
        <v>318.77256321643932</v>
      </c>
      <c r="R30" s="62">
        <f t="shared" si="0"/>
        <v>612.10589654977264</v>
      </c>
      <c r="S30" s="62">
        <f ca="1">AVERAGE(OFFSET($R$3,0,0,'Données projet'!$E$9+1,1))-AVERAGE(OFFSET($H$3,0,0,'Données projet'!$E$9+1,1))</f>
        <v>262.38865315945856</v>
      </c>
      <c r="T30" s="62">
        <f t="shared" si="34"/>
        <v>268.78503805457069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2.2214694104333628</v>
      </c>
      <c r="AB30" s="23">
        <f>EXP(-LN(2)/2)*AB29+(1-EXP(-LN(2)/2))/(LN(2)/2)*V30*Y30*VLOOKUP('Données projet'!$B$9,Paramètres!$A$1:$I$89,3,0)*0.475*44/12</f>
        <v>2.5546146894881812</v>
      </c>
      <c r="AC30" s="24">
        <f t="shared" si="3"/>
        <v>4.7760840999215439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6.5093333333333332</v>
      </c>
      <c r="AI30" s="14">
        <f>IF('Données projet'!$A$62&gt;35,AI29+AH30-AQ29,IF(A30&lt;'Données projet'!$A$62,$AF$205^A30,IF(A30='Données projet'!$A$62,'Données projet'!$B$62,AI29+AH30-AQ29)))</f>
        <v>115.23701224120353</v>
      </c>
      <c r="AJ30" s="14">
        <f>AI30*VLOOKUP('Données projet'!$B$10,Paramètres!$A$1:$I$89,3,0)*VLOOKUP('Données projet'!$B$10,Paramètres!$A$1:$I$89,5,0)</f>
        <v>53.930921728883256</v>
      </c>
      <c r="AK30" s="14">
        <f t="shared" si="35"/>
        <v>15.624422809744679</v>
      </c>
      <c r="AL30" s="22">
        <f t="shared" si="4"/>
        <v>121.14222507144363</v>
      </c>
      <c r="AM30" s="62">
        <f t="shared" si="5"/>
        <v>414.47555840477696</v>
      </c>
      <c r="AN30" s="62">
        <f ca="1">AVERAGE(OFFSET($AM$3,0,0,'Données projet'!$E$10+1,1))-AVERAGE(OFFSET($H$3,0,0,'Données projet'!$E$10+1,1))</f>
        <v>199.36309817800088</v>
      </c>
      <c r="AO30" s="62">
        <f t="shared" si="36"/>
        <v>151.91120569748284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12.833333333333334</v>
      </c>
      <c r="BD30" s="13">
        <f>IF('Données projet'!$A$88&gt;35,BD29+BC30-BL29,IF(A30&lt;'Données projet'!$A$88,$BA$205^A30,IF(A30='Données projet'!$A$88,'Données projet'!$B$88,BD29+BC30-BL29)))</f>
        <v>166.50000000000003</v>
      </c>
      <c r="BE30" s="14">
        <f>BD30*VLOOKUP('Données projet'!$B$11,Paramètres!$A$1:$I$89,3,0)*VLOOKUP('Données projet'!$B$11,Paramètres!$A$1:$I$89,5,0)</f>
        <v>99.567000000000021</v>
      </c>
      <c r="BF30" s="14">
        <f t="shared" si="37"/>
        <v>26.858815231289142</v>
      </c>
      <c r="BG30" s="22">
        <f t="shared" si="7"/>
        <v>220.19162819449528</v>
      </c>
      <c r="BH30" s="62">
        <f t="shared" si="8"/>
        <v>513.52496152782862</v>
      </c>
      <c r="BI30" s="62">
        <f ca="1">AVERAGE(OFFSET($BH$3,0,0,'Données projet'!$E$11+1,1))-AVERAGE(OFFSET($H$3,0,0,'Données projet'!$E$11+1,1))</f>
        <v>140.16059323013189</v>
      </c>
      <c r="BJ30" s="62">
        <f t="shared" si="38"/>
        <v>219.0992563594865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2.5565428448708816</v>
      </c>
      <c r="BQ30" s="23">
        <f>EXP(-LN(2)/25)*BQ29+(1-EXP(-LN(2)/25))/(LN(2)/25)*Calculateur!BL30*Calculateur!BN30*VLOOKUP('Données projet'!$B$11,Paramètres!$A$1:$I$89,3,0)*0.475*44/12</f>
        <v>6.2166826430733853</v>
      </c>
      <c r="BR30" s="23">
        <f>EXP(-LN(2)/2)*BR29+(1-EXP(-LN(2)/2))/(LN(2)/2)*BL30*BO30*VLOOKUP('Données projet'!$B$11,Paramètres!$A$1:$I$89,3,0)*0.475*44/12</f>
        <v>3.5967165258229188</v>
      </c>
      <c r="BS30" s="24">
        <f t="shared" si="9"/>
        <v>12.369942013767185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2">
        <f t="shared" si="32"/>
        <v>6.6553586445673751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70">
        <f t="shared" si="1"/>
        <v>340.68046963928816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281.86</v>
      </c>
      <c r="L31" s="13">
        <f>VLOOKUP(A31,'Données projet'!$A$35:$I$55,9,0)</f>
        <v>21.612857142857145</v>
      </c>
      <c r="M31" s="13">
        <f t="array" ref="M31">INDEX(L:L,MIN(IF(ISNUMBER(L31:L227),ROW(L31:L227),"")))</f>
        <v>21.612857142857145</v>
      </c>
      <c r="N31" s="14">
        <f>IF('Données projet'!$A$36&gt;35,N30+M31-V30,IF(A31&lt;'Données projet'!$A$36,$K$205^A31,IF(A31='Données projet'!$A$36,'Données projet'!$B$36,N30+M31-V30)))</f>
        <v>281.86</v>
      </c>
      <c r="O31" s="14">
        <f>N31*VLOOKUP('Données projet'!$B$9,Paramètres!$A$1:$I$89,3,0)*VLOOKUP('Données projet'!$B$9,Paramètres!$A$1:$I$89,5,0)</f>
        <v>157.55974000000001</v>
      </c>
      <c r="P31" s="14">
        <f t="shared" si="33"/>
        <v>40.291616590408985</v>
      </c>
      <c r="Q31" s="22">
        <f t="shared" si="2"/>
        <v>344.59111272829563</v>
      </c>
      <c r="R31" s="62">
        <f t="shared" si="0"/>
        <v>637.92444606162894</v>
      </c>
      <c r="S31" s="62">
        <f ca="1">AVERAGE(OFFSET($R$3,0,0,'Données projet'!$E$9+1,1))-AVERAGE(OFFSET($H$3,0,0,'Données projet'!$E$9+1,1))</f>
        <v>262.38865315945856</v>
      </c>
      <c r="T31" s="62">
        <f t="shared" si="34"/>
        <v>268.78503805457069</v>
      </c>
      <c r="U31" s="16">
        <f>IF(ISNA(VLOOKUP(A31,'Données projet'!$A$35:$I$55,3,0)),0,VLOOKUP(A31,'Données projet'!$A$35:$I$55,3,0))</f>
        <v>3</v>
      </c>
      <c r="V31" s="16">
        <f>IF(ISNA(VLOOKUP(A31,'Données projet'!$A$35:$I$55,4,0)),0,VLOOKUP(A31,'Données projet'!$A$35:$I$55,4,0))</f>
        <v>67.61</v>
      </c>
      <c r="W31" s="17">
        <f>IF(ISNA(VLOOKUP(A31,'Données projet'!$A$35:$I$55,5,0)),0%,VLOOKUP(A31,'Données projet'!$A$35:$I$55,5,0)*VLOOKUP('Données projet'!$B$9,Paramètres!$A$1:$I$89,7,0))</f>
        <v>0.44000000000000006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0.2</v>
      </c>
      <c r="Z31" s="23">
        <f>EXP(-LN(2)/35)*Z30+(1-EXP(-LN(2)/35))/(LN(2)/35)*V31*W31*VLOOKUP('Données projet'!$B$9,Paramètres!$A$1:$I$89,3,0)*0.475*44/12</f>
        <v>22.059912055824469</v>
      </c>
      <c r="AA31" s="23">
        <f>EXP(-LN(2)/25)*AA30+(1-EXP(-LN(2)/25))/(LN(2)/25)*Calculateur!V31*Calculateur!X31*VLOOKUP('Données projet'!$B$9,Paramètres!$A$1:$I$89,3,0)*0.475*44/12</f>
        <v>2.1607232125830635</v>
      </c>
      <c r="AB31" s="23">
        <f>EXP(-LN(2)/2)*AB30+(1-EXP(-LN(2)/2))/(LN(2)/2)*V31*Y31*VLOOKUP('Données projet'!$B$9,Paramètres!$A$1:$I$89,3,0)*0.475*44/12</f>
        <v>10.364700596334316</v>
      </c>
      <c r="AC31" s="24">
        <f t="shared" si="3"/>
        <v>34.58533586474185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6.5093333333333332</v>
      </c>
      <c r="AI31" s="14">
        <f>IF('Données projet'!$A$62&gt;35,AI30+AH31-AQ30,IF(A31&lt;'Données projet'!$A$62,$AF$205^A31,IF(A31='Données projet'!$A$62,'Données projet'!$B$62,AI30+AH31-AQ30)))</f>
        <v>137.38750878602823</v>
      </c>
      <c r="AJ31" s="14">
        <f>AI31*VLOOKUP('Données projet'!$B$10,Paramètres!$A$1:$I$89,3,0)*VLOOKUP('Données projet'!$B$10,Paramètres!$A$1:$I$89,5,0)</f>
        <v>64.29735411186121</v>
      </c>
      <c r="AK31" s="14">
        <f t="shared" si="35"/>
        <v>18.250362266672195</v>
      </c>
      <c r="AL31" s="22">
        <f t="shared" si="4"/>
        <v>143.77060602594568</v>
      </c>
      <c r="AM31" s="62">
        <f t="shared" si="5"/>
        <v>437.10393935927902</v>
      </c>
      <c r="AN31" s="62">
        <f ca="1">AVERAGE(OFFSET($AM$3,0,0,'Données projet'!$E$10+1,1))-AVERAGE(OFFSET($H$3,0,0,'Données projet'!$E$10+1,1))</f>
        <v>199.36309817800088</v>
      </c>
      <c r="AO31" s="62">
        <f t="shared" si="36"/>
        <v>151.91120569748284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12.833333333333334</v>
      </c>
      <c r="BD31" s="13">
        <f>IF('Données projet'!$A$88&gt;35,BD30+BC31-BL30,IF(A31&lt;'Données projet'!$A$88,$BA$205^A31,IF(A31='Données projet'!$A$88,'Données projet'!$B$88,BD30+BC31-BL30)))</f>
        <v>179.33333333333337</v>
      </c>
      <c r="BE31" s="14">
        <f>BD31*VLOOKUP('Données projet'!$B$11,Paramètres!$A$1:$I$89,3,0)*VLOOKUP('Données projet'!$B$11,Paramètres!$A$1:$I$89,5,0)</f>
        <v>107.24133333333336</v>
      </c>
      <c r="BF31" s="14">
        <f t="shared" si="37"/>
        <v>28.680063538962813</v>
      </c>
      <c r="BG31" s="22">
        <f t="shared" si="7"/>
        <v>236.72976621924911</v>
      </c>
      <c r="BH31" s="62">
        <f t="shared" si="8"/>
        <v>530.06309955258246</v>
      </c>
      <c r="BI31" s="62">
        <f ca="1">AVERAGE(OFFSET($BH$3,0,0,'Données projet'!$E$11+1,1))-AVERAGE(OFFSET($H$3,0,0,'Données projet'!$E$11+1,1))</f>
        <v>140.16059323013189</v>
      </c>
      <c r="BJ31" s="62">
        <f t="shared" si="38"/>
        <v>219.0992563594865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2.5064105990201271</v>
      </c>
      <c r="BQ31" s="23">
        <f>EXP(-LN(2)/25)*BQ30+(1-EXP(-LN(2)/25))/(LN(2)/25)*Calculateur!BL31*Calculateur!BN31*VLOOKUP('Données projet'!$B$11,Paramètres!$A$1:$I$89,3,0)*0.475*44/12</f>
        <v>6.0466871292774114</v>
      </c>
      <c r="BR31" s="23">
        <f>EXP(-LN(2)/2)*BR30+(1-EXP(-LN(2)/2))/(LN(2)/2)*BL31*BO31*VLOOKUP('Données projet'!$B$11,Paramètres!$A$1:$I$89,3,0)*0.475*44/12</f>
        <v>2.5432626454151062</v>
      </c>
      <c r="BS31" s="24">
        <f t="shared" si="9"/>
        <v>11.096360373712645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2">
        <f t="shared" si="32"/>
        <v>6.864951892683286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70">
        <f t="shared" si="1"/>
        <v>342.32250121309005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23.267142857142858</v>
      </c>
      <c r="N32" s="14">
        <f>IF('Données projet'!$A$36&gt;35,N31+M32-V31,IF(A32&lt;'Données projet'!$A$36,$K$205^A32,IF(A32='Données projet'!$A$36,'Données projet'!$B$36,N31+M32-V31)))</f>
        <v>237.51714285714286</v>
      </c>
      <c r="O32" s="14">
        <f>N32*VLOOKUP('Données projet'!$B$9,Paramètres!$A$1:$I$89,3,0)*VLOOKUP('Données projet'!$B$9,Paramètres!$A$1:$I$89,5,0)</f>
        <v>132.77208285714286</v>
      </c>
      <c r="P32" s="14">
        <f t="shared" si="33"/>
        <v>34.636117583630444</v>
      </c>
      <c r="Q32" s="22">
        <f t="shared" si="2"/>
        <v>291.5692824343468</v>
      </c>
      <c r="R32" s="62">
        <f t="shared" si="0"/>
        <v>584.90261576768012</v>
      </c>
      <c r="S32" s="62">
        <f ca="1">AVERAGE(OFFSET($R$3,0,0,'Données projet'!$E$9+1,1))-AVERAGE(OFFSET($H$3,0,0,'Données projet'!$E$9+1,1))</f>
        <v>262.38865315945856</v>
      </c>
      <c r="T32" s="62">
        <f t="shared" si="34"/>
        <v>268.78503805457069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21.627330635627512</v>
      </c>
      <c r="AA32" s="23">
        <f>EXP(-LN(2)/25)*AA31+(1-EXP(-LN(2)/25))/(LN(2)/25)*Calculateur!V32*Calculateur!X32*VLOOKUP('Données projet'!$B$9,Paramètres!$A$1:$I$89,3,0)*0.475*44/12</f>
        <v>2.1016381227074845</v>
      </c>
      <c r="AB32" s="23">
        <f>EXP(-LN(2)/2)*AB31+(1-EXP(-LN(2)/2))/(LN(2)/2)*V32*Y32*VLOOKUP('Données projet'!$B$9,Paramètres!$A$1:$I$89,3,0)*0.475*44/12</f>
        <v>7.3289500766362483</v>
      </c>
      <c r="AC32" s="24">
        <f t="shared" si="3"/>
        <v>31.057918834971247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6.5093333333333332</v>
      </c>
      <c r="AI32" s="14">
        <f>IF('Données projet'!$A$62&gt;35,AI31+AH32-AQ31,IF(A32&lt;'Données projet'!$A$62,$AF$205^A32,IF(A32='Données projet'!$A$62,'Données projet'!$B$62,AI31+AH32-AQ31)))</f>
        <v>163.79570420415698</v>
      </c>
      <c r="AJ32" s="14">
        <f>AI32*VLOOKUP('Données projet'!$B$10,Paramètres!$A$1:$I$89,3,0)*VLOOKUP('Données projet'!$B$10,Paramètres!$A$1:$I$89,5,0)</f>
        <v>76.65638956754546</v>
      </c>
      <c r="AK32" s="14">
        <f t="shared" si="35"/>
        <v>21.317633740494983</v>
      </c>
      <c r="AL32" s="22">
        <f t="shared" si="4"/>
        <v>170.63809059483708</v>
      </c>
      <c r="AM32" s="62">
        <f t="shared" si="5"/>
        <v>463.9714239281704</v>
      </c>
      <c r="AN32" s="62">
        <f ca="1">AVERAGE(OFFSET($AM$3,0,0,'Données projet'!$E$10+1,1))-AVERAGE(OFFSET($H$3,0,0,'Données projet'!$E$10+1,1))</f>
        <v>199.36309817800088</v>
      </c>
      <c r="AO32" s="62">
        <f t="shared" si="36"/>
        <v>151.91120569748284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12.833333333333334</v>
      </c>
      <c r="BD32" s="13">
        <f>IF('Données projet'!$A$88&gt;35,BD31+BC32-BL31,IF(A32&lt;'Données projet'!$A$88,$BA$205^A32,IF(A32='Données projet'!$A$88,'Données projet'!$B$88,BD31+BC32-BL31)))</f>
        <v>192.16666666666671</v>
      </c>
      <c r="BE32" s="14">
        <f>BD32*VLOOKUP('Données projet'!$B$11,Paramètres!$A$1:$I$89,3,0)*VLOOKUP('Données projet'!$B$11,Paramètres!$A$1:$I$89,5,0)</f>
        <v>114.9156666666667</v>
      </c>
      <c r="BF32" s="14">
        <f t="shared" si="37"/>
        <v>30.486190713157598</v>
      </c>
      <c r="BG32" s="22">
        <f t="shared" si="7"/>
        <v>253.24156826986064</v>
      </c>
      <c r="BH32" s="62">
        <f t="shared" si="8"/>
        <v>546.57490160319389</v>
      </c>
      <c r="BI32" s="62">
        <f ca="1">AVERAGE(OFFSET($BH$3,0,0,'Données projet'!$E$11+1,1))-AVERAGE(OFFSET($H$3,0,0,'Données projet'!$E$11+1,1))</f>
        <v>140.16059323013189</v>
      </c>
      <c r="BJ32" s="62">
        <f t="shared" si="38"/>
        <v>219.0992563594865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2.4572614159328552</v>
      </c>
      <c r="BQ32" s="23">
        <f>EXP(-LN(2)/25)*BQ31+(1-EXP(-LN(2)/25))/(LN(2)/25)*Calculateur!BL32*Calculateur!BN32*VLOOKUP('Données projet'!$B$11,Paramètres!$A$1:$I$89,3,0)*0.475*44/12</f>
        <v>5.8813401517458646</v>
      </c>
      <c r="BR32" s="23">
        <f>EXP(-LN(2)/2)*BR31+(1-EXP(-LN(2)/2))/(LN(2)/2)*BL32*BO32*VLOOKUP('Données projet'!$B$11,Paramètres!$A$1:$I$89,3,0)*0.475*44/12</f>
        <v>1.7983582629114596</v>
      </c>
      <c r="BS32" s="24">
        <f t="shared" si="9"/>
        <v>10.136959830590179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2">
        <f t="shared" si="32"/>
        <v>7.0737053871356732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70">
        <f t="shared" si="1"/>
        <v>343.96307021592793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23.267142857142858</v>
      </c>
      <c r="N33" s="14">
        <f>IF('Données projet'!$A$36&gt;35,N32+M33-V32,IF(A33&lt;'Données projet'!$A$36,$K$205^A33,IF(A33='Données projet'!$A$36,'Données projet'!$B$36,N32+M33-V32)))</f>
        <v>260.78428571428572</v>
      </c>
      <c r="O33" s="14">
        <f>N33*VLOOKUP('Données projet'!$B$9,Paramètres!$A$1:$I$89,3,0)*VLOOKUP('Données projet'!$B$9,Paramètres!$A$1:$I$89,5,0)</f>
        <v>145.7784157142857</v>
      </c>
      <c r="P33" s="14">
        <f t="shared" si="33"/>
        <v>37.617627311837914</v>
      </c>
      <c r="Q33" s="22">
        <f t="shared" si="2"/>
        <v>319.4147749371653</v>
      </c>
      <c r="R33" s="62">
        <f t="shared" si="0"/>
        <v>612.74810827049862</v>
      </c>
      <c r="S33" s="62">
        <f ca="1">AVERAGE(OFFSET($R$3,0,0,'Données projet'!$E$9+1,1))-AVERAGE(OFFSET($H$3,0,0,'Données projet'!$E$9+1,1))</f>
        <v>262.38865315945856</v>
      </c>
      <c r="T33" s="62">
        <f t="shared" si="34"/>
        <v>268.78503805457069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21.203231873232006</v>
      </c>
      <c r="AA33" s="23">
        <f>EXP(-LN(2)/25)*AA32+(1-EXP(-LN(2)/25))/(LN(2)/25)*Calculateur!V33*Calculateur!X33*VLOOKUP('Données projet'!$B$9,Paramètres!$A$1:$I$89,3,0)*0.475*44/12</f>
        <v>2.0441687177217029</v>
      </c>
      <c r="AB33" s="23">
        <f>EXP(-LN(2)/2)*AB32+(1-EXP(-LN(2)/2))/(LN(2)/2)*V33*Y33*VLOOKUP('Données projet'!$B$9,Paramètres!$A$1:$I$89,3,0)*0.475*44/12</f>
        <v>5.182350298167159</v>
      </c>
      <c r="AC33" s="24">
        <f t="shared" si="3"/>
        <v>28.429750889120868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195.28</v>
      </c>
      <c r="AG33" s="13">
        <f>VLOOKUP(A33,'Données projet'!$A$61:$I$81,9,0)</f>
        <v>6.5093333333333332</v>
      </c>
      <c r="AH33" s="13">
        <f t="array" ref="AH33">INDEX(AG:AG,MIN(IF(ISNUMBER(AG33:AG229),ROW(AG33:AG229),"")))</f>
        <v>6.5093333333333332</v>
      </c>
      <c r="AI33" s="14">
        <f>IF('Données projet'!$A$62&gt;35,AI32+AH33-AQ32,IF(A33&lt;'Données projet'!$A$62,$AF$205^A33,IF(A33='Données projet'!$A$62,'Données projet'!$B$62,AI32+AH33-AQ32)))</f>
        <v>195.28</v>
      </c>
      <c r="AJ33" s="14">
        <f>AI33*VLOOKUP('Données projet'!$B$10,Paramètres!$A$1:$I$89,3,0)*VLOOKUP('Données projet'!$B$10,Paramètres!$A$1:$I$89,5,0)</f>
        <v>91.391040000000004</v>
      </c>
      <c r="AK33" s="14">
        <f t="shared" si="35"/>
        <v>24.900410285211944</v>
      </c>
      <c r="AL33" s="22">
        <f t="shared" si="4"/>
        <v>202.54094258007748</v>
      </c>
      <c r="AM33" s="62">
        <f t="shared" si="5"/>
        <v>495.87427591341077</v>
      </c>
      <c r="AN33" s="62">
        <f ca="1">AVERAGE(OFFSET($AM$3,0,0,'Données projet'!$E$10+1,1))-AVERAGE(OFFSET($H$3,0,0,'Données projet'!$E$10+1,1))</f>
        <v>199.36309817800088</v>
      </c>
      <c r="AO33" s="62">
        <f t="shared" si="36"/>
        <v>151.91120569748284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205</v>
      </c>
      <c r="BB33" s="13">
        <f>VLOOKUP(A33,'Données projet'!$A$87:$I$107,9,0)</f>
        <v>12.833333333333334</v>
      </c>
      <c r="BC33" s="13">
        <f t="array" ref="BC33">INDEX(BB:BB,MIN(IF(ISNUMBER(BB33:BB229),ROW(BB33:BB229),"")))</f>
        <v>12.833333333333334</v>
      </c>
      <c r="BD33" s="13">
        <f>IF('Données projet'!$A$88&gt;35,BD32+BC33-BL32,IF(A33&lt;'Données projet'!$A$88,$BA$205^A33,IF(A33='Données projet'!$A$88,'Données projet'!$B$88,BD32+BC33-BL32)))</f>
        <v>205.00000000000006</v>
      </c>
      <c r="BE33" s="14">
        <f>BD33*VLOOKUP('Données projet'!$B$11,Paramètres!$A$1:$I$89,3,0)*VLOOKUP('Données projet'!$B$11,Paramètres!$A$1:$I$89,5,0)</f>
        <v>122.59000000000003</v>
      </c>
      <c r="BF33" s="14">
        <f t="shared" si="37"/>
        <v>32.278321478706822</v>
      </c>
      <c r="BG33" s="22">
        <f t="shared" si="7"/>
        <v>269.72899324208112</v>
      </c>
      <c r="BH33" s="62">
        <f t="shared" si="8"/>
        <v>563.06232657541443</v>
      </c>
      <c r="BI33" s="62">
        <f ca="1">AVERAGE(OFFSET($BH$3,0,0,'Données projet'!$E$11+1,1))-AVERAGE(OFFSET($H$3,0,0,'Données projet'!$E$11+1,1))</f>
        <v>140.16059323013189</v>
      </c>
      <c r="BJ33" s="62">
        <f t="shared" si="38"/>
        <v>219.0992563594865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47</v>
      </c>
      <c r="BM33" s="17">
        <f>IF(ISNA(VLOOKUP(A33,'Données projet'!$A$87:$I$107,5,0)),0%,VLOOKUP(A33,'Données projet'!$A$87:$I$107,5,0)*VLOOKUP('Données projet'!$B$11,Paramètres!$A$1:$I$89,7,0))</f>
        <v>0.22500000000000001</v>
      </c>
      <c r="BN33" s="17">
        <f>IF(ISNA(VLOOKUP(A33,'Données projet'!$A$87:$I$107,6,0)),0%,VLOOKUP(A33,'Données projet'!$A$87:$I$107,6,0)*VLOOKUP('Données projet'!$B$11,Paramètres!$A$1:$I$89,7,0))</f>
        <v>9.0000000000000011E-2</v>
      </c>
      <c r="BO33" s="17">
        <f>IF(ISNA(VLOOKUP(A33,'Données projet'!$A$87:$I$107,7,0)),0%,VLOOKUP(A33,'Données projet'!$A$87:$I$107,7,0))</f>
        <v>0.3</v>
      </c>
      <c r="BP33" s="23">
        <f>EXP(-LN(2)/35)*BP32+(1-EXP(-LN(2)/35))/(LN(2)/35)*BL33*BM33*VLOOKUP('Données projet'!$B$11,Paramètres!$A$1:$I$89,3,0)*0.475*44/12</f>
        <v>10.798070649879222</v>
      </c>
      <c r="BQ33" s="23">
        <f>EXP(-LN(2)/25)*BQ32+(1-EXP(-LN(2)/25))/(LN(2)/25)*Calculateur!BL33*Calculateur!BN33*VLOOKUP('Données projet'!$B$11,Paramètres!$A$1:$I$89,3,0)*0.475*44/12</f>
        <v>9.0629001812939141</v>
      </c>
      <c r="BR33" s="23">
        <f>EXP(-LN(2)/2)*BR32+(1-EXP(-LN(2)/2))/(LN(2)/2)*BL33*BO33*VLOOKUP('Données projet'!$B$11,Paramètres!$A$1:$I$89,3,0)*0.475*44/12</f>
        <v>10.818387608991209</v>
      </c>
      <c r="BS33" s="24">
        <f t="shared" si="9"/>
        <v>30.679358440164343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2">
        <f t="shared" si="32"/>
        <v>7.2816503291468493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70">
        <f t="shared" si="1"/>
        <v>345.60223098993072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23.267142857142858</v>
      </c>
      <c r="N34" s="14">
        <f>IF('Données projet'!$A$36&gt;35,N33+M34-V33,IF(A34&lt;'Données projet'!$A$36,$K$205^A34,IF(A34='Données projet'!$A$36,'Données projet'!$B$36,N33+M34-V33)))</f>
        <v>284.05142857142857</v>
      </c>
      <c r="O34" s="14">
        <f>N34*VLOOKUP('Données projet'!$B$9,Paramètres!$A$1:$I$89,3,0)*VLOOKUP('Données projet'!$B$9,Paramètres!$A$1:$I$89,5,0)</f>
        <v>158.78474857142857</v>
      </c>
      <c r="P34" s="14">
        <f t="shared" si="33"/>
        <v>40.568290544193985</v>
      </c>
      <c r="Q34" s="22">
        <f t="shared" si="2"/>
        <v>347.20654312637589</v>
      </c>
      <c r="R34" s="62">
        <f t="shared" si="0"/>
        <v>640.53987645970915</v>
      </c>
      <c r="S34" s="62">
        <f ca="1">AVERAGE(OFFSET($R$3,0,0,'Données projet'!$E$9+1,1))-AVERAGE(OFFSET($H$3,0,0,'Données projet'!$E$9+1,1))</f>
        <v>262.38865315945856</v>
      </c>
      <c r="T34" s="62">
        <f t="shared" si="34"/>
        <v>268.78503805457069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20.787449428892373</v>
      </c>
      <c r="AA34" s="23">
        <f>EXP(-LN(2)/25)*AA33+(1-EXP(-LN(2)/25))/(LN(2)/25)*Calculateur!V34*Calculateur!X34*VLOOKUP('Données projet'!$B$9,Paramètres!$A$1:$I$89,3,0)*0.475*44/12</f>
        <v>1.9882708166374421</v>
      </c>
      <c r="AB34" s="23">
        <f>EXP(-LN(2)/2)*AB33+(1-EXP(-LN(2)/2))/(LN(2)/2)*V34*Y34*VLOOKUP('Données projet'!$B$9,Paramètres!$A$1:$I$89,3,0)*0.475*44/12</f>
        <v>3.664475038318125</v>
      </c>
      <c r="AC34" s="24">
        <f t="shared" si="3"/>
        <v>26.440195283847942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16.895999999999997</v>
      </c>
      <c r="AI34" s="14">
        <f>IF('Données projet'!$A$62&gt;35,AI33+AH34-AQ33,IF(A34&lt;'Données projet'!$A$62,$AF$205^A34,IF(A34='Données projet'!$A$62,'Données projet'!$B$62,AI33+AH34-AQ33)))</f>
        <v>212.17599999999999</v>
      </c>
      <c r="AJ34" s="14">
        <f>AI34*VLOOKUP('Données projet'!$B$10,Paramètres!$A$1:$I$89,3,0)*VLOOKUP('Données projet'!$B$10,Paramètres!$A$1:$I$89,5,0)</f>
        <v>99.298367999999996</v>
      </c>
      <c r="AK34" s="14">
        <f t="shared" si="35"/>
        <v>26.794774963367491</v>
      </c>
      <c r="AL34" s="22">
        <f t="shared" si="4"/>
        <v>219.61222399453172</v>
      </c>
      <c r="AM34" s="62">
        <f t="shared" si="5"/>
        <v>512.945557327865</v>
      </c>
      <c r="AN34" s="62">
        <f ca="1">AVERAGE(OFFSET($AM$3,0,0,'Données projet'!$E$10+1,1))-AVERAGE(OFFSET($H$3,0,0,'Données projet'!$E$10+1,1))</f>
        <v>199.36309817800088</v>
      </c>
      <c r="AO34" s="62">
        <f t="shared" si="36"/>
        <v>151.91120569748284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</v>
      </c>
      <c r="BD34" s="13">
        <f>IF('Données projet'!$A$88&gt;35,BD33+BC34-BL33,IF(A34&lt;'Données projet'!$A$88,$BA$205^A34,IF(A34='Données projet'!$A$88,'Données projet'!$B$88,BD33+BC34-BL33)))</f>
        <v>168.70000000000005</v>
      </c>
      <c r="BE34" s="14">
        <f>BD34*VLOOKUP('Données projet'!$B$11,Paramètres!$A$1:$I$89,3,0)*VLOOKUP('Données projet'!$B$11,Paramètres!$A$1:$I$89,5,0)</f>
        <v>100.88260000000002</v>
      </c>
      <c r="BF34" s="14">
        <f t="shared" si="37"/>
        <v>27.172157172029827</v>
      </c>
      <c r="BG34" s="22">
        <f t="shared" si="7"/>
        <v>223.02870207461862</v>
      </c>
      <c r="BH34" s="62">
        <f t="shared" si="8"/>
        <v>516.36203540795191</v>
      </c>
      <c r="BI34" s="62">
        <f ca="1">AVERAGE(OFFSET($BH$3,0,0,'Données projet'!$E$11+1,1))-AVERAGE(OFFSET($H$3,0,0,'Données projet'!$E$11+1,1))</f>
        <v>140.16059323013189</v>
      </c>
      <c r="BJ34" s="62">
        <f t="shared" si="38"/>
        <v>219.0992563594865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10.586327070607856</v>
      </c>
      <c r="BQ34" s="23">
        <f>EXP(-LN(2)/25)*BQ33+(1-EXP(-LN(2)/25))/(LN(2)/25)*Calculateur!BL34*Calculateur!BN34*VLOOKUP('Données projet'!$B$11,Paramètres!$A$1:$I$89,3,0)*0.475*44/12</f>
        <v>8.8150746992392257</v>
      </c>
      <c r="BR34" s="23">
        <f>EXP(-LN(2)/2)*BR33+(1-EXP(-LN(2)/2))/(LN(2)/2)*BL34*BO34*VLOOKUP('Données projet'!$B$11,Paramètres!$A$1:$I$89,3,0)*0.475*44/12</f>
        <v>7.6497552398222046</v>
      </c>
      <c r="BS34" s="24">
        <f t="shared" si="9"/>
        <v>27.051157009669289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2">
        <f t="shared" si="32"/>
        <v>7.4888157926750578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70">
        <f t="shared" si="1"/>
        <v>347.24003417224236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23.267142857142858</v>
      </c>
      <c r="N35" s="14">
        <f>IF('Données projet'!$A$36&gt;35,N34+M35-V34,IF(A35&lt;'Données projet'!$A$36,$K$205^A35,IF(A35='Données projet'!$A$36,'Données projet'!$B$36,N34+M35-V34)))</f>
        <v>307.31857142857143</v>
      </c>
      <c r="O35" s="14">
        <f>N35*VLOOKUP('Données projet'!$B$9,Paramètres!$A$1:$I$89,3,0)*VLOOKUP('Données projet'!$B$9,Paramètres!$A$1:$I$89,5,0)</f>
        <v>171.79108142857143</v>
      </c>
      <c r="P35" s="14">
        <f t="shared" si="33"/>
        <v>43.490921229423932</v>
      </c>
      <c r="Q35" s="22">
        <f t="shared" ref="Q35:Q66" si="53">(O35+P35)*0.475*44/12</f>
        <v>374.94948796267522</v>
      </c>
      <c r="R35" s="62">
        <f t="shared" si="0"/>
        <v>668.28282129600848</v>
      </c>
      <c r="S35" s="62">
        <f ca="1">AVERAGE(OFFSET($R$3,0,0,'Données projet'!$E$9+1,1))-AVERAGE(OFFSET($H$3,0,0,'Données projet'!$E$9+1,1))</f>
        <v>262.38865315945856</v>
      </c>
      <c r="T35" s="62">
        <f t="shared" si="34"/>
        <v>268.78503805457069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20.379820224683989</v>
      </c>
      <c r="AA35" s="23">
        <f>EXP(-LN(2)/25)*AA34+(1-EXP(-LN(2)/25))/(LN(2)/25)*Calculateur!V35*Calculateur!X35*VLOOKUP('Données projet'!$B$9,Paramètres!$A$1:$I$89,3,0)*0.475*44/12</f>
        <v>1.9339014465978732</v>
      </c>
      <c r="AB35" s="23">
        <f>EXP(-LN(2)/2)*AB34+(1-EXP(-LN(2)/2))/(LN(2)/2)*V35*Y35*VLOOKUP('Données projet'!$B$9,Paramètres!$A$1:$I$89,3,0)*0.475*44/12</f>
        <v>2.5911751490835799</v>
      </c>
      <c r="AC35" s="24">
        <f t="shared" si="3"/>
        <v>24.90489682036544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16.895999999999997</v>
      </c>
      <c r="AI35" s="14">
        <f>IF('Données projet'!$A$62&gt;35,AI34+AH35-AQ34,IF(A35&lt;'Données projet'!$A$62,$AF$205^A35,IF(A35='Données projet'!$A$62,'Données projet'!$B$62,AI34+AH35-AQ34)))</f>
        <v>229.07199999999997</v>
      </c>
      <c r="AJ35" s="14">
        <f>AI35*VLOOKUP('Données projet'!$B$10,Paramètres!$A$1:$I$89,3,0)*VLOOKUP('Données projet'!$B$10,Paramètres!$A$1:$I$89,5,0)</f>
        <v>107.20569599999997</v>
      </c>
      <c r="AK35" s="14">
        <f t="shared" si="35"/>
        <v>28.671642082436559</v>
      </c>
      <c r="AL35" s="22">
        <f t="shared" si="4"/>
        <v>236.65303049357692</v>
      </c>
      <c r="AM35" s="62">
        <f t="shared" si="5"/>
        <v>529.98636382691029</v>
      </c>
      <c r="AN35" s="62">
        <f ca="1">AVERAGE(OFFSET($AM$3,0,0,'Données projet'!$E$10+1,1))-AVERAGE(OFFSET($H$3,0,0,'Données projet'!$E$10+1,1))</f>
        <v>199.36309817800088</v>
      </c>
      <c r="AO35" s="62">
        <f t="shared" si="36"/>
        <v>151.91120569748284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</v>
      </c>
      <c r="BD35" s="13">
        <f>IF('Données projet'!$A$88&gt;35,BD34+BC35-BL34,IF(A35&lt;'Données projet'!$A$88,$BA$205^A35,IF(A35='Données projet'!$A$88,'Données projet'!$B$88,BD34+BC35-BL34)))</f>
        <v>179.40000000000003</v>
      </c>
      <c r="BE35" s="14">
        <f>BD35*VLOOKUP('Données projet'!$B$11,Paramètres!$A$1:$I$89,3,0)*VLOOKUP('Données projet'!$B$11,Paramètres!$A$1:$I$89,5,0)</f>
        <v>107.28120000000003</v>
      </c>
      <c r="BF35" s="14">
        <f t="shared" si="37"/>
        <v>28.689484043027395</v>
      </c>
      <c r="BG35" s="22">
        <f t="shared" si="7"/>
        <v>236.81560804160608</v>
      </c>
      <c r="BH35" s="62">
        <f t="shared" si="8"/>
        <v>530.14894137493934</v>
      </c>
      <c r="BI35" s="62">
        <f ca="1">AVERAGE(OFFSET($BH$3,0,0,'Données projet'!$E$11+1,1))-AVERAGE(OFFSET($H$3,0,0,'Données projet'!$E$11+1,1))</f>
        <v>140.16059323013189</v>
      </c>
      <c r="BJ35" s="62">
        <f t="shared" si="38"/>
        <v>219.0992563594865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10.378735653775172</v>
      </c>
      <c r="BQ35" s="23">
        <f>EXP(-LN(2)/25)*BQ34+(1-EXP(-LN(2)/25))/(LN(2)/25)*Calculateur!BL35*Calculateur!BN35*VLOOKUP('Données projet'!$B$11,Paramètres!$A$1:$I$89,3,0)*0.475*44/12</f>
        <v>8.574026018023897</v>
      </c>
      <c r="BR35" s="23">
        <f>EXP(-LN(2)/2)*BR34+(1-EXP(-LN(2)/2))/(LN(2)/2)*BL35*BO35*VLOOKUP('Données projet'!$B$11,Paramètres!$A$1:$I$89,3,0)*0.475*44/12</f>
        <v>5.4091938044956054</v>
      </c>
      <c r="BS35" s="24">
        <f t="shared" si="9"/>
        <v>24.361955476294671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2">
        <f t="shared" si="32"/>
        <v>7.6952289313442845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70">
        <f t="shared" si="1"/>
        <v>348.87652705542462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23.267142857142858</v>
      </c>
      <c r="N36" s="14">
        <f>IF('Données projet'!$A$36&gt;35,N35+M36-V35,IF(A36&lt;'Données projet'!$A$36,$K$205^A36,IF(A36='Données projet'!$A$36,'Données projet'!$B$36,N35+M36-V35)))</f>
        <v>330.58571428571429</v>
      </c>
      <c r="O36" s="14">
        <f>N36*VLOOKUP('Données projet'!$B$9,Paramètres!$A$1:$I$89,3,0)*VLOOKUP('Données projet'!$B$9,Paramètres!$A$1:$I$89,5,0)</f>
        <v>184.7974142857143</v>
      </c>
      <c r="P36" s="14">
        <f t="shared" si="33"/>
        <v>46.387883037381307</v>
      </c>
      <c r="Q36" s="22">
        <f t="shared" si="53"/>
        <v>402.64772617105814</v>
      </c>
      <c r="R36" s="62">
        <f t="shared" si="0"/>
        <v>695.9810595043914</v>
      </c>
      <c r="S36" s="62">
        <f ca="1">AVERAGE(OFFSET($R$3,0,0,'Données projet'!$E$9+1,1))-AVERAGE(OFFSET($H$3,0,0,'Données projet'!$E$9+1,1))</f>
        <v>262.38865315945856</v>
      </c>
      <c r="T36" s="62">
        <f t="shared" si="34"/>
        <v>268.78503805457069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19.980184380540866</v>
      </c>
      <c r="AA36" s="23">
        <f>EXP(-LN(2)/25)*AA35+(1-EXP(-LN(2)/25))/(LN(2)/25)*Calculateur!V36*Calculateur!X36*VLOOKUP('Données projet'!$B$9,Paramètres!$A$1:$I$89,3,0)*0.475*44/12</f>
        <v>1.8810188098411973</v>
      </c>
      <c r="AB36" s="23">
        <f>EXP(-LN(2)/2)*AB35+(1-EXP(-LN(2)/2))/(LN(2)/2)*V36*Y36*VLOOKUP('Données projet'!$B$9,Paramètres!$A$1:$I$89,3,0)*0.475*44/12</f>
        <v>1.8322375191590627</v>
      </c>
      <c r="AC36" s="24">
        <f t="shared" si="3"/>
        <v>23.693440709541125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16.895999999999997</v>
      </c>
      <c r="AI36" s="14">
        <f>IF('Données projet'!$A$62&gt;35,AI35+AH36-AQ35,IF(A36&lt;'Données projet'!$A$62,$AF$205^A36,IF(A36='Données projet'!$A$62,'Données projet'!$B$62,AI35+AH36-AQ35)))</f>
        <v>245.96799999999996</v>
      </c>
      <c r="AJ36" s="14">
        <f>AI36*VLOOKUP('Données projet'!$B$10,Paramètres!$A$1:$I$89,3,0)*VLOOKUP('Données projet'!$B$10,Paramètres!$A$1:$I$89,5,0)</f>
        <v>115.11302399999998</v>
      </c>
      <c r="AK36" s="14">
        <f t="shared" si="35"/>
        <v>30.532448996635239</v>
      </c>
      <c r="AL36" s="22">
        <f t="shared" si="4"/>
        <v>253.66586546913962</v>
      </c>
      <c r="AM36" s="62">
        <f t="shared" si="5"/>
        <v>546.99919880247296</v>
      </c>
      <c r="AN36" s="62">
        <f ca="1">AVERAGE(OFFSET($AM$3,0,0,'Données projet'!$E$10+1,1))-AVERAGE(OFFSET($H$3,0,0,'Données projet'!$E$10+1,1))</f>
        <v>199.36309817800088</v>
      </c>
      <c r="AO36" s="62">
        <f t="shared" si="36"/>
        <v>151.91120569748284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</v>
      </c>
      <c r="BD36" s="13">
        <f>IF('Données projet'!$A$88&gt;35,BD35+BC36-BL35,IF(A36&lt;'Données projet'!$A$88,$BA$205^A36,IF(A36='Données projet'!$A$88,'Données projet'!$B$88,BD35+BC36-BL35)))</f>
        <v>190.10000000000002</v>
      </c>
      <c r="BE36" s="14">
        <f>BD36*VLOOKUP('Données projet'!$B$11,Paramètres!$A$1:$I$89,3,0)*VLOOKUP('Données projet'!$B$11,Paramètres!$A$1:$I$89,5,0)</f>
        <v>113.67980000000001</v>
      </c>
      <c r="BF36" s="14">
        <f t="shared" si="37"/>
        <v>30.19630681882758</v>
      </c>
      <c r="BG36" s="22">
        <f t="shared" si="7"/>
        <v>250.58421937612471</v>
      </c>
      <c r="BH36" s="62">
        <f t="shared" si="8"/>
        <v>543.91755270945805</v>
      </c>
      <c r="BI36" s="62">
        <f ca="1">AVERAGE(OFFSET($BH$3,0,0,'Données projet'!$E$11+1,1))-AVERAGE(OFFSET($H$3,0,0,'Données projet'!$E$11+1,1))</f>
        <v>140.16059323013189</v>
      </c>
      <c r="BJ36" s="62">
        <f t="shared" si="38"/>
        <v>219.0992563594865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10.175214978008313</v>
      </c>
      <c r="BQ36" s="23">
        <f>EXP(-LN(2)/25)*BQ35+(1-EXP(-LN(2)/25))/(LN(2)/25)*Calculateur!BL36*Calculateur!BN36*VLOOKUP('Données projet'!$B$11,Paramètres!$A$1:$I$89,3,0)*0.475*44/12</f>
        <v>8.3395688256726022</v>
      </c>
      <c r="BR36" s="23">
        <f>EXP(-LN(2)/2)*BR35+(1-EXP(-LN(2)/2))/(LN(2)/2)*BL36*BO36*VLOOKUP('Données projet'!$B$11,Paramètres!$A$1:$I$89,3,0)*0.475*44/12</f>
        <v>3.8248776199111028</v>
      </c>
      <c r="BS36" s="24">
        <f t="shared" si="9"/>
        <v>22.339661423592016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2">
        <f t="shared" si="32"/>
        <v>7.9009151595869396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70">
        <f t="shared" si="1"/>
        <v>350.51175390294725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23.267142857142858</v>
      </c>
      <c r="N37" s="14">
        <f>IF('Données projet'!$A$36&gt;35,N36+M37-V36,IF(A37&lt;'Données projet'!$A$36,$K$205^A37,IF(A37='Données projet'!$A$36,'Données projet'!$B$36,N36+M37-V36)))</f>
        <v>353.85285714285715</v>
      </c>
      <c r="O37" s="14">
        <f>N37*VLOOKUP('Données projet'!$B$9,Paramètres!$A$1:$I$89,3,0)*VLOOKUP('Données projet'!$B$9,Paramètres!$A$1:$I$89,5,0)</f>
        <v>197.80374714285716</v>
      </c>
      <c r="P37" s="14">
        <f t="shared" si="33"/>
        <v>49.26118807441209</v>
      </c>
      <c r="Q37" s="22">
        <f t="shared" si="53"/>
        <v>430.30476217007725</v>
      </c>
      <c r="R37" s="62">
        <f t="shared" si="0"/>
        <v>723.63809550341057</v>
      </c>
      <c r="S37" s="62">
        <f ca="1">AVERAGE(OFFSET($R$3,0,0,'Données projet'!$E$9+1,1))-AVERAGE(OFFSET($H$3,0,0,'Données projet'!$E$9+1,1))</f>
        <v>262.38865315945856</v>
      </c>
      <c r="T37" s="62">
        <f t="shared" si="34"/>
        <v>268.78503805457069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19.588385151547595</v>
      </c>
      <c r="AA37" s="23">
        <f>EXP(-LN(2)/25)*AA36+(1-EXP(-LN(2)/25))/(LN(2)/25)*Calculateur!V37*Calculateur!X37*VLOOKUP('Données projet'!$B$9,Paramètres!$A$1:$I$89,3,0)*0.475*44/12</f>
        <v>1.8295822515676097</v>
      </c>
      <c r="AB37" s="23">
        <f>EXP(-LN(2)/2)*AB36+(1-EXP(-LN(2)/2))/(LN(2)/2)*V37*Y37*VLOOKUP('Données projet'!$B$9,Paramètres!$A$1:$I$89,3,0)*0.475*44/12</f>
        <v>1.2955875745417902</v>
      </c>
      <c r="AC37" s="24">
        <f t="shared" si="3"/>
        <v>22.713554977656997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16.895999999999997</v>
      </c>
      <c r="AI37" s="14">
        <f>IF('Données projet'!$A$62&gt;35,AI36+AH37-AQ36,IF(A37&lt;'Données projet'!$A$62,$AF$205^A37,IF(A37='Données projet'!$A$62,'Données projet'!$B$62,AI36+AH37-AQ36)))</f>
        <v>262.86399999999998</v>
      </c>
      <c r="AJ37" s="14">
        <f>AI37*VLOOKUP('Données projet'!$B$10,Paramètres!$A$1:$I$89,3,0)*VLOOKUP('Données projet'!$B$10,Paramètres!$A$1:$I$89,5,0)</f>
        <v>123.02035199999999</v>
      </c>
      <c r="AK37" s="14">
        <f t="shared" si="35"/>
        <v>32.378424412524012</v>
      </c>
      <c r="AL37" s="22">
        <f t="shared" si="4"/>
        <v>270.65286891847927</v>
      </c>
      <c r="AM37" s="62">
        <f t="shared" si="5"/>
        <v>563.98620225181253</v>
      </c>
      <c r="AN37" s="62">
        <f ca="1">AVERAGE(OFFSET($AM$3,0,0,'Données projet'!$E$10+1,1))-AVERAGE(OFFSET($H$3,0,0,'Données projet'!$E$10+1,1))</f>
        <v>199.36309817800088</v>
      </c>
      <c r="AO37" s="62">
        <f t="shared" si="36"/>
        <v>151.91120569748284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</v>
      </c>
      <c r="BD37" s="13">
        <f>IF('Données projet'!$A$88&gt;35,BD36+BC37-BL36,IF(A37&lt;'Données projet'!$A$88,$BA$205^A37,IF(A37='Données projet'!$A$88,'Données projet'!$B$88,BD36+BC37-BL36)))</f>
        <v>200.8</v>
      </c>
      <c r="BE37" s="14">
        <f>BD37*VLOOKUP('Données projet'!$B$11,Paramètres!$A$1:$I$89,3,0)*VLOOKUP('Données projet'!$B$11,Paramètres!$A$1:$I$89,5,0)</f>
        <v>120.07840000000002</v>
      </c>
      <c r="BF37" s="14">
        <f t="shared" si="37"/>
        <v>31.693284111529564</v>
      </c>
      <c r="BG37" s="22">
        <f t="shared" si="7"/>
        <v>264.33568316091396</v>
      </c>
      <c r="BH37" s="62">
        <f t="shared" si="8"/>
        <v>557.66901649424722</v>
      </c>
      <c r="BI37" s="62">
        <f ca="1">AVERAGE(OFFSET($BH$3,0,0,'Données projet'!$E$11+1,1))-AVERAGE(OFFSET($H$3,0,0,'Données projet'!$E$11+1,1))</f>
        <v>140.16059323013189</v>
      </c>
      <c r="BJ37" s="62">
        <f t="shared" si="38"/>
        <v>219.0992563594865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9.9756852185578886</v>
      </c>
      <c r="BQ37" s="23">
        <f>EXP(-LN(2)/25)*BQ36+(1-EXP(-LN(2)/25))/(LN(2)/25)*Calculateur!BL37*Calculateur!BN37*VLOOKUP('Données projet'!$B$11,Paramètres!$A$1:$I$89,3,0)*0.475*44/12</f>
        <v>8.1115228775757213</v>
      </c>
      <c r="BR37" s="23">
        <f>EXP(-LN(2)/2)*BR36+(1-EXP(-LN(2)/2))/(LN(2)/2)*BL37*BO37*VLOOKUP('Données projet'!$B$11,Paramètres!$A$1:$I$89,3,0)*0.475*44/12</f>
        <v>2.7045969022478031</v>
      </c>
      <c r="BS37" s="24">
        <f t="shared" si="9"/>
        <v>20.791804998381412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2">
        <f t="shared" si="32"/>
        <v>8.1058983118768086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70">
        <f t="shared" si="1"/>
        <v>352.14575622651876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377.12</v>
      </c>
      <c r="L38" s="13">
        <f>VLOOKUP(A38,'Données projet'!$A$35:$I$55,9,0)</f>
        <v>23.267142857142858</v>
      </c>
      <c r="M38" s="13">
        <f t="array" ref="M38">INDEX(L:L,MIN(IF(ISNUMBER(L38:L234),ROW(L38:L234),"")))</f>
        <v>23.267142857142858</v>
      </c>
      <c r="N38" s="14">
        <f>IF('Données projet'!$A$36&gt;35,N37+M38-V37,IF(A38&lt;'Données projet'!$A$36,$K$205^A38,IF(A38='Données projet'!$A$36,'Données projet'!$B$36,N37+M38-V37)))</f>
        <v>377.12</v>
      </c>
      <c r="O38" s="14">
        <f>N38*VLOOKUP('Données projet'!$B$9,Paramètres!$A$1:$I$89,3,0)*VLOOKUP('Données projet'!$B$9,Paramètres!$A$1:$I$89,5,0)</f>
        <v>210.81008</v>
      </c>
      <c r="P38" s="14">
        <f t="shared" si="33"/>
        <v>52.112568873523912</v>
      </c>
      <c r="Q38" s="22">
        <f t="shared" si="53"/>
        <v>457.92361345472085</v>
      </c>
      <c r="R38" s="62">
        <f t="shared" si="0"/>
        <v>751.25694678805417</v>
      </c>
      <c r="S38" s="62">
        <f ca="1">AVERAGE(OFFSET($R$3,0,0,'Données projet'!$E$9+1,1))-AVERAGE(OFFSET($H$3,0,0,'Données projet'!$E$9+1,1))</f>
        <v>262.38865315945856</v>
      </c>
      <c r="T38" s="62">
        <f t="shared" si="34"/>
        <v>268.78503805457069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86.68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19.204268866460946</v>
      </c>
      <c r="AA38" s="23">
        <f>EXP(-LN(2)/25)*AA37+(1-EXP(-LN(2)/25))/(LN(2)/25)*Calculateur!V38*Calculateur!X38*VLOOKUP('Données projet'!$B$9,Paramètres!$A$1:$I$89,3,0)*0.475*44/12</f>
        <v>1.7795522286849443</v>
      </c>
      <c r="AB38" s="23">
        <f>EXP(-LN(2)/2)*AB37+(1-EXP(-LN(2)/2))/(LN(2)/2)*V38*Y38*VLOOKUP('Données projet'!$B$9,Paramètres!$A$1:$I$89,3,0)*0.475*44/12</f>
        <v>0.91611875957953148</v>
      </c>
      <c r="AC38" s="24">
        <f t="shared" si="3"/>
        <v>21.899939854725424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279.76</v>
      </c>
      <c r="AG38" s="13">
        <f>VLOOKUP(A38,'Données projet'!$A$61:$I$81,9,0)</f>
        <v>16.895999999999997</v>
      </c>
      <c r="AH38" s="13">
        <f t="array" ref="AH38">INDEX(AG:AG,MIN(IF(ISNUMBER(AG38:AG234),ROW(AG38:AG234),"")))</f>
        <v>16.895999999999997</v>
      </c>
      <c r="AI38" s="14">
        <f>IF('Données projet'!$A$62&gt;35,AI37+AH38-AQ37,IF(A38&lt;'Données projet'!$A$62,$AF$205^A38,IF(A38='Données projet'!$A$62,'Données projet'!$B$62,AI37+AH38-AQ37)))</f>
        <v>279.76</v>
      </c>
      <c r="AJ38" s="14">
        <f>AI38*VLOOKUP('Données projet'!$B$10,Paramètres!$A$1:$I$89,3,0)*VLOOKUP('Données projet'!$B$10,Paramètres!$A$1:$I$89,5,0)</f>
        <v>130.92768000000001</v>
      </c>
      <c r="AK38" s="14">
        <f t="shared" si="35"/>
        <v>34.210630151715954</v>
      </c>
      <c r="AL38" s="22">
        <f t="shared" si="4"/>
        <v>287.6158901809053</v>
      </c>
      <c r="AM38" s="62">
        <f t="shared" si="5"/>
        <v>580.94922351423861</v>
      </c>
      <c r="AN38" s="62">
        <f ca="1">AVERAGE(OFFSET($AM$3,0,0,'Données projet'!$E$10+1,1))-AVERAGE(OFFSET($H$3,0,0,'Données projet'!$E$10+1,1))</f>
        <v>199.36309817800088</v>
      </c>
      <c r="AO38" s="62">
        <f t="shared" si="36"/>
        <v>151.91120569748284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10.7</v>
      </c>
      <c r="BD38" s="13">
        <f>IF('Données projet'!$A$88&gt;35,BD37+BC38-BL37,IF(A38&lt;'Données projet'!$A$88,$BA$205^A38,IF(A38='Données projet'!$A$88,'Données projet'!$B$88,BD37+BC38-BL37)))</f>
        <v>211.5</v>
      </c>
      <c r="BE38" s="14">
        <f>BD38*VLOOKUP('Données projet'!$B$11,Paramètres!$A$1:$I$89,3,0)*VLOOKUP('Données projet'!$B$11,Paramètres!$A$1:$I$89,5,0)</f>
        <v>126.47700000000002</v>
      </c>
      <c r="BF38" s="14">
        <f t="shared" si="37"/>
        <v>33.181000378224027</v>
      </c>
      <c r="BG38" s="22">
        <f t="shared" si="7"/>
        <v>278.0710173254069</v>
      </c>
      <c r="BH38" s="62">
        <f t="shared" si="8"/>
        <v>571.40435065874021</v>
      </c>
      <c r="BI38" s="62">
        <f ca="1">AVERAGE(OFFSET($BH$3,0,0,'Données projet'!$E$11+1,1))-AVERAGE(OFFSET($H$3,0,0,'Données projet'!$E$11+1,1))</f>
        <v>140.16059323013189</v>
      </c>
      <c r="BJ38" s="62">
        <f t="shared" si="38"/>
        <v>219.0992563594865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9.7800681159891507</v>
      </c>
      <c r="BQ38" s="23">
        <f>EXP(-LN(2)/25)*BQ37+(1-EXP(-LN(2)/25))/(LN(2)/25)*Calculateur!BL38*Calculateur!BN38*VLOOKUP('Données projet'!$B$11,Paramètres!$A$1:$I$89,3,0)*0.475*44/12</f>
        <v>7.889712857921964</v>
      </c>
      <c r="BR38" s="23">
        <f>EXP(-LN(2)/2)*BR37+(1-EXP(-LN(2)/2))/(LN(2)/2)*BL38*BO38*VLOOKUP('Données projet'!$B$11,Paramètres!$A$1:$I$89,3,0)*0.475*44/12</f>
        <v>1.9124388099555518</v>
      </c>
      <c r="BS38" s="24">
        <f t="shared" si="9"/>
        <v>19.58221978386667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2">
        <f t="shared" si="32"/>
        <v>8.3102007832524443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70">
        <f t="shared" si="1"/>
        <v>353.77857303083135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22.82714285714286</v>
      </c>
      <c r="N39" s="14">
        <f>IF('Données projet'!$A$36&gt;35,N38+M39-V38,IF(A39&lt;'Données projet'!$A$36,$K$205^A39,IF(A39='Données projet'!$A$36,'Données projet'!$B$36,N38+M39-V38)))</f>
        <v>313.26714285714286</v>
      </c>
      <c r="O39" s="14">
        <f>N39*VLOOKUP('Données projet'!$B$9,Paramètres!$A$1:$I$89,3,0)*VLOOKUP('Données projet'!$B$9,Paramètres!$A$1:$I$89,5,0)</f>
        <v>175.11633285714288</v>
      </c>
      <c r="P39" s="14">
        <f t="shared" si="33"/>
        <v>44.233926946721667</v>
      </c>
      <c r="Q39" s="22">
        <f t="shared" si="53"/>
        <v>382.03503582506414</v>
      </c>
      <c r="R39" s="62">
        <f t="shared" si="0"/>
        <v>675.3683691583974</v>
      </c>
      <c r="S39" s="62">
        <f ca="1">AVERAGE(OFFSET($R$3,0,0,'Données projet'!$E$9+1,1))-AVERAGE(OFFSET($H$3,0,0,'Données projet'!$E$9+1,1))</f>
        <v>262.38865315945856</v>
      </c>
      <c r="T39" s="62">
        <f t="shared" si="34"/>
        <v>268.78503805457069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18.82768486743705</v>
      </c>
      <c r="AA39" s="23">
        <f>EXP(-LN(2)/25)*AA38+(1-EXP(-LN(2)/25))/(LN(2)/25)*Calculateur!V39*Calculateur!X39*VLOOKUP('Données projet'!$B$9,Paramètres!$A$1:$I$89,3,0)*0.475*44/12</f>
        <v>1.73089027940897</v>
      </c>
      <c r="AB39" s="23">
        <f>EXP(-LN(2)/2)*AB38+(1-EXP(-LN(2)/2))/(LN(2)/2)*V39*Y39*VLOOKUP('Données projet'!$B$9,Paramètres!$A$1:$I$89,3,0)*0.475*44/12</f>
        <v>0.6477937872708952</v>
      </c>
      <c r="AC39" s="24">
        <f t="shared" si="3"/>
        <v>21.206368934116917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19.571428571428573</v>
      </c>
      <c r="AI39" s="14">
        <f>IF('Données projet'!$A$62&gt;35,AI38+AH39-AQ38,IF(A39&lt;'Données projet'!$A$62,$AF$205^A39,IF(A39='Données projet'!$A$62,'Données projet'!$B$62,AI38+AH39-AQ38)))</f>
        <v>299.33142857142855</v>
      </c>
      <c r="AJ39" s="14">
        <f>AI39*VLOOKUP('Données projet'!$B$10,Paramètres!$A$1:$I$89,3,0)*VLOOKUP('Données projet'!$B$10,Paramètres!$A$1:$I$89,5,0)</f>
        <v>140.08710857142856</v>
      </c>
      <c r="AK39" s="14">
        <f t="shared" si="35"/>
        <v>36.316960123042108</v>
      </c>
      <c r="AL39" s="22">
        <f t="shared" si="4"/>
        <v>307.23708630953638</v>
      </c>
      <c r="AM39" s="62">
        <f t="shared" si="5"/>
        <v>600.57041964286964</v>
      </c>
      <c r="AN39" s="62">
        <f ca="1">AVERAGE(OFFSET($AM$3,0,0,'Données projet'!$E$10+1,1))-AVERAGE(OFFSET($H$3,0,0,'Données projet'!$E$10+1,1))</f>
        <v>199.36309817800088</v>
      </c>
      <c r="AO39" s="62">
        <f t="shared" si="36"/>
        <v>151.91120569748284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10.7</v>
      </c>
      <c r="BD39" s="13">
        <f>IF('Données projet'!$A$88&gt;35,BD38+BC39-BL38,IF(A39&lt;'Données projet'!$A$88,$BA$205^A39,IF(A39='Données projet'!$A$88,'Données projet'!$B$88,BD38+BC39-BL38)))</f>
        <v>222.2</v>
      </c>
      <c r="BE39" s="14">
        <f>BD39*VLOOKUP('Données projet'!$B$11,Paramètres!$A$1:$I$89,3,0)*VLOOKUP('Données projet'!$B$11,Paramètres!$A$1:$I$89,5,0)</f>
        <v>132.87560000000002</v>
      </c>
      <c r="BF39" s="14">
        <f t="shared" si="37"/>
        <v>34.659977599024245</v>
      </c>
      <c r="BG39" s="22">
        <f t="shared" si="7"/>
        <v>291.79113098496725</v>
      </c>
      <c r="BH39" s="62">
        <f t="shared" si="8"/>
        <v>585.12446431830062</v>
      </c>
      <c r="BI39" s="62">
        <f ca="1">AVERAGE(OFFSET($BH$3,0,0,'Données projet'!$E$11+1,1))-AVERAGE(OFFSET($H$3,0,0,'Données projet'!$E$11+1,1))</f>
        <v>140.16059323013189</v>
      </c>
      <c r="BJ39" s="62">
        <f t="shared" si="38"/>
        <v>219.0992563594865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9.588286945487134</v>
      </c>
      <c r="BQ39" s="23">
        <f>EXP(-LN(2)/25)*BQ38+(1-EXP(-LN(2)/25))/(LN(2)/25)*Calculateur!BL39*Calculateur!BN39*VLOOKUP('Données projet'!$B$11,Paramètres!$A$1:$I$89,3,0)*0.475*44/12</f>
        <v>7.673968244920121</v>
      </c>
      <c r="BR39" s="23">
        <f>EXP(-LN(2)/2)*BR38+(1-EXP(-LN(2)/2))/(LN(2)/2)*BL39*BO39*VLOOKUP('Données projet'!$B$11,Paramètres!$A$1:$I$89,3,0)*0.475*44/12</f>
        <v>1.3522984511239018</v>
      </c>
      <c r="BS39" s="24">
        <f t="shared" si="9"/>
        <v>18.614553641531156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2">
        <f t="shared" si="32"/>
        <v>8.5138436537878803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70">
        <f t="shared" si="1"/>
        <v>355.41024103034721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22.82714285714286</v>
      </c>
      <c r="N40" s="14">
        <f>IF('Données projet'!$A$36&gt;35,N39+M40-V39,IF(A40&lt;'Données projet'!$A$36,$K$205^A40,IF(A40='Données projet'!$A$36,'Données projet'!$B$36,N39+M40-V39)))</f>
        <v>336.09428571428572</v>
      </c>
      <c r="O40" s="14">
        <f>N40*VLOOKUP('Données projet'!$B$9,Paramètres!$A$1:$I$89,3,0)*VLOOKUP('Données projet'!$B$9,Paramètres!$A$1:$I$89,5,0)</f>
        <v>187.87670571428572</v>
      </c>
      <c r="P40" s="14">
        <f t="shared" si="33"/>
        <v>47.070216037627915</v>
      </c>
      <c r="Q40" s="22">
        <f t="shared" si="53"/>
        <v>409.19922205124954</v>
      </c>
      <c r="R40" s="62">
        <f t="shared" si="0"/>
        <v>702.53255538458279</v>
      </c>
      <c r="S40" s="62">
        <f ca="1">AVERAGE(OFFSET($R$3,0,0,'Données projet'!$E$9+1,1))-AVERAGE(OFFSET($H$3,0,0,'Données projet'!$E$9+1,1))</f>
        <v>262.38865315945856</v>
      </c>
      <c r="T40" s="62">
        <f t="shared" si="34"/>
        <v>268.78503805457069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18.458485450940451</v>
      </c>
      <c r="AA40" s="23">
        <f>EXP(-LN(2)/25)*AA39+(1-EXP(-LN(2)/25))/(LN(2)/25)*Calculateur!V40*Calculateur!X40*VLOOKUP('Données projet'!$B$9,Paramètres!$A$1:$I$89,3,0)*0.475*44/12</f>
        <v>1.683558993694968</v>
      </c>
      <c r="AB40" s="23">
        <f>EXP(-LN(2)/2)*AB39+(1-EXP(-LN(2)/2))/(LN(2)/2)*V40*Y40*VLOOKUP('Données projet'!$B$9,Paramètres!$A$1:$I$89,3,0)*0.475*44/12</f>
        <v>0.45805937978976585</v>
      </c>
      <c r="AC40" s="24">
        <f t="shared" si="3"/>
        <v>20.600103824425187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19.571428571428573</v>
      </c>
      <c r="AI40" s="14">
        <f>IF('Données projet'!$A$62&gt;35,AI39+AH40-AQ39,IF(A40&lt;'Données projet'!$A$62,$AF$205^A40,IF(A40='Données projet'!$A$62,'Données projet'!$B$62,AI39+AH40-AQ39)))</f>
        <v>318.9028571428571</v>
      </c>
      <c r="AJ40" s="14">
        <f>AI40*VLOOKUP('Données projet'!$B$10,Paramètres!$A$1:$I$89,3,0)*VLOOKUP('Données projet'!$B$10,Paramètres!$A$1:$I$89,5,0)</f>
        <v>149.24653714285711</v>
      </c>
      <c r="AK40" s="14">
        <f t="shared" si="35"/>
        <v>38.40730833189388</v>
      </c>
      <c r="AL40" s="22">
        <f t="shared" si="4"/>
        <v>326.83044753519135</v>
      </c>
      <c r="AM40" s="62">
        <f t="shared" si="5"/>
        <v>620.16378086852467</v>
      </c>
      <c r="AN40" s="62">
        <f ca="1">AVERAGE(OFFSET($AM$3,0,0,'Données projet'!$E$10+1,1))-AVERAGE(OFFSET($H$3,0,0,'Données projet'!$E$10+1,1))</f>
        <v>199.36309817800088</v>
      </c>
      <c r="AO40" s="62">
        <f t="shared" si="36"/>
        <v>151.91120569748284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10.7</v>
      </c>
      <c r="BD40" s="13">
        <f>IF('Données projet'!$A$88&gt;35,BD39+BC40-BL39,IF(A40&lt;'Données projet'!$A$88,$BA$205^A40,IF(A40='Données projet'!$A$88,'Données projet'!$B$88,BD39+BC40-BL39)))</f>
        <v>232.89999999999998</v>
      </c>
      <c r="BE40" s="14">
        <f>BD40*VLOOKUP('Données projet'!$B$11,Paramètres!$A$1:$I$89,3,0)*VLOOKUP('Données projet'!$B$11,Paramètres!$A$1:$I$89,5,0)</f>
        <v>139.27420000000001</v>
      </c>
      <c r="BF40" s="14">
        <f t="shared" si="37"/>
        <v>36.130684641909269</v>
      </c>
      <c r="BG40" s="22">
        <f t="shared" si="7"/>
        <v>305.49684075132535</v>
      </c>
      <c r="BH40" s="62">
        <f t="shared" si="8"/>
        <v>598.83017408465867</v>
      </c>
      <c r="BI40" s="62">
        <f ca="1">AVERAGE(OFFSET($BH$3,0,0,'Données projet'!$E$11+1,1))-AVERAGE(OFFSET($H$3,0,0,'Données projet'!$E$11+1,1))</f>
        <v>140.16059323013189</v>
      </c>
      <c r="BJ40" s="62">
        <f t="shared" si="38"/>
        <v>219.0992563594865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9.400266486763698</v>
      </c>
      <c r="BQ40" s="23">
        <f>EXP(-LN(2)/25)*BQ39+(1-EXP(-LN(2)/25))/(LN(2)/25)*Calculateur!BL40*Calculateur!BN40*VLOOKUP('Données projet'!$B$11,Paramètres!$A$1:$I$89,3,0)*0.475*44/12</f>
        <v>7.4641231797063297</v>
      </c>
      <c r="BR40" s="23">
        <f>EXP(-LN(2)/2)*BR39+(1-EXP(-LN(2)/2))/(LN(2)/2)*BL40*BO40*VLOOKUP('Données projet'!$B$11,Paramètres!$A$1:$I$89,3,0)*0.475*44/12</f>
        <v>0.95621940497777602</v>
      </c>
      <c r="BS40" s="24">
        <f t="shared" si="9"/>
        <v>17.820609071447805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2">
        <f t="shared" si="32"/>
        <v>8.7168467992286693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70">
        <f t="shared" si="1"/>
        <v>357.04079484198991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22.82714285714286</v>
      </c>
      <c r="N41" s="14">
        <f>IF('Données projet'!$A$36&gt;35,N40+M41-V40,IF(A41&lt;'Données projet'!$A$36,$K$205^A41,IF(A41='Données projet'!$A$36,'Données projet'!$B$36,N40+M41-V40)))</f>
        <v>358.92142857142858</v>
      </c>
      <c r="O41" s="14">
        <f>N41*VLOOKUP('Données projet'!$B$9,Paramètres!$A$1:$I$89,3,0)*VLOOKUP('Données projet'!$B$9,Paramètres!$A$1:$I$89,5,0)</f>
        <v>200.63707857142856</v>
      </c>
      <c r="P41" s="14">
        <f t="shared" si="33"/>
        <v>49.884152387105956</v>
      </c>
      <c r="Q41" s="22">
        <f t="shared" si="53"/>
        <v>436.32447725278098</v>
      </c>
      <c r="R41" s="62">
        <f t="shared" si="0"/>
        <v>729.65781058611424</v>
      </c>
      <c r="S41" s="62">
        <f ca="1">AVERAGE(OFFSET($R$3,0,0,'Données projet'!$E$9+1,1))-AVERAGE(OFFSET($H$3,0,0,'Données projet'!$E$9+1,1))</f>
        <v>262.38865315945856</v>
      </c>
      <c r="T41" s="62">
        <f t="shared" si="34"/>
        <v>268.78503805457069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18.096525809811943</v>
      </c>
      <c r="AA41" s="23">
        <f>EXP(-LN(2)/25)*AA40+(1-EXP(-LN(2)/25))/(LN(2)/25)*Calculateur!V41*Calculateur!X41*VLOOKUP('Données projet'!$B$9,Paramètres!$A$1:$I$89,3,0)*0.475*44/12</f>
        <v>1.6375219844778595</v>
      </c>
      <c r="AB41" s="23">
        <f>EXP(-LN(2)/2)*AB40+(1-EXP(-LN(2)/2))/(LN(2)/2)*V41*Y41*VLOOKUP('Données projet'!$B$9,Paramètres!$A$1:$I$89,3,0)*0.475*44/12</f>
        <v>0.32389689363544766</v>
      </c>
      <c r="AC41" s="24">
        <f t="shared" si="3"/>
        <v>20.05794468792525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19.571428571428573</v>
      </c>
      <c r="AI41" s="14">
        <f>IF('Données projet'!$A$62&gt;35,AI40+AH41-AQ40,IF(A41&lt;'Données projet'!$A$62,$AF$205^A41,IF(A41='Données projet'!$A$62,'Données projet'!$B$62,AI40+AH41-AQ40)))</f>
        <v>338.47428571428566</v>
      </c>
      <c r="AJ41" s="14">
        <f>AI41*VLOOKUP('Données projet'!$B$10,Paramètres!$A$1:$I$89,3,0)*VLOOKUP('Données projet'!$B$10,Paramètres!$A$1:$I$89,5,0)</f>
        <v>158.40596571428568</v>
      </c>
      <c r="AK41" s="14">
        <f t="shared" si="35"/>
        <v>40.482767275652961</v>
      </c>
      <c r="AL41" s="22">
        <f t="shared" si="4"/>
        <v>346.39787662414318</v>
      </c>
      <c r="AM41" s="62">
        <f t="shared" si="5"/>
        <v>639.73120995747649</v>
      </c>
      <c r="AN41" s="62">
        <f ca="1">AVERAGE(OFFSET($AM$3,0,0,'Données projet'!$E$10+1,1))-AVERAGE(OFFSET($H$3,0,0,'Données projet'!$E$10+1,1))</f>
        <v>199.36309817800088</v>
      </c>
      <c r="AO41" s="62">
        <f t="shared" si="36"/>
        <v>151.91120569748284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10.7</v>
      </c>
      <c r="BD41" s="13">
        <f>IF('Données projet'!$A$88&gt;35,BD40+BC41-BL40,IF(A41&lt;'Données projet'!$A$88,$BA$205^A41,IF(A41='Données projet'!$A$88,'Données projet'!$B$88,BD40+BC41-BL40)))</f>
        <v>243.59999999999997</v>
      </c>
      <c r="BE41" s="14">
        <f>BD41*VLOOKUP('Données projet'!$B$11,Paramètres!$A$1:$I$89,3,0)*VLOOKUP('Données projet'!$B$11,Paramètres!$A$1:$I$89,5,0)</f>
        <v>145.6728</v>
      </c>
      <c r="BF41" s="14">
        <f t="shared" si="37"/>
        <v>37.593544857919731</v>
      </c>
      <c r="BG41" s="22">
        <f t="shared" si="7"/>
        <v>319.18888396087686</v>
      </c>
      <c r="BH41" s="62">
        <f t="shared" si="8"/>
        <v>612.52221729421012</v>
      </c>
      <c r="BI41" s="62">
        <f ca="1">AVERAGE(OFFSET($BH$3,0,0,'Données projet'!$E$11+1,1))-AVERAGE(OFFSET($H$3,0,0,'Données projet'!$E$11+1,1))</f>
        <v>140.16059323013189</v>
      </c>
      <c r="BJ41" s="62">
        <f t="shared" si="38"/>
        <v>219.0992563594865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9.2159329945546737</v>
      </c>
      <c r="BQ41" s="23">
        <f>EXP(-LN(2)/25)*BQ40+(1-EXP(-LN(2)/25))/(LN(2)/25)*Calculateur!BL41*Calculateur!BN41*VLOOKUP('Données projet'!$B$11,Paramètres!$A$1:$I$89,3,0)*0.475*44/12</f>
        <v>7.2600163388360812</v>
      </c>
      <c r="BR41" s="23">
        <f>EXP(-LN(2)/2)*BR40+(1-EXP(-LN(2)/2))/(LN(2)/2)*BL41*BO41*VLOOKUP('Données projet'!$B$11,Paramètres!$A$1:$I$89,3,0)*0.475*44/12</f>
        <v>0.67614922556195101</v>
      </c>
      <c r="BS41" s="24">
        <f t="shared" si="9"/>
        <v>17.152098558952705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2">
        <f t="shared" si="32"/>
        <v>8.9192289896543855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70">
        <f t="shared" si="1"/>
        <v>358.67026715698137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22.82714285714286</v>
      </c>
      <c r="N42" s="14">
        <f>IF('Données projet'!$A$36&gt;35,N41+M42-V41,IF(A42&lt;'Données projet'!$A$36,$K$205^A42,IF(A42='Données projet'!$A$36,'Données projet'!$B$36,N41+M42-V41)))</f>
        <v>381.74857142857144</v>
      </c>
      <c r="O42" s="14">
        <f>N42*VLOOKUP('Données projet'!$B$9,Paramètres!$A$1:$I$89,3,0)*VLOOKUP('Données projet'!$B$9,Paramètres!$A$1:$I$89,5,0)</f>
        <v>213.39745142857146</v>
      </c>
      <c r="P42" s="14">
        <f t="shared" si="33"/>
        <v>52.67731943158536</v>
      </c>
      <c r="Q42" s="22">
        <f t="shared" si="53"/>
        <v>463.41355924810642</v>
      </c>
      <c r="R42" s="62">
        <f t="shared" si="0"/>
        <v>756.74689258143974</v>
      </c>
      <c r="S42" s="62">
        <f ca="1">AVERAGE(OFFSET($R$3,0,0,'Données projet'!$E$9+1,1))-AVERAGE(OFFSET($H$3,0,0,'Données projet'!$E$9+1,1))</f>
        <v>262.38865315945856</v>
      </c>
      <c r="T42" s="62">
        <f t="shared" si="34"/>
        <v>268.78503805457069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17.741663976472385</v>
      </c>
      <c r="AA42" s="23">
        <f>EXP(-LN(2)/25)*AA41+(1-EXP(-LN(2)/25))/(LN(2)/25)*Calculateur!V42*Calculateur!X42*VLOOKUP('Données projet'!$B$9,Paramètres!$A$1:$I$89,3,0)*0.475*44/12</f>
        <v>1.5927438596987737</v>
      </c>
      <c r="AB42" s="23">
        <f>EXP(-LN(2)/2)*AB41+(1-EXP(-LN(2)/2))/(LN(2)/2)*V42*Y42*VLOOKUP('Données projet'!$B$9,Paramètres!$A$1:$I$89,3,0)*0.475*44/12</f>
        <v>0.22902968989488295</v>
      </c>
      <c r="AC42" s="24">
        <f t="shared" si="3"/>
        <v>19.563437526066043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19.571428571428573</v>
      </c>
      <c r="AI42" s="14">
        <f>IF('Données projet'!$A$62&gt;35,AI41+AH42-AQ41,IF(A42&lt;'Données projet'!$A$62,$AF$205^A42,IF(A42='Données projet'!$A$62,'Données projet'!$B$62,AI41+AH42-AQ41)))</f>
        <v>358.04571428571421</v>
      </c>
      <c r="AJ42" s="14">
        <f>AI42*VLOOKUP('Données projet'!$B$10,Paramètres!$A$1:$I$89,3,0)*VLOOKUP('Données projet'!$B$10,Paramètres!$A$1:$I$89,5,0)</f>
        <v>167.56539428571426</v>
      </c>
      <c r="AK42" s="14">
        <f t="shared" si="35"/>
        <v>42.544295973339878</v>
      </c>
      <c r="AL42" s="22">
        <f t="shared" si="4"/>
        <v>365.94104386785261</v>
      </c>
      <c r="AM42" s="62">
        <f t="shared" si="5"/>
        <v>659.27437720118587</v>
      </c>
      <c r="AN42" s="62">
        <f ca="1">AVERAGE(OFFSET($AM$3,0,0,'Données projet'!$E$10+1,1))-AVERAGE(OFFSET($H$3,0,0,'Données projet'!$E$10+1,1))</f>
        <v>199.36309817800088</v>
      </c>
      <c r="AO42" s="62">
        <f t="shared" si="36"/>
        <v>151.91120569748284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10.7</v>
      </c>
      <c r="BD42" s="13">
        <f>IF('Données projet'!$A$88&gt;35,BD41+BC42-BL41,IF(A42&lt;'Données projet'!$A$88,$BA$205^A42,IF(A42='Données projet'!$A$88,'Données projet'!$B$88,BD41+BC42-BL41)))</f>
        <v>254.29999999999995</v>
      </c>
      <c r="BE42" s="14">
        <f>BD42*VLOOKUP('Données projet'!$B$11,Paramètres!$A$1:$I$89,3,0)*VLOOKUP('Données projet'!$B$11,Paramètres!$A$1:$I$89,5,0)</f>
        <v>152.07139999999998</v>
      </c>
      <c r="BF42" s="14">
        <f t="shared" si="37"/>
        <v>39.048942304224767</v>
      </c>
      <c r="BG42" s="22">
        <f t="shared" si="7"/>
        <v>332.86792951319143</v>
      </c>
      <c r="BH42" s="62">
        <f t="shared" si="8"/>
        <v>626.20126284652474</v>
      </c>
      <c r="BI42" s="62">
        <f ca="1">AVERAGE(OFFSET($BH$3,0,0,'Données projet'!$E$11+1,1))-AVERAGE(OFFSET($H$3,0,0,'Données projet'!$E$11+1,1))</f>
        <v>140.16059323013189</v>
      </c>
      <c r="BJ42" s="62">
        <f t="shared" si="38"/>
        <v>219.0992563594865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9.0352141696955393</v>
      </c>
      <c r="BQ42" s="23">
        <f>EXP(-LN(2)/25)*BQ41+(1-EXP(-LN(2)/25))/(LN(2)/25)*Calculateur!BL42*Calculateur!BN42*VLOOKUP('Données projet'!$B$11,Paramètres!$A$1:$I$89,3,0)*0.475*44/12</f>
        <v>7.0614908102629421</v>
      </c>
      <c r="BR42" s="23">
        <f>EXP(-LN(2)/2)*BR41+(1-EXP(-LN(2)/2))/(LN(2)/2)*BL42*BO42*VLOOKUP('Données projet'!$B$11,Paramètres!$A$1:$I$89,3,0)*0.475*44/12</f>
        <v>0.47810970248888807</v>
      </c>
      <c r="BS42" s="24">
        <f t="shared" si="9"/>
        <v>16.574814682447368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2">
        <f t="shared" si="32"/>
        <v>9.1210079777371842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70">
        <f t="shared" si="1"/>
        <v>360.29868889455889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22.82714285714286</v>
      </c>
      <c r="N43" s="14">
        <f>IF('Données projet'!$A$36&gt;35,N42+M43-V42,IF(A43&lt;'Données projet'!$A$36,$K$205^A43,IF(A43='Données projet'!$A$36,'Données projet'!$B$36,N42+M43-V42)))</f>
        <v>404.5757142857143</v>
      </c>
      <c r="O43" s="14">
        <f>N43*VLOOKUP('Données projet'!$B$9,Paramètres!$A$1:$I$89,3,0)*VLOOKUP('Données projet'!$B$9,Paramètres!$A$1:$I$89,5,0)</f>
        <v>226.1578242857143</v>
      </c>
      <c r="P43" s="14">
        <f t="shared" si="33"/>
        <v>55.451100541643569</v>
      </c>
      <c r="Q43" s="22">
        <f t="shared" si="53"/>
        <v>490.46887740764834</v>
      </c>
      <c r="R43" s="62">
        <f t="shared" si="0"/>
        <v>783.80221074098165</v>
      </c>
      <c r="S43" s="62">
        <f ca="1">AVERAGE(OFFSET($R$3,0,0,'Données projet'!$E$9+1,1))-AVERAGE(OFFSET($H$3,0,0,'Données projet'!$E$9+1,1))</f>
        <v>262.38865315945856</v>
      </c>
      <c r="T43" s="62">
        <f t="shared" si="34"/>
        <v>268.78503805457069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17.393760767240266</v>
      </c>
      <c r="AA43" s="23">
        <f>EXP(-LN(2)/25)*AA42+(1-EXP(-LN(2)/25))/(LN(2)/25)*Calculateur!V43*Calculateur!X43*VLOOKUP('Données projet'!$B$9,Paramètres!$A$1:$I$89,3,0)*0.475*44/12</f>
        <v>1.5491901950965514</v>
      </c>
      <c r="AB43" s="23">
        <f>EXP(-LN(2)/2)*AB42+(1-EXP(-LN(2)/2))/(LN(2)/2)*V43*Y43*VLOOKUP('Données projet'!$B$9,Paramètres!$A$1:$I$89,3,0)*0.475*44/12</f>
        <v>0.16194844681772386</v>
      </c>
      <c r="AC43" s="24">
        <f t="shared" si="3"/>
        <v>19.104899409154541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19.571428571428573</v>
      </c>
      <c r="AI43" s="14">
        <f>IF('Données projet'!$A$62&gt;35,AI42+AH43-AQ42,IF(A43&lt;'Données projet'!$A$62,$AF$205^A43,IF(A43='Données projet'!$A$62,'Données projet'!$B$62,AI42+AH43-AQ42)))</f>
        <v>377.61714285714277</v>
      </c>
      <c r="AJ43" s="14">
        <f>AI43*VLOOKUP('Données projet'!$B$10,Paramètres!$A$1:$I$89,3,0)*VLOOKUP('Données projet'!$B$10,Paramètres!$A$1:$I$89,5,0)</f>
        <v>176.72482285714281</v>
      </c>
      <c r="AK43" s="14">
        <f t="shared" si="35"/>
        <v>44.59274267918078</v>
      </c>
      <c r="AL43" s="22">
        <f t="shared" si="4"/>
        <v>385.46142664243024</v>
      </c>
      <c r="AM43" s="62">
        <f t="shared" si="5"/>
        <v>678.79475997576355</v>
      </c>
      <c r="AN43" s="62">
        <f ca="1">AVERAGE(OFFSET($AM$3,0,0,'Données projet'!$E$10+1,1))-AVERAGE(OFFSET($H$3,0,0,'Données projet'!$E$10+1,1))</f>
        <v>199.36309817800088</v>
      </c>
      <c r="AO43" s="62">
        <f t="shared" si="36"/>
        <v>151.91120569748284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265</v>
      </c>
      <c r="BB43" s="13">
        <f>VLOOKUP(A43,'Données projet'!$A$87:$I$107,9,0)</f>
        <v>10.7</v>
      </c>
      <c r="BC43" s="13">
        <f t="array" ref="BC43">INDEX(BB:BB,MIN(IF(ISNUMBER(BB43:BB239),ROW(BB43:BB239),"")))</f>
        <v>10.7</v>
      </c>
      <c r="BD43" s="13">
        <f>IF('Données projet'!$A$88&gt;35,BD42+BC43-BL42,IF(A43&lt;'Données projet'!$A$88,$BA$205^A43,IF(A43='Données projet'!$A$88,'Données projet'!$B$88,BD42+BC43-BL42)))</f>
        <v>264.99999999999994</v>
      </c>
      <c r="BE43" s="14">
        <f>BD43*VLOOKUP('Données projet'!$B$11,Paramètres!$A$1:$I$89,3,0)*VLOOKUP('Données projet'!$B$11,Paramètres!$A$1:$I$89,5,0)</f>
        <v>158.46999999999997</v>
      </c>
      <c r="BF43" s="14">
        <f t="shared" si="37"/>
        <v>40.497226890293632</v>
      </c>
      <c r="BG43" s="22">
        <f t="shared" si="7"/>
        <v>346.53458683392802</v>
      </c>
      <c r="BH43" s="62">
        <f t="shared" si="8"/>
        <v>639.86792016726133</v>
      </c>
      <c r="BI43" s="62">
        <f ca="1">AVERAGE(OFFSET($BH$3,0,0,'Données projet'!$E$11+1,1))-AVERAGE(OFFSET($H$3,0,0,'Données projet'!$E$11+1,1))</f>
        <v>140.16059323013189</v>
      </c>
      <c r="BJ43" s="62">
        <f t="shared" si="38"/>
        <v>219.0992563594865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50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8.8580391307642934</v>
      </c>
      <c r="BQ43" s="23">
        <f>EXP(-LN(2)/25)*BQ42+(1-EXP(-LN(2)/25))/(LN(2)/25)*Calculateur!BL43*Calculateur!BN43*VLOOKUP('Données projet'!$B$11,Paramètres!$A$1:$I$89,3,0)*0.475*44/12</f>
        <v>6.8683939727086392</v>
      </c>
      <c r="BR43" s="23">
        <f>EXP(-LN(2)/2)*BR42+(1-EXP(-LN(2)/2))/(LN(2)/2)*BL43*BO43*VLOOKUP('Données projet'!$B$11,Paramètres!$A$1:$I$89,3,0)*0.475*44/12</f>
        <v>0.33807461278097556</v>
      </c>
      <c r="BS43" s="24">
        <f t="shared" si="9"/>
        <v>16.064507716253907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2">
        <f t="shared" si="32"/>
        <v>9.3222005779260471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70">
        <f t="shared" si="1"/>
        <v>361.92608933988788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22.82714285714286</v>
      </c>
      <c r="N44" s="14">
        <f>IF('Données projet'!$A$36&gt;35,N43+M44-V43,IF(A44&lt;'Données projet'!$A$36,$K$205^A44,IF(A44='Données projet'!$A$36,'Données projet'!$B$36,N43+M44-V43)))</f>
        <v>427.40285714285716</v>
      </c>
      <c r="O44" s="14">
        <f>N44*VLOOKUP('Données projet'!$B$9,Paramètres!$A$1:$I$89,3,0)*VLOOKUP('Données projet'!$B$9,Paramètres!$A$1:$I$89,5,0)</f>
        <v>238.91819714285714</v>
      </c>
      <c r="P44" s="14">
        <f t="shared" si="33"/>
        <v>58.206714164613295</v>
      </c>
      <c r="Q44" s="22">
        <f t="shared" si="53"/>
        <v>517.49255386051107</v>
      </c>
      <c r="R44" s="62">
        <f t="shared" si="0"/>
        <v>810.82588719384444</v>
      </c>
      <c r="S44" s="62">
        <f ca="1">AVERAGE(OFFSET($R$3,0,0,'Données projet'!$E$9+1,1))-AVERAGE(OFFSET($H$3,0,0,'Données projet'!$E$9+1,1))</f>
        <v>262.38865315945856</v>
      </c>
      <c r="T44" s="62">
        <f t="shared" si="34"/>
        <v>268.78503805457069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17.052679727741186</v>
      </c>
      <c r="AA44" s="23">
        <f>EXP(-LN(2)/25)*AA43+(1-EXP(-LN(2)/25))/(LN(2)/25)*Calculateur!V44*Calculateur!X44*VLOOKUP('Données projet'!$B$9,Paramètres!$A$1:$I$89,3,0)*0.475*44/12</f>
        <v>1.5068275077432647</v>
      </c>
      <c r="AB44" s="23">
        <f>EXP(-LN(2)/2)*AB43+(1-EXP(-LN(2)/2))/(LN(2)/2)*V44*Y44*VLOOKUP('Données projet'!$B$9,Paramètres!$A$1:$I$89,3,0)*0.475*44/12</f>
        <v>0.1145148449474415</v>
      </c>
      <c r="AC44" s="24">
        <f t="shared" si="3"/>
        <v>18.674022080431889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19.571428571428573</v>
      </c>
      <c r="AI44" s="14">
        <f>IF('Données projet'!$A$62&gt;35,AI43+AH44-AQ43,IF(A44&lt;'Données projet'!$A$62,$AF$205^A44,IF(A44='Données projet'!$A$62,'Données projet'!$B$62,AI43+AH44-AQ43)))</f>
        <v>397.18857142857132</v>
      </c>
      <c r="AJ44" s="14">
        <f>AI44*VLOOKUP('Données projet'!$B$10,Paramètres!$A$1:$I$89,3,0)*VLOOKUP('Données projet'!$B$10,Paramètres!$A$1:$I$89,5,0)</f>
        <v>185.88425142857139</v>
      </c>
      <c r="AK44" s="14">
        <f t="shared" si="35"/>
        <v>46.628862753142343</v>
      </c>
      <c r="AL44" s="22">
        <f t="shared" si="4"/>
        <v>404.9603405331514</v>
      </c>
      <c r="AM44" s="62">
        <f t="shared" si="5"/>
        <v>698.29367386648471</v>
      </c>
      <c r="AN44" s="62">
        <f ca="1">AVERAGE(OFFSET($AM$3,0,0,'Données projet'!$E$10+1,1))-AVERAGE(OFFSET($H$3,0,0,'Données projet'!$E$10+1,1))</f>
        <v>199.36309817800088</v>
      </c>
      <c r="AO44" s="62">
        <f t="shared" si="36"/>
        <v>151.91120569748284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7.9</v>
      </c>
      <c r="BD44" s="13">
        <f>IF('Données projet'!$A$88&gt;35,BD43+BC44-BL43,IF(A44&lt;'Données projet'!$A$88,$BA$205^A44,IF(A44='Données projet'!$A$88,'Données projet'!$B$88,BD43+BC44-BL43)))</f>
        <v>222.89999999999992</v>
      </c>
      <c r="BE44" s="14">
        <f>BD44*VLOOKUP('Données projet'!$B$11,Paramètres!$A$1:$I$89,3,0)*VLOOKUP('Données projet'!$B$11,Paramètres!$A$1:$I$89,5,0)</f>
        <v>133.29419999999996</v>
      </c>
      <c r="BF44" s="14">
        <f t="shared" si="37"/>
        <v>34.756440080318377</v>
      </c>
      <c r="BG44" s="22">
        <f t="shared" si="7"/>
        <v>292.68819813988773</v>
      </c>
      <c r="BH44" s="62">
        <f t="shared" si="8"/>
        <v>586.0215314732211</v>
      </c>
      <c r="BI44" s="62">
        <f ca="1">AVERAGE(OFFSET($BH$3,0,0,'Données projet'!$E$11+1,1))-AVERAGE(OFFSET($H$3,0,0,'Données projet'!$E$11+1,1))</f>
        <v>140.16059323013189</v>
      </c>
      <c r="BJ44" s="62">
        <f t="shared" si="38"/>
        <v>219.0992563594865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8.6843383862803858</v>
      </c>
      <c r="BQ44" s="23">
        <f>EXP(-LN(2)/25)*BQ43+(1-EXP(-LN(2)/25))/(LN(2)/25)*Calculateur!BL44*Calculateur!BN44*VLOOKUP('Données projet'!$B$11,Paramètres!$A$1:$I$89,3,0)*0.475*44/12</f>
        <v>6.6805773783317806</v>
      </c>
      <c r="BR44" s="23">
        <f>EXP(-LN(2)/2)*BR43+(1-EXP(-LN(2)/2))/(LN(2)/2)*BL44*BO44*VLOOKUP('Données projet'!$B$11,Paramètres!$A$1:$I$89,3,0)*0.475*44/12</f>
        <v>0.23905485124444409</v>
      </c>
      <c r="BS44" s="24">
        <f t="shared" si="9"/>
        <v>15.60397061585661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2">
        <f t="shared" si="32"/>
        <v>9.5228227376882337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70">
        <f t="shared" si="1"/>
        <v>363.55249626814032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450.23</v>
      </c>
      <c r="L45" s="13">
        <f>VLOOKUP(A45,'Données projet'!$A$35:$I$55,9,0)</f>
        <v>22.82714285714286</v>
      </c>
      <c r="M45" s="13">
        <f t="array" ref="M45">INDEX(L:L,MIN(IF(ISNUMBER(L45:L241),ROW(L45:L241),"")))</f>
        <v>22.82714285714286</v>
      </c>
      <c r="N45" s="14">
        <f>IF('Données projet'!$A$36&gt;35,N44+M45-V44,IF(A45&lt;'Données projet'!$A$36,$K$205^A45,IF(A45='Données projet'!$A$36,'Données projet'!$B$36,N44+M45-V44)))</f>
        <v>450.23</v>
      </c>
      <c r="O45" s="14">
        <f>N45*VLOOKUP('Données projet'!$B$9,Paramètres!$A$1:$I$89,3,0)*VLOOKUP('Données projet'!$B$9,Paramètres!$A$1:$I$89,5,0)</f>
        <v>251.67857000000004</v>
      </c>
      <c r="P45" s="14">
        <f t="shared" si="33"/>
        <v>60.945241245024086</v>
      </c>
      <c r="Q45" s="22">
        <f t="shared" si="53"/>
        <v>544.48647125175023</v>
      </c>
      <c r="R45" s="62">
        <f t="shared" si="0"/>
        <v>837.8198045850836</v>
      </c>
      <c r="S45" s="62">
        <f ca="1">AVERAGE(OFFSET($R$3,0,0,'Données projet'!$E$9+1,1))-AVERAGE(OFFSET($H$3,0,0,'Données projet'!$E$9+1,1))</f>
        <v>262.38865315945856</v>
      </c>
      <c r="T45" s="62">
        <f t="shared" si="34"/>
        <v>268.78503805457069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99.98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16.718287079387792</v>
      </c>
      <c r="AA45" s="23">
        <f>EXP(-LN(2)/25)*AA44+(1-EXP(-LN(2)/25))/(LN(2)/25)*Calculateur!V45*Calculateur!X45*VLOOKUP('Données projet'!$B$9,Paramètres!$A$1:$I$89,3,0)*0.475*44/12</f>
        <v>1.4656232303034105</v>
      </c>
      <c r="AB45" s="23">
        <f>EXP(-LN(2)/2)*AB44+(1-EXP(-LN(2)/2))/(LN(2)/2)*V45*Y45*VLOOKUP('Données projet'!$B$9,Paramètres!$A$1:$I$89,3,0)*0.475*44/12</f>
        <v>8.0974223408861942E-2</v>
      </c>
      <c r="AC45" s="24">
        <f t="shared" si="3"/>
        <v>18.264884533100066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416.76</v>
      </c>
      <c r="AG45" s="13">
        <f>VLOOKUP(A45,'Données projet'!$A$61:$I$81,9,0)</f>
        <v>19.571428571428573</v>
      </c>
      <c r="AH45" s="13">
        <f t="array" ref="AH45">INDEX(AG:AG,MIN(IF(ISNUMBER(AG45:AG241),ROW(AG45:AG241),"")))</f>
        <v>19.571428571428573</v>
      </c>
      <c r="AI45" s="14">
        <f>IF('Données projet'!$A$62&gt;35,AI44+AH45-AQ44,IF(A45&lt;'Données projet'!$A$62,$AF$205^A45,IF(A45='Données projet'!$A$62,'Données projet'!$B$62,AI44+AH45-AQ44)))</f>
        <v>416.75999999999988</v>
      </c>
      <c r="AJ45" s="14">
        <f>AI45*VLOOKUP('Données projet'!$B$10,Paramètres!$A$1:$I$89,3,0)*VLOOKUP('Données projet'!$B$10,Paramètres!$A$1:$I$89,5,0)</f>
        <v>195.04367999999994</v>
      </c>
      <c r="AK45" s="14">
        <f t="shared" si="35"/>
        <v>48.65333290919024</v>
      </c>
      <c r="AL45" s="22">
        <f t="shared" si="4"/>
        <v>424.43896415017292</v>
      </c>
      <c r="AM45" s="62">
        <f t="shared" si="5"/>
        <v>717.77229748350624</v>
      </c>
      <c r="AN45" s="62">
        <f ca="1">AVERAGE(OFFSET($AM$3,0,0,'Données projet'!$E$10+1,1))-AVERAGE(OFFSET($H$3,0,0,'Données projet'!$E$10+1,1))</f>
        <v>199.36309817800088</v>
      </c>
      <c r="AO45" s="62">
        <f t="shared" si="36"/>
        <v>151.91120569748284</v>
      </c>
      <c r="AP45" s="16">
        <f>IF(ISNA(VLOOKUP(A45,'Données projet'!$A$61:$I$81,3,0)),0,VLOOKUP(A45,'Données projet'!$A$61:$I$81,3,0))</f>
        <v>3</v>
      </c>
      <c r="AQ45" s="16">
        <f>IF(ISNA(VLOOKUP(A45,'Données projet'!$A$61:$I$81,4,0)),0,VLOOKUP(A45,'Données projet'!$A$61:$I$81,4,0))</f>
        <v>182.39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7.9</v>
      </c>
      <c r="BD45" s="13">
        <f>IF('Données projet'!$A$88&gt;35,BD44+BC45-BL44,IF(A45&lt;'Données projet'!$A$88,$BA$205^A45,IF(A45='Données projet'!$A$88,'Données projet'!$B$88,BD44+BC45-BL44)))</f>
        <v>230.79999999999993</v>
      </c>
      <c r="BE45" s="14">
        <f>BD45*VLOOKUP('Données projet'!$B$11,Paramètres!$A$1:$I$89,3,0)*VLOOKUP('Données projet'!$B$11,Paramètres!$A$1:$I$89,5,0)</f>
        <v>138.01839999999996</v>
      </c>
      <c r="BF45" s="14">
        <f t="shared" si="37"/>
        <v>35.84267281669451</v>
      </c>
      <c r="BG45" s="22">
        <f t="shared" si="7"/>
        <v>302.80803515574286</v>
      </c>
      <c r="BH45" s="62">
        <f t="shared" si="8"/>
        <v>596.14136848907617</v>
      </c>
      <c r="BI45" s="62">
        <f ca="1">AVERAGE(OFFSET($BH$3,0,0,'Données projet'!$E$11+1,1))-AVERAGE(OFFSET($H$3,0,0,'Données projet'!$E$11+1,1))</f>
        <v>140.16059323013189</v>
      </c>
      <c r="BJ45" s="62">
        <f t="shared" si="38"/>
        <v>219.0992563594865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8.5140438074488145</v>
      </c>
      <c r="BQ45" s="23">
        <f>EXP(-LN(2)/25)*BQ44+(1-EXP(-LN(2)/25))/(LN(2)/25)*Calculateur!BL45*Calculateur!BN45*VLOOKUP('Données projet'!$B$11,Paramètres!$A$1:$I$89,3,0)*0.475*44/12</f>
        <v>6.4978966386050026</v>
      </c>
      <c r="BR45" s="23">
        <f>EXP(-LN(2)/2)*BR44+(1-EXP(-LN(2)/2))/(LN(2)/2)*BL45*BO45*VLOOKUP('Données projet'!$B$11,Paramètres!$A$1:$I$89,3,0)*0.475*44/12</f>
        <v>0.16903730639048781</v>
      </c>
      <c r="BS45" s="24">
        <f t="shared" si="9"/>
        <v>15.180977752444305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2">
        <f t="shared" si="32"/>
        <v>9.7228896017746997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70">
        <f t="shared" si="1"/>
        <v>365.17793605642424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21.939999999999998</v>
      </c>
      <c r="N46" s="14">
        <f>IF('Données projet'!$A$36&gt;35,N45+M46-V45,IF(A46&lt;'Données projet'!$A$36,$K$205^A46,IF(A46='Données projet'!$A$36,'Données projet'!$B$36,N45+M46-V45)))</f>
        <v>372.19</v>
      </c>
      <c r="O46" s="14">
        <f>N46*VLOOKUP('Données projet'!$B$9,Paramètres!$A$1:$I$89,3,0)*VLOOKUP('Données projet'!$B$9,Paramètres!$A$1:$I$89,5,0)</f>
        <v>208.05420999999998</v>
      </c>
      <c r="P46" s="14">
        <f t="shared" si="33"/>
        <v>51.510151537098693</v>
      </c>
      <c r="Q46" s="22">
        <f t="shared" si="53"/>
        <v>452.07459634378012</v>
      </c>
      <c r="R46" s="62">
        <f t="shared" si="0"/>
        <v>745.40792967711343</v>
      </c>
      <c r="S46" s="62">
        <f ca="1">AVERAGE(OFFSET($R$3,0,0,'Données projet'!$E$9+1,1))-AVERAGE(OFFSET($H$3,0,0,'Données projet'!$E$9+1,1))</f>
        <v>262.38865315945856</v>
      </c>
      <c r="T46" s="62">
        <f t="shared" si="34"/>
        <v>268.78503805457069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16.390451666909232</v>
      </c>
      <c r="AA46" s="23">
        <f>EXP(-LN(2)/25)*AA45+(1-EXP(-LN(2)/25))/(LN(2)/25)*Calculateur!V46*Calculateur!X46*VLOOKUP('Données projet'!$B$9,Paramètres!$A$1:$I$89,3,0)*0.475*44/12</f>
        <v>1.4255456859969877</v>
      </c>
      <c r="AB46" s="23">
        <f>EXP(-LN(2)/2)*AB45+(1-EXP(-LN(2)/2))/(LN(2)/2)*V46*Y46*VLOOKUP('Données projet'!$B$9,Paramètres!$A$1:$I$89,3,0)*0.475*44/12</f>
        <v>5.7257422473720759E-2</v>
      </c>
      <c r="AC46" s="24">
        <f t="shared" si="3"/>
        <v>17.873254775379941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>
        <f>VLOOKUP(A46,'Données projet'!$A$61:$I$81,2,0)</f>
        <v>255.68</v>
      </c>
      <c r="AG46" s="13">
        <f>VLOOKUP(A46,'Données projet'!$A$61:$I$81,9,0)</f>
        <v>21.310000000000002</v>
      </c>
      <c r="AH46" s="13">
        <f t="array" ref="AH46">INDEX(AG:AG,MIN(IF(ISNUMBER(AG46:AG242),ROW(AG46:AG242),"")))</f>
        <v>21.310000000000002</v>
      </c>
      <c r="AI46" s="14">
        <f>IF('Données projet'!$A$62&gt;35,AI45+AH46-AQ45,IF(A46&lt;'Données projet'!$A$62,$AF$205^A46,IF(A46='Données projet'!$A$62,'Données projet'!$B$62,AI45+AH46-AQ45)))</f>
        <v>255.67999999999989</v>
      </c>
      <c r="AJ46" s="14">
        <f>AI46*VLOOKUP('Données projet'!$B$10,Paramètres!$A$1:$I$89,3,0)*VLOOKUP('Données projet'!$B$10,Paramètres!$A$1:$I$89,5,0)</f>
        <v>119.65823999999994</v>
      </c>
      <c r="AK46" s="14">
        <f t="shared" si="35"/>
        <v>31.595276160231307</v>
      </c>
      <c r="AL46" s="22">
        <f t="shared" si="4"/>
        <v>263.43320731240277</v>
      </c>
      <c r="AM46" s="62">
        <f t="shared" si="5"/>
        <v>556.76654064573609</v>
      </c>
      <c r="AN46" s="62">
        <f ca="1">AVERAGE(OFFSET($AM$3,0,0,'Données projet'!$E$10+1,1))-AVERAGE(OFFSET($H$3,0,0,'Données projet'!$E$10+1,1))</f>
        <v>199.36309817800088</v>
      </c>
      <c r="AO46" s="62">
        <f t="shared" si="36"/>
        <v>151.91120569748284</v>
      </c>
      <c r="AP46" s="16">
        <f>IF(ISNA(VLOOKUP(A46,'Données projet'!$A$61:$I$81,3,0)),0,VLOOKUP(A46,'Données projet'!$A$61:$I$81,3,0))</f>
        <v>4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7.9</v>
      </c>
      <c r="BD46" s="13">
        <f>IF('Données projet'!$A$88&gt;35,BD45+BC46-BL45,IF(A46&lt;'Données projet'!$A$88,$BA$205^A46,IF(A46='Données projet'!$A$88,'Données projet'!$B$88,BD45+BC46-BL45)))</f>
        <v>238.69999999999993</v>
      </c>
      <c r="BE46" s="14">
        <f>BD46*VLOOKUP('Données projet'!$B$11,Paramètres!$A$1:$I$89,3,0)*VLOOKUP('Données projet'!$B$11,Paramètres!$A$1:$I$89,5,0)</f>
        <v>142.74259999999998</v>
      </c>
      <c r="BF46" s="14">
        <f t="shared" si="37"/>
        <v>36.924585472239464</v>
      </c>
      <c r="BG46" s="22">
        <f t="shared" si="7"/>
        <v>312.92034803081702</v>
      </c>
      <c r="BH46" s="62">
        <f t="shared" si="8"/>
        <v>606.25368136415034</v>
      </c>
      <c r="BI46" s="62">
        <f ca="1">AVERAGE(OFFSET($BH$3,0,0,'Données projet'!$E$11+1,1))-AVERAGE(OFFSET($H$3,0,0,'Données projet'!$E$11+1,1))</f>
        <v>140.16059323013189</v>
      </c>
      <c r="BJ46" s="62">
        <f t="shared" si="38"/>
        <v>219.0992563594865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8.3470886014386938</v>
      </c>
      <c r="BQ46" s="23">
        <f>EXP(-LN(2)/25)*BQ45+(1-EXP(-LN(2)/25))/(LN(2)/25)*Calculateur!BL46*Calculateur!BN46*VLOOKUP('Données projet'!$B$11,Paramètres!$A$1:$I$89,3,0)*0.475*44/12</f>
        <v>6.3202113133128153</v>
      </c>
      <c r="BR46" s="23">
        <f>EXP(-LN(2)/2)*BR45+(1-EXP(-LN(2)/2))/(LN(2)/2)*BL46*BO46*VLOOKUP('Données projet'!$B$11,Paramètres!$A$1:$I$89,3,0)*0.475*44/12</f>
        <v>0.11952742562222206</v>
      </c>
      <c r="BS46" s="24">
        <f t="shared" si="9"/>
        <v>14.786827340373732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2">
        <f t="shared" si="32"/>
        <v>9.9224155703389041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70">
        <f t="shared" si="1"/>
        <v>366.80243378500688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21.939999999999998</v>
      </c>
      <c r="N47" s="14">
        <f>IF('Données projet'!$A$36&gt;35,N46+M47-V46,IF(A47&lt;'Données projet'!$A$36,$K$205^A47,IF(A47='Données projet'!$A$36,'Données projet'!$B$36,N46+M47-V46)))</f>
        <v>394.13</v>
      </c>
      <c r="O47" s="14">
        <f>N47*VLOOKUP('Données projet'!$B$9,Paramètres!$A$1:$I$89,3,0)*VLOOKUP('Données projet'!$B$9,Paramètres!$A$1:$I$89,5,0)</f>
        <v>220.31867</v>
      </c>
      <c r="P47" s="14">
        <f t="shared" si="33"/>
        <v>54.184141234835565</v>
      </c>
      <c r="Q47" s="22">
        <f t="shared" si="53"/>
        <v>478.09239623400526</v>
      </c>
      <c r="R47" s="62">
        <f t="shared" si="0"/>
        <v>771.42572956733852</v>
      </c>
      <c r="S47" s="62">
        <f ca="1">AVERAGE(OFFSET($R$3,0,0,'Données projet'!$E$9+1,1))-AVERAGE(OFFSET($H$3,0,0,'Données projet'!$E$9+1,1))</f>
        <v>262.38865315945856</v>
      </c>
      <c r="T47" s="62">
        <f t="shared" si="34"/>
        <v>268.78503805457069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16.069044906909518</v>
      </c>
      <c r="AA47" s="23">
        <f>EXP(-LN(2)/25)*AA46+(1-EXP(-LN(2)/25))/(LN(2)/25)*Calculateur!V47*Calculateur!X47*VLOOKUP('Données projet'!$B$9,Paramètres!$A$1:$I$89,3,0)*0.475*44/12</f>
        <v>1.3865640642472106</v>
      </c>
      <c r="AB47" s="23">
        <f>EXP(-LN(2)/2)*AB46+(1-EXP(-LN(2)/2))/(LN(2)/2)*V47*Y47*VLOOKUP('Données projet'!$B$9,Paramètres!$A$1:$I$89,3,0)*0.475*44/12</f>
        <v>4.0487111704430978E-2</v>
      </c>
      <c r="AC47" s="24">
        <f t="shared" si="3"/>
        <v>17.496096082861158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17.596666666666664</v>
      </c>
      <c r="AI47" s="14">
        <f>IF('Données projet'!$A$62&gt;35,AI46+AH47-AQ46,IF(A47&lt;'Données projet'!$A$62,$AF$205^A47,IF(A47='Données projet'!$A$62,'Données projet'!$B$62,AI46+AH47-AQ46)))</f>
        <v>273.27666666666653</v>
      </c>
      <c r="AJ47" s="14">
        <f>AI47*VLOOKUP('Données projet'!$B$10,Paramètres!$A$1:$I$89,3,0)*VLOOKUP('Données projet'!$B$10,Paramètres!$A$1:$I$89,5,0)</f>
        <v>127.89347999999994</v>
      </c>
      <c r="AK47" s="14">
        <f t="shared" si="35"/>
        <v>33.509142571930816</v>
      </c>
      <c r="AL47" s="22">
        <f t="shared" si="4"/>
        <v>281.10956764611268</v>
      </c>
      <c r="AM47" s="62">
        <f t="shared" si="5"/>
        <v>574.44290097944599</v>
      </c>
      <c r="AN47" s="62">
        <f ca="1">AVERAGE(OFFSET($AM$3,0,0,'Données projet'!$E$10+1,1))-AVERAGE(OFFSET($H$3,0,0,'Données projet'!$E$10+1,1))</f>
        <v>199.36309817800088</v>
      </c>
      <c r="AO47" s="62">
        <f t="shared" si="36"/>
        <v>151.91120569748284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7.9</v>
      </c>
      <c r="BD47" s="13">
        <f>IF('Données projet'!$A$88&gt;35,BD46+BC47-BL46,IF(A47&lt;'Données projet'!$A$88,$BA$205^A47,IF(A47='Données projet'!$A$88,'Données projet'!$B$88,BD46+BC47-BL46)))</f>
        <v>246.59999999999994</v>
      </c>
      <c r="BE47" s="14">
        <f>BD47*VLOOKUP('Données projet'!$B$11,Paramètres!$A$1:$I$89,3,0)*VLOOKUP('Données projet'!$B$11,Paramètres!$A$1:$I$89,5,0)</f>
        <v>147.46679999999998</v>
      </c>
      <c r="BF47" s="14">
        <f t="shared" si="37"/>
        <v>38.002337418636273</v>
      </c>
      <c r="BG47" s="22">
        <f t="shared" si="7"/>
        <v>323.02541433745813</v>
      </c>
      <c r="BH47" s="62">
        <f t="shared" si="8"/>
        <v>616.35874767079144</v>
      </c>
      <c r="BI47" s="62">
        <f ca="1">AVERAGE(OFFSET($BH$3,0,0,'Données projet'!$E$11+1,1))-AVERAGE(OFFSET($H$3,0,0,'Données projet'!$E$11+1,1))</f>
        <v>140.16059323013189</v>
      </c>
      <c r="BJ47" s="62">
        <f t="shared" si="38"/>
        <v>219.0992563594865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8.1834072851858117</v>
      </c>
      <c r="BQ47" s="23">
        <f>EXP(-LN(2)/25)*BQ46+(1-EXP(-LN(2)/25))/(LN(2)/25)*Calculateur!BL47*Calculateur!BN47*VLOOKUP('Données projet'!$B$11,Paramètres!$A$1:$I$89,3,0)*0.475*44/12</f>
        <v>6.1473848025848081</v>
      </c>
      <c r="BR47" s="23">
        <f>EXP(-LN(2)/2)*BR46+(1-EXP(-LN(2)/2))/(LN(2)/2)*BL47*BO47*VLOOKUP('Données projet'!$B$11,Paramètres!$A$1:$I$89,3,0)*0.475*44/12</f>
        <v>8.4518653195243917E-2</v>
      </c>
      <c r="BS47" s="24">
        <f t="shared" si="9"/>
        <v>14.415310740965865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2">
        <f t="shared" si="32"/>
        <v>10.121414351623134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70">
        <f t="shared" si="1"/>
        <v>368.42601332907691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21.939999999999998</v>
      </c>
      <c r="N48" s="14">
        <f>IF('Données projet'!$A$36&gt;35,N47+M48-V47,IF(A48&lt;'Données projet'!$A$36,$K$205^A48,IF(A48='Données projet'!$A$36,'Données projet'!$B$36,N47+M48-V47)))</f>
        <v>416.07</v>
      </c>
      <c r="O48" s="14">
        <f>N48*VLOOKUP('Données projet'!$B$9,Paramètres!$A$1:$I$89,3,0)*VLOOKUP('Données projet'!$B$9,Paramètres!$A$1:$I$89,5,0)</f>
        <v>232.58313000000001</v>
      </c>
      <c r="P48" s="14">
        <f t="shared" si="33"/>
        <v>56.840851065639789</v>
      </c>
      <c r="Q48" s="22">
        <f t="shared" si="53"/>
        <v>504.08010035598926</v>
      </c>
      <c r="R48" s="62">
        <f t="shared" si="0"/>
        <v>797.41343368932257</v>
      </c>
      <c r="S48" s="62">
        <f ca="1">AVERAGE(OFFSET($R$3,0,0,'Données projet'!$E$9+1,1))-AVERAGE(OFFSET($H$3,0,0,'Données projet'!$E$9+1,1))</f>
        <v>262.38865315945856</v>
      </c>
      <c r="T48" s="62">
        <f t="shared" si="34"/>
        <v>268.78503805457069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15.753940737434633</v>
      </c>
      <c r="AA48" s="23">
        <f>EXP(-LN(2)/25)*AA47+(1-EXP(-LN(2)/25))/(LN(2)/25)*Calculateur!V48*Calculateur!X48*VLOOKUP('Données projet'!$B$9,Paramètres!$A$1:$I$89,3,0)*0.475*44/12</f>
        <v>1.3486483969941354</v>
      </c>
      <c r="AB48" s="23">
        <f>EXP(-LN(2)/2)*AB47+(1-EXP(-LN(2)/2))/(LN(2)/2)*V48*Y48*VLOOKUP('Données projet'!$B$9,Paramètres!$A$1:$I$89,3,0)*0.475*44/12</f>
        <v>2.8628711236860383E-2</v>
      </c>
      <c r="AC48" s="24">
        <f t="shared" si="3"/>
        <v>17.131217845665628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17.596666666666664</v>
      </c>
      <c r="AI48" s="14">
        <f>IF('Données projet'!$A$62&gt;35,AI47+AH48-AQ47,IF(A48&lt;'Données projet'!$A$62,$AF$205^A48,IF(A48='Données projet'!$A$62,'Données projet'!$B$62,AI47+AH48-AQ47)))</f>
        <v>290.87333333333322</v>
      </c>
      <c r="AJ48" s="14">
        <f>AI48*VLOOKUP('Données projet'!$B$10,Paramètres!$A$1:$I$89,3,0)*VLOOKUP('Données projet'!$B$10,Paramètres!$A$1:$I$89,5,0)</f>
        <v>136.12871999999996</v>
      </c>
      <c r="AK48" s="14">
        <f t="shared" si="35"/>
        <v>35.408707445510458</v>
      </c>
      <c r="AL48" s="22">
        <f t="shared" si="4"/>
        <v>298.76101946759735</v>
      </c>
      <c r="AM48" s="62">
        <f t="shared" si="5"/>
        <v>592.09435280093066</v>
      </c>
      <c r="AN48" s="62">
        <f ca="1">AVERAGE(OFFSET($AM$3,0,0,'Données projet'!$E$10+1,1))-AVERAGE(OFFSET($H$3,0,0,'Données projet'!$E$10+1,1))</f>
        <v>199.36309817800088</v>
      </c>
      <c r="AO48" s="62">
        <f t="shared" si="36"/>
        <v>151.91120569748284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7.9</v>
      </c>
      <c r="BD48" s="13">
        <f>IF('Données projet'!$A$88&gt;35,BD47+BC48-BL47,IF(A48&lt;'Données projet'!$A$88,$BA$205^A48,IF(A48='Données projet'!$A$88,'Données projet'!$B$88,BD47+BC48-BL47)))</f>
        <v>254.49999999999994</v>
      </c>
      <c r="BE48" s="14">
        <f>BD48*VLOOKUP('Données projet'!$B$11,Paramètres!$A$1:$I$89,3,0)*VLOOKUP('Données projet'!$B$11,Paramètres!$A$1:$I$89,5,0)</f>
        <v>152.19099999999997</v>
      </c>
      <c r="BF48" s="14">
        <f t="shared" si="37"/>
        <v>39.07607723663272</v>
      </c>
      <c r="BG48" s="22">
        <f t="shared" si="7"/>
        <v>333.12349285380191</v>
      </c>
      <c r="BH48" s="62">
        <f t="shared" si="8"/>
        <v>626.45682618713522</v>
      </c>
      <c r="BI48" s="62">
        <f ca="1">AVERAGE(OFFSET($BH$3,0,0,'Données projet'!$E$11+1,1))-AVERAGE(OFFSET($H$3,0,0,'Données projet'!$E$11+1,1))</f>
        <v>140.16059323013189</v>
      </c>
      <c r="BJ48" s="62">
        <f t="shared" si="38"/>
        <v>219.0992563594865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8.022935659708903</v>
      </c>
      <c r="BQ48" s="23">
        <f>EXP(-LN(2)/25)*BQ47+(1-EXP(-LN(2)/25))/(LN(2)/25)*Calculateur!BL48*Calculateur!BN48*VLOOKUP('Données projet'!$B$11,Paramètres!$A$1:$I$89,3,0)*0.475*44/12</f>
        <v>5.97928424188121</v>
      </c>
      <c r="BR48" s="23">
        <f>EXP(-LN(2)/2)*BR47+(1-EXP(-LN(2)/2))/(LN(2)/2)*BL48*BO48*VLOOKUP('Données projet'!$B$11,Paramètres!$A$1:$I$89,3,0)*0.475*44/12</f>
        <v>5.9763712811111043E-2</v>
      </c>
      <c r="BS48" s="24">
        <f t="shared" si="9"/>
        <v>14.061983614401225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2">
        <f t="shared" si="32"/>
        <v>10.319899009829577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70">
        <f t="shared" si="1"/>
        <v>370.04869744211982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21.939999999999998</v>
      </c>
      <c r="N49" s="14">
        <f>IF('Données projet'!$A$36&gt;35,N48+M49-V48,IF(A49&lt;'Données projet'!$A$36,$K$205^A49,IF(A49='Données projet'!$A$36,'Données projet'!$B$36,N48+M49-V48)))</f>
        <v>438.01</v>
      </c>
      <c r="O49" s="14">
        <f>N49*VLOOKUP('Données projet'!$B$9,Paramètres!$A$1:$I$89,3,0)*VLOOKUP('Données projet'!$B$9,Paramètres!$A$1:$I$89,5,0)</f>
        <v>244.84759000000003</v>
      </c>
      <c r="P49" s="14">
        <f t="shared" si="33"/>
        <v>59.481296135283444</v>
      </c>
      <c r="Q49" s="22">
        <f t="shared" si="53"/>
        <v>530.03947668561875</v>
      </c>
      <c r="R49" s="62">
        <f t="shared" si="0"/>
        <v>823.37281001895212</v>
      </c>
      <c r="S49" s="62">
        <f ca="1">AVERAGE(OFFSET($R$3,0,0,'Données projet'!$E$9+1,1))-AVERAGE(OFFSET($H$3,0,0,'Données projet'!$E$9+1,1))</f>
        <v>262.38865315945856</v>
      </c>
      <c r="T49" s="62">
        <f t="shared" si="34"/>
        <v>268.78503805457069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15.445015568528584</v>
      </c>
      <c r="AA49" s="23">
        <f>EXP(-LN(2)/25)*AA48+(1-EXP(-LN(2)/25))/(LN(2)/25)*Calculateur!V49*Calculateur!X49*VLOOKUP('Données projet'!$B$9,Paramètres!$A$1:$I$89,3,0)*0.475*44/12</f>
        <v>1.311769535655994</v>
      </c>
      <c r="AB49" s="23">
        <f>EXP(-LN(2)/2)*AB48+(1-EXP(-LN(2)/2))/(LN(2)/2)*V49*Y49*VLOOKUP('Données projet'!$B$9,Paramètres!$A$1:$I$89,3,0)*0.475*44/12</f>
        <v>2.0243555852215489E-2</v>
      </c>
      <c r="AC49" s="24">
        <f t="shared" si="3"/>
        <v>16.777028660036791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17.596666666666664</v>
      </c>
      <c r="AI49" s="14">
        <f>IF('Données projet'!$A$62&gt;35,AI48+AH49-AQ48,IF(A49&lt;'Données projet'!$A$62,$AF$205^A49,IF(A49='Données projet'!$A$62,'Données projet'!$B$62,AI48+AH49-AQ48)))</f>
        <v>308.46999999999991</v>
      </c>
      <c r="AJ49" s="14">
        <f>AI49*VLOOKUP('Données projet'!$B$10,Paramètres!$A$1:$I$89,3,0)*VLOOKUP('Données projet'!$B$10,Paramètres!$A$1:$I$89,5,0)</f>
        <v>144.36395999999996</v>
      </c>
      <c r="AK49" s="14">
        <f t="shared" si="35"/>
        <v>37.294934491884128</v>
      </c>
      <c r="AL49" s="22">
        <f t="shared" si="4"/>
        <v>316.38924124003148</v>
      </c>
      <c r="AM49" s="62">
        <f t="shared" si="5"/>
        <v>609.7225745733648</v>
      </c>
      <c r="AN49" s="62">
        <f ca="1">AVERAGE(OFFSET($AM$3,0,0,'Données projet'!$E$10+1,1))-AVERAGE(OFFSET($H$3,0,0,'Données projet'!$E$10+1,1))</f>
        <v>199.36309817800088</v>
      </c>
      <c r="AO49" s="62">
        <f t="shared" si="36"/>
        <v>151.91120569748284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7.9</v>
      </c>
      <c r="BD49" s="13">
        <f>IF('Données projet'!$A$88&gt;35,BD48+BC49-BL48,IF(A49&lt;'Données projet'!$A$88,$BA$205^A49,IF(A49='Données projet'!$A$88,'Données projet'!$B$88,BD48+BC49-BL48)))</f>
        <v>262.39999999999992</v>
      </c>
      <c r="BE49" s="14">
        <f>BD49*VLOOKUP('Données projet'!$B$11,Paramètres!$A$1:$I$89,3,0)*VLOOKUP('Données projet'!$B$11,Paramètres!$A$1:$I$89,5,0)</f>
        <v>156.91519999999997</v>
      </c>
      <c r="BF49" s="14">
        <f t="shared" si="37"/>
        <v>40.145943758721963</v>
      </c>
      <c r="BG49" s="22">
        <f t="shared" si="7"/>
        <v>343.21482537977403</v>
      </c>
      <c r="BH49" s="62">
        <f t="shared" si="8"/>
        <v>636.54815871310734</v>
      </c>
      <c r="BI49" s="62">
        <f ca="1">AVERAGE(OFFSET($BH$3,0,0,'Données projet'!$E$11+1,1))-AVERAGE(OFFSET($H$3,0,0,'Données projet'!$E$11+1,1))</f>
        <v>140.16059323013189</v>
      </c>
      <c r="BJ49" s="62">
        <f t="shared" si="38"/>
        <v>219.0992563594865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7.8656107849295704</v>
      </c>
      <c r="BQ49" s="23">
        <f>EXP(-LN(2)/25)*BQ48+(1-EXP(-LN(2)/25))/(LN(2)/25)*Calculateur!BL49*Calculateur!BN49*VLOOKUP('Données projet'!$B$11,Paramètres!$A$1:$I$89,3,0)*0.475*44/12</f>
        <v>5.8157803998500759</v>
      </c>
      <c r="BR49" s="23">
        <f>EXP(-LN(2)/2)*BR48+(1-EXP(-LN(2)/2))/(LN(2)/2)*BL49*BO49*VLOOKUP('Données projet'!$B$11,Paramètres!$A$1:$I$89,3,0)*0.475*44/12</f>
        <v>4.2259326597621966E-2</v>
      </c>
      <c r="BS49" s="24">
        <f t="shared" si="9"/>
        <v>13.723650511377267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2">
        <f t="shared" si="32"/>
        <v>10.517882008711249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70">
        <f t="shared" si="1"/>
        <v>371.67050783183868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21.939999999999998</v>
      </c>
      <c r="N50" s="14">
        <f>IF('Données projet'!$A$36&gt;35,N49+M50-V49,IF(A50&lt;'Données projet'!$A$36,$K$205^A50,IF(A50='Données projet'!$A$36,'Données projet'!$B$36,N49+M50-V49)))</f>
        <v>459.95</v>
      </c>
      <c r="O50" s="14">
        <f>N50*VLOOKUP('Données projet'!$B$9,Paramètres!$A$1:$I$89,3,0)*VLOOKUP('Données projet'!$B$9,Paramètres!$A$1:$I$89,5,0)</f>
        <v>257.11205000000001</v>
      </c>
      <c r="P50" s="14">
        <f t="shared" si="33"/>
        <v>62.106384111300585</v>
      </c>
      <c r="Q50" s="22">
        <f t="shared" si="53"/>
        <v>555.97210607718182</v>
      </c>
      <c r="R50" s="62">
        <f t="shared" si="0"/>
        <v>849.30543941051519</v>
      </c>
      <c r="S50" s="62">
        <f ca="1">AVERAGE(OFFSET($R$3,0,0,'Données projet'!$E$9+1,1))-AVERAGE(OFFSET($H$3,0,0,'Données projet'!$E$9+1,1))</f>
        <v>262.38865315945856</v>
      </c>
      <c r="T50" s="62">
        <f t="shared" si="34"/>
        <v>268.78503805457069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15.142148233759036</v>
      </c>
      <c r="AA50" s="23">
        <f>EXP(-LN(2)/25)*AA49+(1-EXP(-LN(2)/25))/(LN(2)/25)*Calculateur!V50*Calculateur!X50*VLOOKUP('Données projet'!$B$9,Paramètres!$A$1:$I$89,3,0)*0.475*44/12</f>
        <v>1.275899128720519</v>
      </c>
      <c r="AB50" s="23">
        <f>EXP(-LN(2)/2)*AB49+(1-EXP(-LN(2)/2))/(LN(2)/2)*V50*Y50*VLOOKUP('Données projet'!$B$9,Paramètres!$A$1:$I$89,3,0)*0.475*44/12</f>
        <v>1.4314355618430192E-2</v>
      </c>
      <c r="AC50" s="24">
        <f t="shared" si="3"/>
        <v>16.432361718097987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17.596666666666664</v>
      </c>
      <c r="AI50" s="14">
        <f>IF('Données projet'!$A$62&gt;35,AI49+AH50-AQ49,IF(A50&lt;'Données projet'!$A$62,$AF$205^A50,IF(A50='Données projet'!$A$62,'Données projet'!$B$62,AI49+AH50-AQ49)))</f>
        <v>326.06666666666661</v>
      </c>
      <c r="AJ50" s="14">
        <f>AI50*VLOOKUP('Données projet'!$B$10,Paramètres!$A$1:$I$89,3,0)*VLOOKUP('Données projet'!$B$10,Paramètres!$A$1:$I$89,5,0)</f>
        <v>152.59919999999997</v>
      </c>
      <c r="AK50" s="14">
        <f t="shared" si="35"/>
        <v>39.168671261962366</v>
      </c>
      <c r="AL50" s="22">
        <f t="shared" si="4"/>
        <v>333.99570911458437</v>
      </c>
      <c r="AM50" s="62">
        <f t="shared" si="5"/>
        <v>627.32904244791769</v>
      </c>
      <c r="AN50" s="62">
        <f ca="1">AVERAGE(OFFSET($AM$3,0,0,'Données projet'!$E$10+1,1))-AVERAGE(OFFSET($H$3,0,0,'Données projet'!$E$10+1,1))</f>
        <v>199.36309817800088</v>
      </c>
      <c r="AO50" s="62">
        <f t="shared" si="36"/>
        <v>151.91120569748284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7.9</v>
      </c>
      <c r="BD50" s="13">
        <f>IF('Données projet'!$A$88&gt;35,BD49+BC50-BL49,IF(A50&lt;'Données projet'!$A$88,$BA$205^A50,IF(A50='Données projet'!$A$88,'Données projet'!$B$88,BD49+BC50-BL49)))</f>
        <v>270.2999999999999</v>
      </c>
      <c r="BE50" s="14">
        <f>BD50*VLOOKUP('Données projet'!$B$11,Paramètres!$A$1:$I$89,3,0)*VLOOKUP('Données projet'!$B$11,Paramètres!$A$1:$I$89,5,0)</f>
        <v>161.63939999999997</v>
      </c>
      <c r="BF50" s="14">
        <f t="shared" si="37"/>
        <v>41.212066982728679</v>
      </c>
      <c r="BG50" s="22">
        <f t="shared" si="7"/>
        <v>353.29963832825234</v>
      </c>
      <c r="BH50" s="62">
        <f t="shared" si="8"/>
        <v>646.63297166158566</v>
      </c>
      <c r="BI50" s="62">
        <f ca="1">AVERAGE(OFFSET($BH$3,0,0,'Données projet'!$E$11+1,1))-AVERAGE(OFFSET($H$3,0,0,'Données projet'!$E$11+1,1))</f>
        <v>140.16059323013189</v>
      </c>
      <c r="BJ50" s="62">
        <f t="shared" si="38"/>
        <v>219.0992563594865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7.7113709549859619</v>
      </c>
      <c r="BQ50" s="23">
        <f>EXP(-LN(2)/25)*BQ49+(1-EXP(-LN(2)/25))/(LN(2)/25)*Calculateur!BL50*Calculateur!BN50*VLOOKUP('Données projet'!$B$11,Paramètres!$A$1:$I$89,3,0)*0.475*44/12</f>
        <v>5.6567475789775763</v>
      </c>
      <c r="BR50" s="23">
        <f>EXP(-LN(2)/2)*BR49+(1-EXP(-LN(2)/2))/(LN(2)/2)*BL50*BO50*VLOOKUP('Données projet'!$B$11,Paramètres!$A$1:$I$89,3,0)*0.475*44/12</f>
        <v>2.9881856405555525E-2</v>
      </c>
      <c r="BS50" s="24">
        <f t="shared" si="9"/>
        <v>13.398000390369095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2">
        <f t="shared" si="32"/>
        <v>10.715375251348382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70">
        <f t="shared" si="1"/>
        <v>373.29146522943171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21.939999999999998</v>
      </c>
      <c r="N51" s="14">
        <f>IF('Données projet'!$A$36&gt;35,N50+M51-V50,IF(A51&lt;'Données projet'!$A$36,$K$205^A51,IF(A51='Données projet'!$A$36,'Données projet'!$B$36,N50+M51-V50)))</f>
        <v>481.89</v>
      </c>
      <c r="O51" s="14">
        <f>N51*VLOOKUP('Données projet'!$B$9,Paramètres!$A$1:$I$89,3,0)*VLOOKUP('Données projet'!$B$9,Paramètres!$A$1:$I$89,5,0)</f>
        <v>269.37651</v>
      </c>
      <c r="P51" s="14">
        <f t="shared" si="33"/>
        <v>64.716931175288423</v>
      </c>
      <c r="Q51" s="22">
        <f t="shared" si="53"/>
        <v>581.87941004696063</v>
      </c>
      <c r="R51" s="62">
        <f t="shared" si="0"/>
        <v>875.21274338029389</v>
      </c>
      <c r="S51" s="62">
        <f ca="1">AVERAGE(OFFSET($R$3,0,0,'Données projet'!$E$9+1,1))-AVERAGE(OFFSET($H$3,0,0,'Données projet'!$E$9+1,1))</f>
        <v>262.38865315945856</v>
      </c>
      <c r="T51" s="62">
        <f t="shared" si="34"/>
        <v>268.78503805457069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14.845219942693484</v>
      </c>
      <c r="AA51" s="23">
        <f>EXP(-LN(2)/25)*AA50+(1-EXP(-LN(2)/25))/(LN(2)/25)*Calculateur!V51*Calculateur!X51*VLOOKUP('Données projet'!$B$9,Paramètres!$A$1:$I$89,3,0)*0.475*44/12</f>
        <v>1.2410095999490374</v>
      </c>
      <c r="AB51" s="23">
        <f>EXP(-LN(2)/2)*AB50+(1-EXP(-LN(2)/2))/(LN(2)/2)*V51*Y51*VLOOKUP('Données projet'!$B$9,Paramètres!$A$1:$I$89,3,0)*0.475*44/12</f>
        <v>1.0121777926107745E-2</v>
      </c>
      <c r="AC51" s="24">
        <f t="shared" si="3"/>
        <v>16.09635132056863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17.596666666666664</v>
      </c>
      <c r="AI51" s="14">
        <f>IF('Données projet'!$A$62&gt;35,AI50+AH51-AQ50,IF(A51&lt;'Données projet'!$A$62,$AF$205^A51,IF(A51='Données projet'!$A$62,'Données projet'!$B$62,AI50+AH51-AQ50)))</f>
        <v>343.6633333333333</v>
      </c>
      <c r="AJ51" s="14">
        <f>AI51*VLOOKUP('Données projet'!$B$10,Paramètres!$A$1:$I$89,3,0)*VLOOKUP('Données projet'!$B$10,Paramètres!$A$1:$I$89,5,0)</f>
        <v>160.83444</v>
      </c>
      <c r="AK51" s="14">
        <f t="shared" si="35"/>
        <v>41.030668661458968</v>
      </c>
      <c r="AL51" s="22">
        <f t="shared" si="4"/>
        <v>351.58173091870771</v>
      </c>
      <c r="AM51" s="62">
        <f t="shared" si="5"/>
        <v>644.91506425204102</v>
      </c>
      <c r="AN51" s="62">
        <f ca="1">AVERAGE(OFFSET($AM$3,0,0,'Données projet'!$E$10+1,1))-AVERAGE(OFFSET($H$3,0,0,'Données projet'!$E$10+1,1))</f>
        <v>199.36309817800088</v>
      </c>
      <c r="AO51" s="62">
        <f t="shared" si="36"/>
        <v>151.91120569748284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7.9</v>
      </c>
      <c r="BD51" s="13">
        <f>IF('Données projet'!$A$88&gt;35,BD50+BC51-BL50,IF(A51&lt;'Données projet'!$A$88,$BA$205^A51,IF(A51='Données projet'!$A$88,'Données projet'!$B$88,BD50+BC51-BL50)))</f>
        <v>278.19999999999987</v>
      </c>
      <c r="BE51" s="14">
        <f>BD51*VLOOKUP('Données projet'!$B$11,Paramètres!$A$1:$I$89,3,0)*VLOOKUP('Données projet'!$B$11,Paramètres!$A$1:$I$89,5,0)</f>
        <v>166.36359999999993</v>
      </c>
      <c r="BF51" s="14">
        <f t="shared" si="37"/>
        <v>42.274568875588898</v>
      </c>
      <c r="BG51" s="22">
        <f t="shared" si="7"/>
        <v>363.37814412498386</v>
      </c>
      <c r="BH51" s="62">
        <f t="shared" si="8"/>
        <v>656.71147745831718</v>
      </c>
      <c r="BI51" s="62">
        <f ca="1">AVERAGE(OFFSET($BH$3,0,0,'Données projet'!$E$11+1,1))-AVERAGE(OFFSET($H$3,0,0,'Données projet'!$E$11+1,1))</f>
        <v>140.16059323013189</v>
      </c>
      <c r="BJ51" s="62">
        <f t="shared" si="38"/>
        <v>219.0992563594865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7.5601556740305407</v>
      </c>
      <c r="BQ51" s="23">
        <f>EXP(-LN(2)/25)*BQ50+(1-EXP(-LN(2)/25))/(LN(2)/25)*Calculateur!BL51*Calculateur!BN51*VLOOKUP('Données projet'!$B$11,Paramètres!$A$1:$I$89,3,0)*0.475*44/12</f>
        <v>5.5020635189550076</v>
      </c>
      <c r="BR51" s="23">
        <f>EXP(-LN(2)/2)*BR50+(1-EXP(-LN(2)/2))/(LN(2)/2)*BL51*BO51*VLOOKUP('Données projet'!$B$11,Paramètres!$A$1:$I$89,3,0)*0.475*44/12</f>
        <v>2.1129663298810986E-2</v>
      </c>
      <c r="BS51" s="24">
        <f t="shared" si="9"/>
        <v>13.08334885628436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2">
        <f t="shared" si="32"/>
        <v>10.912390116516537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70">
        <f t="shared" si="1"/>
        <v>374.9115894529329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503.83</v>
      </c>
      <c r="L52" s="13">
        <f>VLOOKUP(A52,'Données projet'!$A$35:$I$55,9,0)</f>
        <v>21.939999999999998</v>
      </c>
      <c r="M52" s="13">
        <f t="array" ref="M52">INDEX(L:L,MIN(IF(ISNUMBER(L52:L248),ROW(L52:L248),"")))</f>
        <v>21.939999999999998</v>
      </c>
      <c r="N52" s="14">
        <f>IF('Données projet'!$A$36&gt;35,N51+M52-V51,IF(A52&lt;'Données projet'!$A$36,$K$205^A52,IF(A52='Données projet'!$A$36,'Données projet'!$B$36,N51+M52-V51)))</f>
        <v>503.83</v>
      </c>
      <c r="O52" s="14">
        <f>N52*VLOOKUP('Données projet'!$B$9,Paramètres!$A$1:$I$89,3,0)*VLOOKUP('Données projet'!$B$9,Paramètres!$A$1:$I$89,5,0)</f>
        <v>281.64096999999998</v>
      </c>
      <c r="P52" s="14">
        <f t="shared" si="33"/>
        <v>67.313674987907362</v>
      </c>
      <c r="Q52" s="22">
        <f t="shared" si="53"/>
        <v>607.76267335393857</v>
      </c>
      <c r="R52" s="62">
        <f t="shared" si="0"/>
        <v>901.09600668727194</v>
      </c>
      <c r="S52" s="62">
        <f ca="1">AVERAGE(OFFSET($R$3,0,0,'Données projet'!$E$9+1,1))-AVERAGE(OFFSET($H$3,0,0,'Données projet'!$E$9+1,1))</f>
        <v>262.38865315945856</v>
      </c>
      <c r="T52" s="62">
        <f t="shared" si="34"/>
        <v>268.78503805457069</v>
      </c>
      <c r="U52" s="16">
        <f>IF(ISNA(VLOOKUP(A52,'Données projet'!$A$35:$I$55,3,0)),0,VLOOKUP(A52,'Données projet'!$A$35:$I$55,3,0))</f>
        <v>6</v>
      </c>
      <c r="V52" s="16">
        <f>IF(ISNA(VLOOKUP(A52,'Données projet'!$A$35:$I$55,4,0)),0,VLOOKUP(A52,'Données projet'!$A$35:$I$55,4,0))</f>
        <v>112.61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14.554114234307354</v>
      </c>
      <c r="AA52" s="23">
        <f>EXP(-LN(2)/25)*AA51+(1-EXP(-LN(2)/25))/(LN(2)/25)*Calculateur!V52*Calculateur!X52*VLOOKUP('Données projet'!$B$9,Paramètres!$A$1:$I$89,3,0)*0.475*44/12</f>
        <v>1.2070741271765724</v>
      </c>
      <c r="AB52" s="23">
        <f>EXP(-LN(2)/2)*AB51+(1-EXP(-LN(2)/2))/(LN(2)/2)*V52*Y52*VLOOKUP('Données projet'!$B$9,Paramètres!$A$1:$I$89,3,0)*0.475*44/12</f>
        <v>7.1571778092150958E-3</v>
      </c>
      <c r="AC52" s="24">
        <f t="shared" si="3"/>
        <v>15.768345539293142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361.26</v>
      </c>
      <c r="AG52" s="13">
        <f>VLOOKUP(A52,'Données projet'!$A$61:$I$81,9,0)</f>
        <v>17.596666666666664</v>
      </c>
      <c r="AH52" s="13">
        <f t="array" ref="AH52">INDEX(AG:AG,MIN(IF(ISNUMBER(AG52:AG248),ROW(AG52:AG248),"")))</f>
        <v>17.596666666666664</v>
      </c>
      <c r="AI52" s="14">
        <f>IF('Données projet'!$A$62&gt;35,AI51+AH52-AQ51,IF(A52&lt;'Données projet'!$A$62,$AF$205^A52,IF(A52='Données projet'!$A$62,'Données projet'!$B$62,AI51+AH52-AQ51)))</f>
        <v>361.26</v>
      </c>
      <c r="AJ52" s="14">
        <f>AI52*VLOOKUP('Données projet'!$B$10,Paramètres!$A$1:$I$89,3,0)*VLOOKUP('Données projet'!$B$10,Paramètres!$A$1:$I$89,5,0)</f>
        <v>169.06968000000001</v>
      </c>
      <c r="AK52" s="14">
        <f t="shared" si="35"/>
        <v>42.881596355037587</v>
      </c>
      <c r="AL52" s="22">
        <f t="shared" si="4"/>
        <v>369.14847298502377</v>
      </c>
      <c r="AM52" s="62">
        <f t="shared" si="5"/>
        <v>662.48180631835703</v>
      </c>
      <c r="AN52" s="62">
        <f ca="1">AVERAGE(OFFSET($AM$3,0,0,'Données projet'!$E$10+1,1))-AVERAGE(OFFSET($H$3,0,0,'Données projet'!$E$10+1,1))</f>
        <v>199.36309817800088</v>
      </c>
      <c r="AO52" s="62">
        <f t="shared" si="36"/>
        <v>151.91120569748284</v>
      </c>
      <c r="AP52" s="16">
        <f>IF(ISNA(VLOOKUP(A52,'Données projet'!$A$61:$I$81,3,0)),0,VLOOKUP(A52,'Données projet'!$A$61:$I$81,3,0))</f>
        <v>5</v>
      </c>
      <c r="AQ52" s="16">
        <f>IF(ISNA(VLOOKUP(A52,'Données projet'!$A$61:$I$81,4,0)),0,VLOOKUP(A52,'Données projet'!$A$61:$I$81,4,0))</f>
        <v>100.16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7.9</v>
      </c>
      <c r="BD52" s="13">
        <f>IF('Données projet'!$A$88&gt;35,BD51+BC52-BL51,IF(A52&lt;'Données projet'!$A$88,$BA$205^A52,IF(A52='Données projet'!$A$88,'Données projet'!$B$88,BD51+BC52-BL51)))</f>
        <v>286.09999999999985</v>
      </c>
      <c r="BE52" s="14">
        <f>BD52*VLOOKUP('Données projet'!$B$11,Paramètres!$A$1:$I$89,3,0)*VLOOKUP('Données projet'!$B$11,Paramètres!$A$1:$I$89,5,0)</f>
        <v>171.08779999999993</v>
      </c>
      <c r="BF52" s="14">
        <f t="shared" si="37"/>
        <v>43.333564083264214</v>
      </c>
      <c r="BG52" s="22">
        <f t="shared" si="7"/>
        <v>373.45054244501836</v>
      </c>
      <c r="BH52" s="62">
        <f t="shared" si="8"/>
        <v>666.78387577835167</v>
      </c>
      <c r="BI52" s="62">
        <f ca="1">AVERAGE(OFFSET($BH$3,0,0,'Données projet'!$E$11+1,1))-AVERAGE(OFFSET($H$3,0,0,'Données projet'!$E$11+1,1))</f>
        <v>140.16059323013189</v>
      </c>
      <c r="BJ52" s="62">
        <f t="shared" si="38"/>
        <v>219.0992563594865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7.4119056325024406</v>
      </c>
      <c r="BQ52" s="23">
        <f>EXP(-LN(2)/25)*BQ51+(1-EXP(-LN(2)/25))/(LN(2)/25)*Calculateur!BL52*Calculateur!BN52*VLOOKUP('Données projet'!$B$11,Paramètres!$A$1:$I$89,3,0)*0.475*44/12</f>
        <v>5.3516093026882379</v>
      </c>
      <c r="BR52" s="23">
        <f>EXP(-LN(2)/2)*BR51+(1-EXP(-LN(2)/2))/(LN(2)/2)*BL52*BO52*VLOOKUP('Données projet'!$B$11,Paramètres!$A$1:$I$89,3,0)*0.475*44/12</f>
        <v>1.4940928202777764E-2</v>
      </c>
      <c r="BS52" s="24">
        <f t="shared" si="9"/>
        <v>12.778455863393456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2">
        <f t="shared" si="32"/>
        <v>11.108937492002092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70">
        <f t="shared" si="1"/>
        <v>376.53089946523693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20.324285714285718</v>
      </c>
      <c r="N53" s="14">
        <f>IF('Données projet'!$A$36&gt;35,N52+M53-V52,IF(A53&lt;'Données projet'!$A$36,$K$205^A53,IF(A53='Données projet'!$A$36,'Données projet'!$B$36,N52+M53-V52)))</f>
        <v>411.54428571428571</v>
      </c>
      <c r="O53" s="14">
        <f>N53*VLOOKUP('Données projet'!$B$9,Paramètres!$A$1:$I$89,3,0)*VLOOKUP('Données projet'!$B$9,Paramètres!$A$1:$I$89,5,0)</f>
        <v>230.05325571428571</v>
      </c>
      <c r="P53" s="14">
        <f t="shared" si="33"/>
        <v>56.294196506523747</v>
      </c>
      <c r="Q53" s="22">
        <f t="shared" si="53"/>
        <v>498.72181261790985</v>
      </c>
      <c r="R53" s="62">
        <f t="shared" si="0"/>
        <v>792.05514595124316</v>
      </c>
      <c r="S53" s="62">
        <f ca="1">AVERAGE(OFFSET($R$3,0,0,'Données projet'!$E$9+1,1))-AVERAGE(OFFSET($H$3,0,0,'Données projet'!$E$9+1,1))</f>
        <v>262.38865315945856</v>
      </c>
      <c r="T53" s="62">
        <f t="shared" si="34"/>
        <v>268.78503805457069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14.268716931305725</v>
      </c>
      <c r="AA53" s="23">
        <f>EXP(-LN(2)/25)*AA52+(1-EXP(-LN(2)/25))/(LN(2)/25)*Calculateur!V53*Calculateur!X53*VLOOKUP('Données projet'!$B$9,Paramètres!$A$1:$I$89,3,0)*0.475*44/12</f>
        <v>1.1740666216916595</v>
      </c>
      <c r="AB53" s="23">
        <f>EXP(-LN(2)/2)*AB52+(1-EXP(-LN(2)/2))/(LN(2)/2)*V53*Y53*VLOOKUP('Données projet'!$B$9,Paramètres!$A$1:$I$89,3,0)*0.475*44/12</f>
        <v>5.0608889630538723E-3</v>
      </c>
      <c r="AC53" s="24">
        <f t="shared" si="3"/>
        <v>15.44784444196044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277.5</v>
      </c>
      <c r="AG53" s="13">
        <f>VLOOKUP(A53,'Données projet'!$A$61:$I$81,9,0)</f>
        <v>16.399999999999977</v>
      </c>
      <c r="AH53" s="13">
        <f t="array" ref="AH53">INDEX(AG:AG,MIN(IF(ISNUMBER(AG53:AG249),ROW(AG53:AG249),"")))</f>
        <v>16.399999999999977</v>
      </c>
      <c r="AI53" s="14">
        <f>IF('Données projet'!$A$62&gt;35,AI52+AH53-AQ52,IF(A53&lt;'Données projet'!$A$62,$AF$205^A53,IF(A53='Données projet'!$A$62,'Données projet'!$B$62,AI52+AH53-AQ52)))</f>
        <v>277.5</v>
      </c>
      <c r="AJ53" s="14">
        <f>AI53*VLOOKUP('Données projet'!$B$10,Paramètres!$A$1:$I$89,3,0)*VLOOKUP('Données projet'!$B$10,Paramètres!$A$1:$I$89,5,0)</f>
        <v>129.87</v>
      </c>
      <c r="AK53" s="14">
        <f t="shared" si="35"/>
        <v>33.966318400312318</v>
      </c>
      <c r="AL53" s="22">
        <f t="shared" si="4"/>
        <v>285.34825454721067</v>
      </c>
      <c r="AM53" s="62">
        <f t="shared" si="5"/>
        <v>578.68158788054393</v>
      </c>
      <c r="AN53" s="62">
        <f ca="1">AVERAGE(OFFSET($AM$3,0,0,'Données projet'!$E$10+1,1))-AVERAGE(OFFSET($H$3,0,0,'Données projet'!$E$10+1,1))</f>
        <v>199.36309817800088</v>
      </c>
      <c r="AO53" s="62">
        <f t="shared" si="36"/>
        <v>151.91120569748284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294</v>
      </c>
      <c r="BB53" s="13">
        <f>VLOOKUP(A53,'Données projet'!$A$87:$I$107,9,0)</f>
        <v>7.9</v>
      </c>
      <c r="BC53" s="13">
        <f t="array" ref="BC53">INDEX(BB:BB,MIN(IF(ISNUMBER(BB53:BB249),ROW(BB53:BB249),"")))</f>
        <v>7.9</v>
      </c>
      <c r="BD53" s="13">
        <f>IF('Données projet'!$A$88&gt;35,BD52+BC53-BL52,IF(A53&lt;'Données projet'!$A$88,$BA$205^A53,IF(A53='Données projet'!$A$88,'Données projet'!$B$88,BD52+BC53-BL52)))</f>
        <v>293.99999999999983</v>
      </c>
      <c r="BE53" s="14">
        <f>BD53*VLOOKUP('Données projet'!$B$11,Paramètres!$A$1:$I$89,3,0)*VLOOKUP('Données projet'!$B$11,Paramètres!$A$1:$I$89,5,0)</f>
        <v>175.8119999999999</v>
      </c>
      <c r="BF53" s="14">
        <f t="shared" si="37"/>
        <v>44.389160560041141</v>
      </c>
      <c r="BG53" s="22">
        <f t="shared" si="7"/>
        <v>383.51702130873815</v>
      </c>
      <c r="BH53" s="62">
        <f t="shared" si="8"/>
        <v>676.85035464207147</v>
      </c>
      <c r="BI53" s="62">
        <f ca="1">AVERAGE(OFFSET($BH$3,0,0,'Données projet'!$E$11+1,1))-AVERAGE(OFFSET($H$3,0,0,'Données projet'!$E$11+1,1))</f>
        <v>140.16059323013189</v>
      </c>
      <c r="BJ53" s="62">
        <f t="shared" si="38"/>
        <v>219.0992563594865</v>
      </c>
      <c r="BK53" s="16">
        <f>IF(ISNA(VLOOKUP(A53,'Données projet'!$A$87:$I$107,3,0)),0,VLOOKUP(A53,'Données projet'!$A$87:$I$107,3,0))</f>
        <v>5</v>
      </c>
      <c r="BL53" s="16">
        <f>IF(ISNA(VLOOKUP(A53,'Données projet'!$A$87:$I$107,4,0)),0,VLOOKUP(A53,'Données projet'!$A$87:$I$107,4,0))</f>
        <v>294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7.2665626838651098</v>
      </c>
      <c r="BQ53" s="23">
        <f>EXP(-LN(2)/25)*BQ52+(1-EXP(-LN(2)/25))/(LN(2)/25)*Calculateur!BL53*Calculateur!BN53*VLOOKUP('Données projet'!$B$11,Paramètres!$A$1:$I$89,3,0)*0.475*44/12</f>
        <v>5.2052692648773258</v>
      </c>
      <c r="BR53" s="23">
        <f>EXP(-LN(2)/2)*BR52+(1-EXP(-LN(2)/2))/(LN(2)/2)*BL53*BO53*VLOOKUP('Données projet'!$B$11,Paramètres!$A$1:$I$89,3,0)*0.475*44/12</f>
        <v>1.0564831649405493E-2</v>
      </c>
      <c r="BS53" s="24">
        <f t="shared" si="9"/>
        <v>12.482396780391841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2">
        <f t="shared" si="32"/>
        <v>11.305027805177126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70">
        <f t="shared" si="1"/>
        <v>378.14941342735011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20.324285714285718</v>
      </c>
      <c r="N54" s="14">
        <f>IF('Données projet'!$A$36&gt;35,N53+M54-V53,IF(A54&lt;'Données projet'!$A$36,$K$205^A54,IF(A54='Données projet'!$A$36,'Données projet'!$B$36,N53+M54-V53)))</f>
        <v>431.86857142857144</v>
      </c>
      <c r="O54" s="14">
        <f>N54*VLOOKUP('Données projet'!$B$9,Paramètres!$A$1:$I$89,3,0)*VLOOKUP('Données projet'!$B$9,Paramètres!$A$1:$I$89,5,0)</f>
        <v>241.41453142857142</v>
      </c>
      <c r="P54" s="14">
        <f t="shared" si="33"/>
        <v>58.743769641045859</v>
      </c>
      <c r="Q54" s="22">
        <f t="shared" si="53"/>
        <v>522.77570769625004</v>
      </c>
      <c r="R54" s="62">
        <f t="shared" si="0"/>
        <v>816.1090410295833</v>
      </c>
      <c r="S54" s="62">
        <f ca="1">AVERAGE(OFFSET($R$3,0,0,'Données projet'!$E$9+1,1))-AVERAGE(OFFSET($H$3,0,0,'Données projet'!$E$9+1,1))</f>
        <v>262.38865315945856</v>
      </c>
      <c r="T54" s="62">
        <f t="shared" si="34"/>
        <v>268.78503805457069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13.988916095340793</v>
      </c>
      <c r="AA54" s="23">
        <f>EXP(-LN(2)/25)*AA53+(1-EXP(-LN(2)/25))/(LN(2)/25)*Calculateur!V54*Calculateur!X54*VLOOKUP('Données projet'!$B$9,Paramètres!$A$1:$I$89,3,0)*0.475*44/12</f>
        <v>1.1419617081800209</v>
      </c>
      <c r="AB54" s="23">
        <f>EXP(-LN(2)/2)*AB53+(1-EXP(-LN(2)/2))/(LN(2)/2)*V54*Y54*VLOOKUP('Données projet'!$B$9,Paramètres!$A$1:$I$89,3,0)*0.475*44/12</f>
        <v>3.5785889046075479E-3</v>
      </c>
      <c r="AC54" s="24">
        <f t="shared" si="3"/>
        <v>15.134456392425422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17.034999999999997</v>
      </c>
      <c r="AI54" s="14">
        <f>IF('Données projet'!$A$62&gt;35,AI53+AH54-AQ53,IF(A54&lt;'Données projet'!$A$62,$AF$205^A54,IF(A54='Données projet'!$A$62,'Données projet'!$B$62,AI53+AH54-AQ53)))</f>
        <v>294.53499999999997</v>
      </c>
      <c r="AJ54" s="14">
        <f>AI54*VLOOKUP('Données projet'!$B$10,Paramètres!$A$1:$I$89,3,0)*VLOOKUP('Données projet'!$B$10,Paramètres!$A$1:$I$89,5,0)</f>
        <v>137.84237999999999</v>
      </c>
      <c r="AK54" s="14">
        <f t="shared" si="35"/>
        <v>35.802279141153015</v>
      </c>
      <c r="AL54" s="22">
        <f t="shared" si="4"/>
        <v>302.43111467084145</v>
      </c>
      <c r="AM54" s="62">
        <f t="shared" si="5"/>
        <v>595.76444800417471</v>
      </c>
      <c r="AN54" s="62">
        <f ca="1">AVERAGE(OFFSET($AM$3,0,0,'Données projet'!$E$10+1,1))-AVERAGE(OFFSET($H$3,0,0,'Données projet'!$E$10+1,1))</f>
        <v>199.36309817800088</v>
      </c>
      <c r="AO54" s="62">
        <f t="shared" si="36"/>
        <v>151.91120569748284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-1.7053025658242404E-13</v>
      </c>
      <c r="BE54" s="14">
        <f>BD54*VLOOKUP('Données projet'!$B$11,Paramètres!$A$1:$I$89,3,0)*VLOOKUP('Données projet'!$B$11,Paramètres!$A$1:$I$89,5,0)</f>
        <v>-1.0197709343628959E-13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140.16059323013189</v>
      </c>
      <c r="BJ54" s="62">
        <f t="shared" si="38"/>
        <v>219.0992563594865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7.1240698218001119</v>
      </c>
      <c r="BQ54" s="23">
        <f>EXP(-LN(2)/25)*BQ53+(1-EXP(-LN(2)/25))/(LN(2)/25)*Calculateur!BL54*Calculateur!BN54*VLOOKUP('Données projet'!$B$11,Paramètres!$A$1:$I$89,3,0)*0.475*44/12</f>
        <v>5.0629309030960412</v>
      </c>
      <c r="BR54" s="23">
        <f>EXP(-LN(2)/2)*BR53+(1-EXP(-LN(2)/2))/(LN(2)/2)*BL54*BO54*VLOOKUP('Données projet'!$B$11,Paramètres!$A$1:$I$89,3,0)*0.475*44/12</f>
        <v>7.4704641013888821E-3</v>
      </c>
      <c r="BS54" s="24">
        <f t="shared" si="9"/>
        <v>12.194471188997541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2">
        <f t="shared" si="32"/>
        <v>11.500671051108624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70">
        <f t="shared" si="1"/>
        <v>379.76714874734745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20.324285714285718</v>
      </c>
      <c r="N55" s="14">
        <f>IF('Données projet'!$A$36&gt;35,N54+M55-V54,IF(A55&lt;'Données projet'!$A$36,$K$205^A55,IF(A55='Données projet'!$A$36,'Données projet'!$B$36,N54+M55-V54)))</f>
        <v>452.19285714285718</v>
      </c>
      <c r="O55" s="14">
        <f>N55*VLOOKUP('Données projet'!$B$9,Paramètres!$A$1:$I$89,3,0)*VLOOKUP('Données projet'!$B$9,Paramètres!$A$1:$I$89,5,0)</f>
        <v>252.77580714285716</v>
      </c>
      <c r="P55" s="14">
        <f t="shared" si="33"/>
        <v>61.179955647848509</v>
      </c>
      <c r="Q55" s="22">
        <f t="shared" si="53"/>
        <v>546.80628686047896</v>
      </c>
      <c r="R55" s="62">
        <f t="shared" si="0"/>
        <v>840.13962019381233</v>
      </c>
      <c r="S55" s="62">
        <f ca="1">AVERAGE(OFFSET($R$3,0,0,'Données projet'!$E$9+1,1))-AVERAGE(OFFSET($H$3,0,0,'Données projet'!$E$9+1,1))</f>
        <v>262.38865315945856</v>
      </c>
      <c r="T55" s="62">
        <f t="shared" si="34"/>
        <v>268.78503805457069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13.714601983107475</v>
      </c>
      <c r="AA55" s="23">
        <f>EXP(-LN(2)/25)*AA54+(1-EXP(-LN(2)/25))/(LN(2)/25)*Calculateur!V55*Calculateur!X55*VLOOKUP('Données projet'!$B$9,Paramètres!$A$1:$I$89,3,0)*0.475*44/12</f>
        <v>1.1107347052166818</v>
      </c>
      <c r="AB55" s="23">
        <f>EXP(-LN(2)/2)*AB54+(1-EXP(-LN(2)/2))/(LN(2)/2)*V55*Y55*VLOOKUP('Données projet'!$B$9,Paramètres!$A$1:$I$89,3,0)*0.475*44/12</f>
        <v>2.5304444815269361E-3</v>
      </c>
      <c r="AC55" s="24">
        <f t="shared" si="3"/>
        <v>14.827867132805684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17.034999999999997</v>
      </c>
      <c r="AI55" s="14">
        <f>IF('Données projet'!$A$62&gt;35,AI54+AH55-AQ54,IF(A55&lt;'Données projet'!$A$62,$AF$205^A55,IF(A55='Données projet'!$A$62,'Données projet'!$B$62,AI54+AH55-AQ54)))</f>
        <v>311.56999999999994</v>
      </c>
      <c r="AJ55" s="14">
        <f>AI55*VLOOKUP('Données projet'!$B$10,Paramètres!$A$1:$I$89,3,0)*VLOOKUP('Données projet'!$B$10,Paramètres!$A$1:$I$89,5,0)</f>
        <v>145.81475999999998</v>
      </c>
      <c r="AK55" s="14">
        <f t="shared" si="35"/>
        <v>37.625914051925029</v>
      </c>
      <c r="AL55" s="22">
        <f t="shared" si="4"/>
        <v>319.4925073071027</v>
      </c>
      <c r="AM55" s="62">
        <f t="shared" si="5"/>
        <v>612.82584064043601</v>
      </c>
      <c r="AN55" s="62">
        <f ca="1">AVERAGE(OFFSET($AM$3,0,0,'Données projet'!$E$10+1,1))-AVERAGE(OFFSET($H$3,0,0,'Données projet'!$E$10+1,1))</f>
        <v>199.36309817800088</v>
      </c>
      <c r="AO55" s="62">
        <f t="shared" si="36"/>
        <v>151.91120569748284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-1.7053025658242404E-13</v>
      </c>
      <c r="BE55" s="14">
        <f>BD55*VLOOKUP('Données projet'!$B$11,Paramètres!$A$1:$I$89,3,0)*VLOOKUP('Données projet'!$B$11,Paramètres!$A$1:$I$89,5,0)</f>
        <v>-1.0197709343628959E-13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140.16059323013189</v>
      </c>
      <c r="BJ55" s="62">
        <f t="shared" si="38"/>
        <v>219.0992563594865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6.9843711578481447</v>
      </c>
      <c r="BQ55" s="23">
        <f>EXP(-LN(2)/25)*BQ54+(1-EXP(-LN(2)/25))/(LN(2)/25)*Calculateur!BL55*Calculateur!BN55*VLOOKUP('Données projet'!$B$11,Paramètres!$A$1:$I$89,3,0)*0.475*44/12</f>
        <v>4.9244847913029153</v>
      </c>
      <c r="BR55" s="23">
        <f>EXP(-LN(2)/2)*BR54+(1-EXP(-LN(2)/2))/(LN(2)/2)*BL55*BO55*VLOOKUP('Données projet'!$B$11,Paramètres!$A$1:$I$89,3,0)*0.475*44/12</f>
        <v>5.2824158247027466E-3</v>
      </c>
      <c r="BS55" s="24">
        <f t="shared" si="9"/>
        <v>11.914138364975763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2">
        <f t="shared" si="32"/>
        <v>11.695876818444219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70">
        <f t="shared" si="1"/>
        <v>381.38412212545694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20.324285714285718</v>
      </c>
      <c r="N56" s="14">
        <f>IF('Données projet'!$A$36&gt;35,N55+M56-V55,IF(A56&lt;'Données projet'!$A$36,$K$205^A56,IF(A56='Données projet'!$A$36,'Données projet'!$B$36,N55+M56-V55)))</f>
        <v>472.51714285714291</v>
      </c>
      <c r="O56" s="14">
        <f>N56*VLOOKUP('Données projet'!$B$9,Paramètres!$A$1:$I$89,3,0)*VLOOKUP('Données projet'!$B$9,Paramètres!$A$1:$I$89,5,0)</f>
        <v>264.1370828571429</v>
      </c>
      <c r="P56" s="14">
        <f t="shared" si="33"/>
        <v>63.60342497029243</v>
      </c>
      <c r="Q56" s="22">
        <f t="shared" si="53"/>
        <v>570.81471779944991</v>
      </c>
      <c r="R56" s="62">
        <f t="shared" si="0"/>
        <v>864.14805113278317</v>
      </c>
      <c r="S56" s="62">
        <f ca="1">AVERAGE(OFFSET($R$3,0,0,'Données projet'!$E$9+1,1))-AVERAGE(OFFSET($H$3,0,0,'Données projet'!$E$9+1,1))</f>
        <v>262.38865315945856</v>
      </c>
      <c r="T56" s="62">
        <f t="shared" si="34"/>
        <v>268.78503805457069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13.445667003299963</v>
      </c>
      <c r="AA56" s="23">
        <f>EXP(-LN(2)/25)*AA55+(1-EXP(-LN(2)/25))/(LN(2)/25)*Calculateur!V56*Calculateur!X56*VLOOKUP('Données projet'!$B$9,Paramètres!$A$1:$I$89,3,0)*0.475*44/12</f>
        <v>1.0803616062915322</v>
      </c>
      <c r="AB56" s="23">
        <f>EXP(-LN(2)/2)*AB55+(1-EXP(-LN(2)/2))/(LN(2)/2)*V56*Y56*VLOOKUP('Données projet'!$B$9,Paramètres!$A$1:$I$89,3,0)*0.475*44/12</f>
        <v>1.7892944523037739E-3</v>
      </c>
      <c r="AC56" s="24">
        <f t="shared" si="3"/>
        <v>14.527817904043799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17.034999999999997</v>
      </c>
      <c r="AI56" s="14">
        <f>IF('Données projet'!$A$62&gt;35,AI55+AH56-AQ55,IF(A56&lt;'Données projet'!$A$62,$AF$205^A56,IF(A56='Données projet'!$A$62,'Données projet'!$B$62,AI55+AH56-AQ55)))</f>
        <v>328.6049999999999</v>
      </c>
      <c r="AJ56" s="14">
        <f>AI56*VLOOKUP('Données projet'!$B$10,Paramètres!$A$1:$I$89,3,0)*VLOOKUP('Données projet'!$B$10,Paramètres!$A$1:$I$89,5,0)</f>
        <v>153.78713999999997</v>
      </c>
      <c r="AK56" s="14">
        <f t="shared" si="35"/>
        <v>39.437973866071921</v>
      </c>
      <c r="AL56" s="22">
        <f t="shared" si="4"/>
        <v>336.53373998340851</v>
      </c>
      <c r="AM56" s="62">
        <f t="shared" si="5"/>
        <v>629.86707331674188</v>
      </c>
      <c r="AN56" s="62">
        <f ca="1">AVERAGE(OFFSET($AM$3,0,0,'Données projet'!$E$10+1,1))-AVERAGE(OFFSET($H$3,0,0,'Données projet'!$E$10+1,1))</f>
        <v>199.36309817800088</v>
      </c>
      <c r="AO56" s="62">
        <f t="shared" si="36"/>
        <v>151.91120569748284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-1.7053025658242404E-13</v>
      </c>
      <c r="BE56" s="14">
        <f>BD56*VLOOKUP('Données projet'!$B$11,Paramètres!$A$1:$I$89,3,0)*VLOOKUP('Données projet'!$B$11,Paramètres!$A$1:$I$89,5,0)</f>
        <v>-1.0197709343628959E-13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140.16059323013189</v>
      </c>
      <c r="BJ56" s="62">
        <f t="shared" si="38"/>
        <v>219.0992563594865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6.8474118994885043</v>
      </c>
      <c r="BQ56" s="23">
        <f>EXP(-LN(2)/25)*BQ55+(1-EXP(-LN(2)/25))/(LN(2)/25)*Calculateur!BL56*Calculateur!BN56*VLOOKUP('Données projet'!$B$11,Paramètres!$A$1:$I$89,3,0)*0.475*44/12</f>
        <v>4.7898244957173368</v>
      </c>
      <c r="BR56" s="23">
        <f>EXP(-LN(2)/2)*BR55+(1-EXP(-LN(2)/2))/(LN(2)/2)*BL56*BO56*VLOOKUP('Données projet'!$B$11,Paramètres!$A$1:$I$89,3,0)*0.475*44/12</f>
        <v>3.7352320506944411E-3</v>
      </c>
      <c r="BS56" s="24">
        <f t="shared" si="9"/>
        <v>11.640971627256535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2">
        <f t="shared" si="32"/>
        <v>11.890654313289092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70">
        <f t="shared" si="1"/>
        <v>383.0003495956451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20.324285714285718</v>
      </c>
      <c r="N57" s="14">
        <f>IF('Données projet'!$A$36&gt;35,N56+M57-V56,IF(A57&lt;'Données projet'!$A$36,$K$205^A57,IF(A57='Données projet'!$A$36,'Données projet'!$B$36,N56+M57-V56)))</f>
        <v>492.84142857142865</v>
      </c>
      <c r="O57" s="14">
        <f>N57*VLOOKUP('Données projet'!$B$9,Paramètres!$A$1:$I$89,3,0)*VLOOKUP('Données projet'!$B$9,Paramètres!$A$1:$I$89,5,0)</f>
        <v>275.49835857142858</v>
      </c>
      <c r="P57" s="14">
        <f t="shared" si="33"/>
        <v>66.0147871145425</v>
      </c>
      <c r="Q57" s="22">
        <f t="shared" si="53"/>
        <v>594.80206206973287</v>
      </c>
      <c r="R57" s="62">
        <f t="shared" si="0"/>
        <v>888.13539540306624</v>
      </c>
      <c r="S57" s="62">
        <f ca="1">AVERAGE(OFFSET($R$3,0,0,'Données projet'!$E$9+1,1))-AVERAGE(OFFSET($H$3,0,0,'Données projet'!$E$9+1,1))</f>
        <v>262.38865315945856</v>
      </c>
      <c r="T57" s="62">
        <f t="shared" si="34"/>
        <v>268.78503805457069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13.182005674412336</v>
      </c>
      <c r="AA57" s="23">
        <f>EXP(-LN(2)/25)*AA56+(1-EXP(-LN(2)/25))/(LN(2)/25)*Calculateur!V57*Calculateur!X57*VLOOKUP('Données projet'!$B$9,Paramètres!$A$1:$I$89,3,0)*0.475*44/12</f>
        <v>1.0508190613537427</v>
      </c>
      <c r="AB57" s="23">
        <f>EXP(-LN(2)/2)*AB56+(1-EXP(-LN(2)/2))/(LN(2)/2)*V57*Y57*VLOOKUP('Données projet'!$B$9,Paramètres!$A$1:$I$89,3,0)*0.475*44/12</f>
        <v>1.2652222407634681E-3</v>
      </c>
      <c r="AC57" s="24">
        <f t="shared" si="3"/>
        <v>14.234089958006841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17.034999999999997</v>
      </c>
      <c r="AI57" s="14">
        <f>IF('Données projet'!$A$62&gt;35,AI56+AH57-AQ56,IF(A57&lt;'Données projet'!$A$62,$AF$205^A57,IF(A57='Données projet'!$A$62,'Données projet'!$B$62,AI56+AH57-AQ56)))</f>
        <v>345.63999999999987</v>
      </c>
      <c r="AJ57" s="14">
        <f>AI57*VLOOKUP('Données projet'!$B$10,Paramètres!$A$1:$I$89,3,0)*VLOOKUP('Données projet'!$B$10,Paramètres!$A$1:$I$89,5,0)</f>
        <v>161.75951999999995</v>
      </c>
      <c r="AK57" s="14">
        <f t="shared" si="35"/>
        <v>41.239127084112248</v>
      </c>
      <c r="AL57" s="22">
        <f t="shared" si="4"/>
        <v>353.55597700482872</v>
      </c>
      <c r="AM57" s="62">
        <f t="shared" si="5"/>
        <v>646.88931033816198</v>
      </c>
      <c r="AN57" s="62">
        <f ca="1">AVERAGE(OFFSET($AM$3,0,0,'Données projet'!$E$10+1,1))-AVERAGE(OFFSET($H$3,0,0,'Données projet'!$E$10+1,1))</f>
        <v>199.36309817800088</v>
      </c>
      <c r="AO57" s="62">
        <f t="shared" si="36"/>
        <v>151.91120569748284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-1.7053025658242404E-13</v>
      </c>
      <c r="BE57" s="14">
        <f>BD57*VLOOKUP('Données projet'!$B$11,Paramètres!$A$1:$I$89,3,0)*VLOOKUP('Données projet'!$B$11,Paramètres!$A$1:$I$89,5,0)</f>
        <v>-1.0197709343628959E-13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140.16059323013189</v>
      </c>
      <c r="BJ57" s="62">
        <f t="shared" si="38"/>
        <v>219.0992563594865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6.7131383286483972</v>
      </c>
      <c r="BQ57" s="23">
        <f>EXP(-LN(2)/25)*BQ56+(1-EXP(-LN(2)/25))/(LN(2)/25)*Calculateur!BL57*Calculateur!BN57*VLOOKUP('Données projet'!$B$11,Paramètres!$A$1:$I$89,3,0)*0.475*44/12</f>
        <v>4.6588464929960232</v>
      </c>
      <c r="BR57" s="23">
        <f>EXP(-LN(2)/2)*BR56+(1-EXP(-LN(2)/2))/(LN(2)/2)*BL57*BO57*VLOOKUP('Données projet'!$B$11,Paramètres!$A$1:$I$89,3,0)*0.475*44/12</f>
        <v>2.6412079123513733E-3</v>
      </c>
      <c r="BS57" s="24">
        <f t="shared" si="9"/>
        <v>11.374626029556772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2">
        <f t="shared" si="32"/>
        <v>12.085012381264168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70">
        <f t="shared" si="1"/>
        <v>384.615846564035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20.324285714285718</v>
      </c>
      <c r="N58" s="14">
        <f>IF('Données projet'!$A$36&gt;35,N57+M58-V57,IF(A58&lt;'Données projet'!$A$36,$K$205^A58,IF(A58='Données projet'!$A$36,'Données projet'!$B$36,N57+M58-V57)))</f>
        <v>513.16571428571433</v>
      </c>
      <c r="O58" s="14">
        <f>N58*VLOOKUP('Données projet'!$B$9,Paramètres!$A$1:$I$89,3,0)*VLOOKUP('Données projet'!$B$9,Paramètres!$A$1:$I$89,5,0)</f>
        <v>286.85963428571432</v>
      </c>
      <c r="P58" s="14">
        <f t="shared" si="33"/>
        <v>68.414598471463037</v>
      </c>
      <c r="Q58" s="22">
        <f t="shared" si="53"/>
        <v>618.76928871875054</v>
      </c>
      <c r="R58" s="62">
        <f t="shared" si="0"/>
        <v>912.10262205208392</v>
      </c>
      <c r="S58" s="62">
        <f ca="1">AVERAGE(OFFSET($R$3,0,0,'Données projet'!$E$9+1,1))-AVERAGE(OFFSET($H$3,0,0,'Données projet'!$E$9+1,1))</f>
        <v>262.38865315945856</v>
      </c>
      <c r="T58" s="62">
        <f t="shared" si="34"/>
        <v>268.78503805457069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12.923514583366664</v>
      </c>
      <c r="AA58" s="23">
        <f>EXP(-LN(2)/25)*AA57+(1-EXP(-LN(2)/25))/(LN(2)/25)*Calculateur!V58*Calculateur!X58*VLOOKUP('Données projet'!$B$9,Paramètres!$A$1:$I$89,3,0)*0.475*44/12</f>
        <v>1.0220843588608519</v>
      </c>
      <c r="AB58" s="23">
        <f>EXP(-LN(2)/2)*AB57+(1-EXP(-LN(2)/2))/(LN(2)/2)*V58*Y58*VLOOKUP('Données projet'!$B$9,Paramètres!$A$1:$I$89,3,0)*0.475*44/12</f>
        <v>8.9464722615188697E-4</v>
      </c>
      <c r="AC58" s="24">
        <f t="shared" si="3"/>
        <v>13.946493589453668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17.034999999999997</v>
      </c>
      <c r="AI58" s="14">
        <f>IF('Données projet'!$A$62&gt;35,AI57+AH58-AQ57,IF(A58&lt;'Données projet'!$A$62,$AF$205^A58,IF(A58='Données projet'!$A$62,'Données projet'!$B$62,AI57+AH58-AQ57)))</f>
        <v>362.67499999999984</v>
      </c>
      <c r="AJ58" s="14">
        <f>AI58*VLOOKUP('Données projet'!$B$10,Paramètres!$A$1:$I$89,3,0)*VLOOKUP('Données projet'!$B$10,Paramètres!$A$1:$I$89,5,0)</f>
        <v>169.73189999999991</v>
      </c>
      <c r="AK58" s="14">
        <f t="shared" si="35"/>
        <v>43.029972589331059</v>
      </c>
      <c r="AL58" s="22">
        <f t="shared" si="4"/>
        <v>370.56026142641809</v>
      </c>
      <c r="AM58" s="62">
        <f t="shared" si="5"/>
        <v>663.89359475975141</v>
      </c>
      <c r="AN58" s="62">
        <f ca="1">AVERAGE(OFFSET($AM$3,0,0,'Données projet'!$E$10+1,1))-AVERAGE(OFFSET($H$3,0,0,'Données projet'!$E$10+1,1))</f>
        <v>199.36309817800088</v>
      </c>
      <c r="AO58" s="62">
        <f t="shared" si="36"/>
        <v>151.91120569748284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-1.7053025658242404E-13</v>
      </c>
      <c r="BE58" s="14">
        <f>BD58*VLOOKUP('Données projet'!$B$11,Paramètres!$A$1:$I$89,3,0)*VLOOKUP('Données projet'!$B$11,Paramètres!$A$1:$I$89,5,0)</f>
        <v>-1.0197709343628959E-13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140.16059323013189</v>
      </c>
      <c r="BJ58" s="62">
        <f t="shared" si="38"/>
        <v>219.0992563594865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6.5814977806336739</v>
      </c>
      <c r="BQ58" s="23">
        <f>EXP(-LN(2)/25)*BQ57+(1-EXP(-LN(2)/25))/(LN(2)/25)*Calculateur!BL58*Calculateur!BN58*VLOOKUP('Données projet'!$B$11,Paramètres!$A$1:$I$89,3,0)*0.475*44/12</f>
        <v>4.5314500906469579</v>
      </c>
      <c r="BR58" s="23">
        <f>EXP(-LN(2)/2)*BR57+(1-EXP(-LN(2)/2))/(LN(2)/2)*BL58*BO58*VLOOKUP('Données projet'!$B$11,Paramètres!$A$1:$I$89,3,0)*0.475*44/12</f>
        <v>1.8676160253472205E-3</v>
      </c>
      <c r="BS58" s="24">
        <f t="shared" si="9"/>
        <v>11.114815487305979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2">
        <f t="shared" si="32"/>
        <v>12.278959527914731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70">
        <f t="shared" si="1"/>
        <v>386.23062784445136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533.49</v>
      </c>
      <c r="L59" s="13">
        <f>VLOOKUP(A59,'Données projet'!$A$35:$I$55,9,0)</f>
        <v>20.324285714285718</v>
      </c>
      <c r="M59" s="13">
        <f t="array" ref="M59">INDEX(L:L,MIN(IF(ISNUMBER(L59:L255),ROW(L59:L255),"")))</f>
        <v>20.324285714285718</v>
      </c>
      <c r="N59" s="14">
        <f>IF('Données projet'!$A$36&gt;35,N58+M59-V58,IF(A59&lt;'Données projet'!$A$36,$K$205^A59,IF(A59='Données projet'!$A$36,'Données projet'!$B$36,N58+M59-V58)))</f>
        <v>533.49</v>
      </c>
      <c r="O59" s="14">
        <f>N59*VLOOKUP('Données projet'!$B$9,Paramètres!$A$1:$I$89,3,0)*VLOOKUP('Données projet'!$B$9,Paramètres!$A$1:$I$89,5,0)</f>
        <v>298.22091</v>
      </c>
      <c r="P59" s="14">
        <f t="shared" si="33"/>
        <v>70.803368864473384</v>
      </c>
      <c r="Q59" s="22">
        <f t="shared" si="53"/>
        <v>642.71728568895776</v>
      </c>
      <c r="R59" s="62">
        <f t="shared" si="0"/>
        <v>936.05061902229113</v>
      </c>
      <c r="S59" s="62">
        <f ca="1">AVERAGE(OFFSET($R$3,0,0,'Données projet'!$E$9+1,1))-AVERAGE(OFFSET($H$3,0,0,'Données projet'!$E$9+1,1))</f>
        <v>262.38865315945856</v>
      </c>
      <c r="T59" s="62">
        <f t="shared" si="34"/>
        <v>268.78503805457069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94.57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12.670092344952401</v>
      </c>
      <c r="AA59" s="23">
        <f>EXP(-LN(2)/25)*AA58+(1-EXP(-LN(2)/25))/(LN(2)/25)*Calculateur!V59*Calculateur!X59*VLOOKUP('Données projet'!$B$9,Paramètres!$A$1:$I$89,3,0)*0.475*44/12</f>
        <v>0.99413540831872149</v>
      </c>
      <c r="AB59" s="23">
        <f>EXP(-LN(2)/2)*AB58+(1-EXP(-LN(2)/2))/(LN(2)/2)*V59*Y59*VLOOKUP('Données projet'!$B$9,Paramètres!$A$1:$I$89,3,0)*0.475*44/12</f>
        <v>6.3261112038173403E-4</v>
      </c>
      <c r="AC59" s="24">
        <f t="shared" si="3"/>
        <v>13.664860364391505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379.71</v>
      </c>
      <c r="AG59" s="13">
        <f>VLOOKUP(A59,'Données projet'!$A$61:$I$81,9,0)</f>
        <v>17.034999999999997</v>
      </c>
      <c r="AH59" s="13">
        <f t="array" ref="AH59">INDEX(AG:AG,MIN(IF(ISNUMBER(AG59:AG255),ROW(AG59:AG255),"")))</f>
        <v>17.034999999999997</v>
      </c>
      <c r="AI59" s="14">
        <f>IF('Données projet'!$A$62&gt;35,AI58+AH59-AQ58,IF(A59&lt;'Données projet'!$A$62,$AF$205^A59,IF(A59='Données projet'!$A$62,'Données projet'!$B$62,AI58+AH59-AQ58)))</f>
        <v>379.70999999999981</v>
      </c>
      <c r="AJ59" s="14">
        <f>AI59*VLOOKUP('Données projet'!$B$10,Paramètres!$A$1:$I$89,3,0)*VLOOKUP('Données projet'!$B$10,Paramètres!$A$1:$I$89,5,0)</f>
        <v>177.70427999999993</v>
      </c>
      <c r="AK59" s="14">
        <f t="shared" si="35"/>
        <v>44.811049826105538</v>
      </c>
      <c r="AL59" s="22">
        <f t="shared" si="4"/>
        <v>387.54753278046701</v>
      </c>
      <c r="AM59" s="62">
        <f t="shared" si="5"/>
        <v>680.88086611380027</v>
      </c>
      <c r="AN59" s="62">
        <f ca="1">AVERAGE(OFFSET($AM$3,0,0,'Données projet'!$E$10+1,1))-AVERAGE(OFFSET($H$3,0,0,'Données projet'!$E$10+1,1))</f>
        <v>199.36309817800088</v>
      </c>
      <c r="AO59" s="62">
        <f t="shared" si="36"/>
        <v>151.91120569748284</v>
      </c>
      <c r="AP59" s="16">
        <f>IF(ISNA(VLOOKUP(A59,'Données projet'!$A$61:$I$81,3,0)),0,VLOOKUP(A59,'Données projet'!$A$61:$I$81,3,0))</f>
        <v>7</v>
      </c>
      <c r="AQ59" s="16">
        <f>IF(ISNA(VLOOKUP(A59,'Données projet'!$A$61:$I$81,4,0)),0,VLOOKUP(A59,'Données projet'!$A$61:$I$81,4,0))</f>
        <v>79.39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-1.7053025658242404E-13</v>
      </c>
      <c r="BE59" s="14">
        <f>BD59*VLOOKUP('Données projet'!$B$11,Paramètres!$A$1:$I$89,3,0)*VLOOKUP('Données projet'!$B$11,Paramètres!$A$1:$I$89,5,0)</f>
        <v>-1.0197709343628959E-13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140.16059323013189</v>
      </c>
      <c r="BJ59" s="62">
        <f t="shared" si="38"/>
        <v>219.0992563594865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6.4524386234727125</v>
      </c>
      <c r="BQ59" s="23">
        <f>EXP(-LN(2)/25)*BQ58+(1-EXP(-LN(2)/25))/(LN(2)/25)*Calculateur!BL59*Calculateur!BN59*VLOOKUP('Données projet'!$B$11,Paramètres!$A$1:$I$89,3,0)*0.475*44/12</f>
        <v>4.4075373496196137</v>
      </c>
      <c r="BR59" s="23">
        <f>EXP(-LN(2)/2)*BR58+(1-EXP(-LN(2)/2))/(LN(2)/2)*BL59*BO59*VLOOKUP('Données projet'!$B$11,Paramètres!$A$1:$I$89,3,0)*0.475*44/12</f>
        <v>1.3206039561756866E-3</v>
      </c>
      <c r="BS59" s="24">
        <f t="shared" si="9"/>
        <v>10.861296577048501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2">
        <f t="shared" si="32"/>
        <v>12.472503937619955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70">
        <f t="shared" si="1"/>
        <v>387.84470769135464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18.58285714285714</v>
      </c>
      <c r="N60" s="14">
        <f>IF('Données projet'!$A$36&gt;35,N59+M60-V59,IF(A60&lt;'Données projet'!$A$36,$K$205^A60,IF(A60='Données projet'!$A$36,'Données projet'!$B$36,N59+M60-V59)))</f>
        <v>457.50285714285718</v>
      </c>
      <c r="O60" s="14">
        <f>N60*VLOOKUP('Données projet'!$B$9,Paramètres!$A$1:$I$89,3,0)*VLOOKUP('Données projet'!$B$9,Paramètres!$A$1:$I$89,5,0)</f>
        <v>255.74409714285716</v>
      </c>
      <c r="P60" s="14">
        <f t="shared" si="33"/>
        <v>61.814321894325772</v>
      </c>
      <c r="Q60" s="22">
        <f t="shared" si="53"/>
        <v>553.08091315642696</v>
      </c>
      <c r="R60" s="62">
        <f t="shared" si="0"/>
        <v>846.41424648976022</v>
      </c>
      <c r="S60" s="62">
        <f ca="1">AVERAGE(OFFSET($R$3,0,0,'Données projet'!$E$9+1,1))-AVERAGE(OFFSET($H$3,0,0,'Données projet'!$E$9+1,1))</f>
        <v>262.38865315945856</v>
      </c>
      <c r="T60" s="62">
        <f t="shared" si="34"/>
        <v>268.78503805457069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12.42163956206114</v>
      </c>
      <c r="AA60" s="23">
        <f>EXP(-LN(2)/25)*AA59+(1-EXP(-LN(2)/25))/(LN(2)/25)*Calculateur!V60*Calculateur!X60*VLOOKUP('Données projet'!$B$9,Paramètres!$A$1:$I$89,3,0)*0.475*44/12</f>
        <v>0.96695072329893705</v>
      </c>
      <c r="AB60" s="23">
        <f>EXP(-LN(2)/2)*AB59+(1-EXP(-LN(2)/2))/(LN(2)/2)*V60*Y60*VLOOKUP('Données projet'!$B$9,Paramètres!$A$1:$I$89,3,0)*0.475*44/12</f>
        <v>4.4732361307594349E-4</v>
      </c>
      <c r="AC60" s="24">
        <f t="shared" si="3"/>
        <v>13.389037608973153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>
        <f>VLOOKUP(A60,'Données projet'!$A$61:$I$81,2,0)</f>
        <v>316.45</v>
      </c>
      <c r="AG60" s="13">
        <f>VLOOKUP(A60,'Données projet'!$A$61:$I$81,9,0)</f>
        <v>16.129999999999995</v>
      </c>
      <c r="AH60" s="13">
        <f t="array" ref="AH60">INDEX(AG:AG,MIN(IF(ISNUMBER(AG60:AG256),ROW(AG60:AG256),"")))</f>
        <v>16.129999999999995</v>
      </c>
      <c r="AI60" s="14">
        <f>IF('Données projet'!$A$62&gt;35,AI59+AH60-AQ59,IF(A60&lt;'Données projet'!$A$62,$AF$205^A60,IF(A60='Données projet'!$A$62,'Données projet'!$B$62,AI59+AH60-AQ59)))</f>
        <v>316.44999999999982</v>
      </c>
      <c r="AJ60" s="14">
        <f>AI60*VLOOKUP('Données projet'!$B$10,Paramètres!$A$1:$I$89,3,0)*VLOOKUP('Données projet'!$B$10,Paramètres!$A$1:$I$89,5,0)</f>
        <v>148.09859999999992</v>
      </c>
      <c r="AK60" s="14">
        <f t="shared" si="35"/>
        <v>38.146165355224731</v>
      </c>
      <c r="AL60" s="22">
        <f t="shared" si="4"/>
        <v>324.37629966034956</v>
      </c>
      <c r="AM60" s="62">
        <f t="shared" si="5"/>
        <v>617.70963299368282</v>
      </c>
      <c r="AN60" s="62">
        <f ca="1">AVERAGE(OFFSET($AM$3,0,0,'Données projet'!$E$10+1,1))-AVERAGE(OFFSET($H$3,0,0,'Données projet'!$E$10+1,1))</f>
        <v>199.36309817800088</v>
      </c>
      <c r="AO60" s="62">
        <f t="shared" si="36"/>
        <v>151.91120569748284</v>
      </c>
      <c r="AP60" s="16">
        <f>IF(ISNA(VLOOKUP(A60,'Données projet'!$A$61:$I$81,3,0)),0,VLOOKUP(A60,'Données projet'!$A$61:$I$81,3,0))</f>
        <v>8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-1.7053025658242404E-13</v>
      </c>
      <c r="BE60" s="14">
        <f>BD60*VLOOKUP('Données projet'!$B$11,Paramètres!$A$1:$I$89,3,0)*VLOOKUP('Données projet'!$B$11,Paramètres!$A$1:$I$89,5,0)</f>
        <v>-1.0197709343628959E-13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140.16059323013189</v>
      </c>
      <c r="BJ60" s="62">
        <f t="shared" si="38"/>
        <v>219.0992563594865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6.3259102376653651</v>
      </c>
      <c r="BQ60" s="23">
        <f>EXP(-LN(2)/25)*BQ59+(1-EXP(-LN(2)/25))/(LN(2)/25)*Calculateur!BL60*Calculateur!BN60*VLOOKUP('Données projet'!$B$11,Paramètres!$A$1:$I$89,3,0)*0.475*44/12</f>
        <v>4.2870130090119494</v>
      </c>
      <c r="BR60" s="23">
        <f>EXP(-LN(2)/2)*BR59+(1-EXP(-LN(2)/2))/(LN(2)/2)*BL60*BO60*VLOOKUP('Données projet'!$B$11,Paramètres!$A$1:$I$89,3,0)*0.475*44/12</f>
        <v>9.3380801267361026E-4</v>
      </c>
      <c r="BS60" s="24">
        <f t="shared" si="9"/>
        <v>10.613857054689989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2">
        <f t="shared" si="32"/>
        <v>12.665653491137919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70">
        <f t="shared" si="1"/>
        <v>389.4580998303984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18.58285714285714</v>
      </c>
      <c r="N61" s="14">
        <f>IF('Données projet'!$A$36&gt;35,N60+M61-V60,IF(A61&lt;'Données projet'!$A$36,$K$205^A61,IF(A61='Données projet'!$A$36,'Données projet'!$B$36,N60+M61-V60)))</f>
        <v>476.08571428571435</v>
      </c>
      <c r="O61" s="14">
        <f>N61*VLOOKUP('Données projet'!$B$9,Paramètres!$A$1:$I$89,3,0)*VLOOKUP('Données projet'!$B$9,Paramètres!$A$1:$I$89,5,0)</f>
        <v>266.13191428571434</v>
      </c>
      <c r="P61" s="14">
        <f t="shared" si="33"/>
        <v>64.027675737818782</v>
      </c>
      <c r="Q61" s="22">
        <f t="shared" si="53"/>
        <v>575.02795262432016</v>
      </c>
      <c r="R61" s="62">
        <f t="shared" si="0"/>
        <v>868.36128595765354</v>
      </c>
      <c r="S61" s="62">
        <f ca="1">AVERAGE(OFFSET($R$3,0,0,'Données projet'!$E$9+1,1))-AVERAGE(OFFSET($H$3,0,0,'Données projet'!$E$9+1,1))</f>
        <v>262.38865315945856</v>
      </c>
      <c r="T61" s="62">
        <f t="shared" si="34"/>
        <v>268.78503805457069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12.178058786701142</v>
      </c>
      <c r="AA61" s="23">
        <f>EXP(-LN(2)/25)*AA60+(1-EXP(-LN(2)/25))/(LN(2)/25)*Calculateur!V61*Calculateur!X61*VLOOKUP('Données projet'!$B$9,Paramètres!$A$1:$I$89,3,0)*0.475*44/12</f>
        <v>0.94050940492059909</v>
      </c>
      <c r="AB61" s="23">
        <f>EXP(-LN(2)/2)*AB60+(1-EXP(-LN(2)/2))/(LN(2)/2)*V61*Y61*VLOOKUP('Données projet'!$B$9,Paramètres!$A$1:$I$89,3,0)*0.475*44/12</f>
        <v>3.1630556019086702E-4</v>
      </c>
      <c r="AC61" s="24">
        <f t="shared" si="3"/>
        <v>13.118884497181931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16.673333333333336</v>
      </c>
      <c r="AI61" s="14">
        <f>IF('Données projet'!$A$62&gt;35,AI60+AH61-AQ60,IF(A61&lt;'Données projet'!$A$62,$AF$205^A61,IF(A61='Données projet'!$A$62,'Données projet'!$B$62,AI60+AH61-AQ60)))</f>
        <v>333.12333333333316</v>
      </c>
      <c r="AJ61" s="14">
        <f>AI61*VLOOKUP('Données projet'!$B$10,Paramètres!$A$1:$I$89,3,0)*VLOOKUP('Données projet'!$B$10,Paramètres!$A$1:$I$89,5,0)</f>
        <v>155.90171999999993</v>
      </c>
      <c r="AK61" s="14">
        <f t="shared" si="35"/>
        <v>39.916745580345044</v>
      </c>
      <c r="AL61" s="22">
        <f t="shared" si="4"/>
        <v>341.05049421910081</v>
      </c>
      <c r="AM61" s="62">
        <f t="shared" si="5"/>
        <v>634.38382755243413</v>
      </c>
      <c r="AN61" s="62">
        <f ca="1">AVERAGE(OFFSET($AM$3,0,0,'Données projet'!$E$10+1,1))-AVERAGE(OFFSET($H$3,0,0,'Données projet'!$E$10+1,1))</f>
        <v>199.36309817800088</v>
      </c>
      <c r="AO61" s="62">
        <f t="shared" si="36"/>
        <v>151.91120569748284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-1.7053025658242404E-13</v>
      </c>
      <c r="BE61" s="14">
        <f>BD61*VLOOKUP('Données projet'!$B$11,Paramètres!$A$1:$I$89,3,0)*VLOOKUP('Données projet'!$B$11,Paramètres!$A$1:$I$89,5,0)</f>
        <v>-1.0197709343628959E-13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140.16059323013189</v>
      </c>
      <c r="BJ61" s="62">
        <f t="shared" si="38"/>
        <v>219.0992563594865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6.2018629963290044</v>
      </c>
      <c r="BQ61" s="23">
        <f>EXP(-LN(2)/25)*BQ60+(1-EXP(-LN(2)/25))/(LN(2)/25)*Calculateur!BL61*Calculateur!BN61*VLOOKUP('Données projet'!$B$11,Paramètres!$A$1:$I$89,3,0)*0.475*44/12</f>
        <v>4.169784412836302</v>
      </c>
      <c r="BR61" s="23">
        <f>EXP(-LN(2)/2)*BR60+(1-EXP(-LN(2)/2))/(LN(2)/2)*BL61*BO61*VLOOKUP('Données projet'!$B$11,Paramètres!$A$1:$I$89,3,0)*0.475*44/12</f>
        <v>6.6030197808784332E-4</v>
      </c>
      <c r="BS61" s="24">
        <f t="shared" si="9"/>
        <v>10.372307711143394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2">
        <f t="shared" si="32"/>
        <v>12.858415781906336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70">
        <f t="shared" si="1"/>
        <v>391.07081748682009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18.58285714285714</v>
      </c>
      <c r="N62" s="14">
        <f>IF('Données projet'!$A$36&gt;35,N61+M62-V61,IF(A62&lt;'Données projet'!$A$36,$K$205^A62,IF(A62='Données projet'!$A$36,'Données projet'!$B$36,N61+M62-V61)))</f>
        <v>494.66857142857151</v>
      </c>
      <c r="O62" s="14">
        <f>N62*VLOOKUP('Données projet'!$B$9,Paramètres!$A$1:$I$89,3,0)*VLOOKUP('Données projet'!$B$9,Paramètres!$A$1:$I$89,5,0)</f>
        <v>276.5197314285715</v>
      </c>
      <c r="P62" s="14">
        <f t="shared" si="33"/>
        <v>66.230993562988985</v>
      </c>
      <c r="Q62" s="22">
        <f t="shared" si="53"/>
        <v>596.9575126936345</v>
      </c>
      <c r="R62" s="62">
        <f t="shared" si="0"/>
        <v>890.29084602696776</v>
      </c>
      <c r="S62" s="62">
        <f ca="1">AVERAGE(OFFSET($R$3,0,0,'Données projet'!$E$9+1,1))-AVERAGE(OFFSET($H$3,0,0,'Données projet'!$E$9+1,1))</f>
        <v>262.38865315945856</v>
      </c>
      <c r="T62" s="62">
        <f t="shared" si="34"/>
        <v>268.78503805457069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11.93925448177635</v>
      </c>
      <c r="AA62" s="23">
        <f>EXP(-LN(2)/25)*AA61+(1-EXP(-LN(2)/25))/(LN(2)/25)*Calculateur!V62*Calculateur!X62*VLOOKUP('Données projet'!$B$9,Paramètres!$A$1:$I$89,3,0)*0.475*44/12</f>
        <v>0.91479112578380528</v>
      </c>
      <c r="AB62" s="23">
        <f>EXP(-LN(2)/2)*AB61+(1-EXP(-LN(2)/2))/(LN(2)/2)*V62*Y62*VLOOKUP('Données projet'!$B$9,Paramètres!$A$1:$I$89,3,0)*0.475*44/12</f>
        <v>2.2366180653797174E-4</v>
      </c>
      <c r="AC62" s="24">
        <f t="shared" si="3"/>
        <v>12.854269269366695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16.673333333333336</v>
      </c>
      <c r="AI62" s="14">
        <f>IF('Données projet'!$A$62&gt;35,AI61+AH62-AQ61,IF(A62&lt;'Données projet'!$A$62,$AF$205^A62,IF(A62='Données projet'!$A$62,'Données projet'!$B$62,AI61+AH62-AQ61)))</f>
        <v>349.79666666666651</v>
      </c>
      <c r="AJ62" s="14">
        <f>AI62*VLOOKUP('Données projet'!$B$10,Paramètres!$A$1:$I$89,3,0)*VLOOKUP('Données projet'!$B$10,Paramètres!$A$1:$I$89,5,0)</f>
        <v>163.70483999999993</v>
      </c>
      <c r="AK62" s="14">
        <f t="shared" si="35"/>
        <v>41.677035862529486</v>
      </c>
      <c r="AL62" s="22">
        <f t="shared" si="4"/>
        <v>357.70676712723872</v>
      </c>
      <c r="AM62" s="62">
        <f t="shared" si="5"/>
        <v>651.04010046057203</v>
      </c>
      <c r="AN62" s="62">
        <f ca="1">AVERAGE(OFFSET($AM$3,0,0,'Données projet'!$E$10+1,1))-AVERAGE(OFFSET($H$3,0,0,'Données projet'!$E$10+1,1))</f>
        <v>199.36309817800088</v>
      </c>
      <c r="AO62" s="62">
        <f t="shared" si="36"/>
        <v>151.91120569748284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-1.7053025658242404E-13</v>
      </c>
      <c r="BE62" s="14">
        <f>BD62*VLOOKUP('Données projet'!$B$11,Paramètres!$A$1:$I$89,3,0)*VLOOKUP('Données projet'!$B$11,Paramètres!$A$1:$I$89,5,0)</f>
        <v>-1.0197709343628959E-13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140.16059323013189</v>
      </c>
      <c r="BJ62" s="62">
        <f t="shared" si="38"/>
        <v>219.0992563594865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6.0802482457339035</v>
      </c>
      <c r="BQ62" s="23">
        <f>EXP(-LN(2)/25)*BQ61+(1-EXP(-LN(2)/25))/(LN(2)/25)*Calculateur!BL62*Calculateur!BN62*VLOOKUP('Données projet'!$B$11,Paramètres!$A$1:$I$89,3,0)*0.475*44/12</f>
        <v>4.0557614387878616</v>
      </c>
      <c r="BR62" s="23">
        <f>EXP(-LN(2)/2)*BR61+(1-EXP(-LN(2)/2))/(LN(2)/2)*BL62*BO62*VLOOKUP('Données projet'!$B$11,Paramètres!$A$1:$I$89,3,0)*0.475*44/12</f>
        <v>4.6690400633680513E-4</v>
      </c>
      <c r="BS62" s="24">
        <f t="shared" si="9"/>
        <v>10.136476588528103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2">
        <f t="shared" si="32"/>
        <v>13.050798131206863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70">
        <f t="shared" si="1"/>
        <v>392.6828734118518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18.58285714285714</v>
      </c>
      <c r="N63" s="14">
        <f>IF('Données projet'!$A$36&gt;35,N62+M63-V62,IF(A63&lt;'Données projet'!$A$36,$K$205^A63,IF(A63='Données projet'!$A$36,'Données projet'!$B$36,N62+M63-V62)))</f>
        <v>513.25142857142862</v>
      </c>
      <c r="O63" s="14">
        <f>N63*VLOOKUP('Données projet'!$B$9,Paramètres!$A$1:$I$89,3,0)*VLOOKUP('Données projet'!$B$9,Paramètres!$A$1:$I$89,5,0)</f>
        <v>286.90754857142861</v>
      </c>
      <c r="P63" s="14">
        <f t="shared" si="33"/>
        <v>68.424695552593661</v>
      </c>
      <c r="Q63" s="22">
        <f t="shared" si="53"/>
        <v>618.87032518267222</v>
      </c>
      <c r="R63" s="62">
        <f t="shared" si="0"/>
        <v>912.20365851600559</v>
      </c>
      <c r="S63" s="62">
        <f ca="1">AVERAGE(OFFSET($R$3,0,0,'Données projet'!$E$9+1,1))-AVERAGE(OFFSET($H$3,0,0,'Données projet'!$E$9+1,1))</f>
        <v>262.38865315945856</v>
      </c>
      <c r="T63" s="62">
        <f t="shared" si="34"/>
        <v>268.78503805457069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11.70513298361489</v>
      </c>
      <c r="AA63" s="23">
        <f>EXP(-LN(2)/25)*AA62+(1-EXP(-LN(2)/25))/(LN(2)/25)*Calculateur!V63*Calculateur!X63*VLOOKUP('Données projet'!$B$9,Paramètres!$A$1:$I$89,3,0)*0.475*44/12</f>
        <v>0.88977611434247261</v>
      </c>
      <c r="AB63" s="23">
        <f>EXP(-LN(2)/2)*AB62+(1-EXP(-LN(2)/2))/(LN(2)/2)*V63*Y63*VLOOKUP('Données projet'!$B$9,Paramètres!$A$1:$I$89,3,0)*0.475*44/12</f>
        <v>1.5815278009543351E-4</v>
      </c>
      <c r="AC63" s="24">
        <f t="shared" si="3"/>
        <v>12.595067250737458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16.673333333333336</v>
      </c>
      <c r="AI63" s="14">
        <f>IF('Données projet'!$A$62&gt;35,AI62+AH63-AQ62,IF(A63&lt;'Données projet'!$A$62,$AF$205^A63,IF(A63='Données projet'!$A$62,'Données projet'!$B$62,AI62+AH63-AQ62)))</f>
        <v>366.46999999999986</v>
      </c>
      <c r="AJ63" s="14">
        <f>AI63*VLOOKUP('Données projet'!$B$10,Paramètres!$A$1:$I$89,3,0)*VLOOKUP('Données projet'!$B$10,Paramètres!$A$1:$I$89,5,0)</f>
        <v>171.50795999999994</v>
      </c>
      <c r="AK63" s="14">
        <f t="shared" si="35"/>
        <v>43.427582678770712</v>
      </c>
      <c r="AL63" s="22">
        <f t="shared" si="4"/>
        <v>374.34607016552553</v>
      </c>
      <c r="AM63" s="62">
        <f t="shared" si="5"/>
        <v>667.67940349885885</v>
      </c>
      <c r="AN63" s="62">
        <f ca="1">AVERAGE(OFFSET($AM$3,0,0,'Données projet'!$E$10+1,1))-AVERAGE(OFFSET($H$3,0,0,'Données projet'!$E$10+1,1))</f>
        <v>199.36309817800088</v>
      </c>
      <c r="AO63" s="62">
        <f t="shared" si="36"/>
        <v>151.91120569748284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-1.7053025658242404E-13</v>
      </c>
      <c r="BE63" s="14">
        <f>BD63*VLOOKUP('Données projet'!$B$11,Paramètres!$A$1:$I$89,3,0)*VLOOKUP('Données projet'!$B$11,Paramètres!$A$1:$I$89,5,0)</f>
        <v>-1.0197709343628959E-13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140.16059323013189</v>
      </c>
      <c r="BJ63" s="62">
        <f t="shared" si="38"/>
        <v>219.0992563594865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5.9610182862202992</v>
      </c>
      <c r="BQ63" s="23">
        <f>EXP(-LN(2)/25)*BQ62+(1-EXP(-LN(2)/25))/(LN(2)/25)*Calculateur!BL63*Calculateur!BN63*VLOOKUP('Données projet'!$B$11,Paramètres!$A$1:$I$89,3,0)*0.475*44/12</f>
        <v>3.9448564289609829</v>
      </c>
      <c r="BR63" s="23">
        <f>EXP(-LN(2)/2)*BR62+(1-EXP(-LN(2)/2))/(LN(2)/2)*BL63*BO63*VLOOKUP('Données projet'!$B$11,Paramètres!$A$1:$I$89,3,0)*0.475*44/12</f>
        <v>3.3015098904392166E-4</v>
      </c>
      <c r="BS63" s="24">
        <f t="shared" si="9"/>
        <v>9.9062048661703255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2">
        <f t="shared" si="32"/>
        <v>13.24280760228976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70">
        <f t="shared" si="1"/>
        <v>394.2942799073212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18.58285714285714</v>
      </c>
      <c r="N64" s="14">
        <f>IF('Données projet'!$A$36&gt;35,N63+M64-V63,IF(A64&lt;'Données projet'!$A$36,$K$205^A64,IF(A64='Données projet'!$A$36,'Données projet'!$B$36,N63+M64-V63)))</f>
        <v>531.83428571428578</v>
      </c>
      <c r="O64" s="14">
        <f>N64*VLOOKUP('Données projet'!$B$9,Paramètres!$A$1:$I$89,3,0)*VLOOKUP('Données projet'!$B$9,Paramètres!$A$1:$I$89,5,0)</f>
        <v>297.29536571428577</v>
      </c>
      <c r="P64" s="14">
        <f t="shared" si="33"/>
        <v>70.609169738501635</v>
      </c>
      <c r="Q64" s="22">
        <f t="shared" si="53"/>
        <v>640.76706591360471</v>
      </c>
      <c r="R64" s="62">
        <f t="shared" si="0"/>
        <v>934.10039924693797</v>
      </c>
      <c r="S64" s="62">
        <f ca="1">AVERAGE(OFFSET($R$3,0,0,'Données projet'!$E$9+1,1))-AVERAGE(OFFSET($H$3,0,0,'Données projet'!$E$9+1,1))</f>
        <v>262.38865315945856</v>
      </c>
      <c r="T64" s="62">
        <f t="shared" si="34"/>
        <v>268.78503805457069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11.475602465232361</v>
      </c>
      <c r="AA64" s="23">
        <f>EXP(-LN(2)/25)*AA63+(1-EXP(-LN(2)/25))/(LN(2)/25)*Calculateur!V64*Calculateur!X64*VLOOKUP('Données projet'!$B$9,Paramètres!$A$1:$I$89,3,0)*0.475*44/12</f>
        <v>0.86544513970448544</v>
      </c>
      <c r="AB64" s="23">
        <f>EXP(-LN(2)/2)*AB63+(1-EXP(-LN(2)/2))/(LN(2)/2)*V64*Y64*VLOOKUP('Données projet'!$B$9,Paramètres!$A$1:$I$89,3,0)*0.475*44/12</f>
        <v>1.1183090326898587E-4</v>
      </c>
      <c r="AC64" s="24">
        <f t="shared" si="3"/>
        <v>12.341159435840115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16.673333333333336</v>
      </c>
      <c r="AI64" s="14">
        <f>IF('Données projet'!$A$62&gt;35,AI63+AH64-AQ63,IF(A64&lt;'Données projet'!$A$62,$AF$205^A64,IF(A64='Données projet'!$A$62,'Données projet'!$B$62,AI63+AH64-AQ63)))</f>
        <v>383.1433333333332</v>
      </c>
      <c r="AJ64" s="14">
        <f>AI64*VLOOKUP('Données projet'!$B$10,Paramètres!$A$1:$I$89,3,0)*VLOOKUP('Données projet'!$B$10,Paramètres!$A$1:$I$89,5,0)</f>
        <v>179.31107999999995</v>
      </c>
      <c r="AK64" s="14">
        <f t="shared" si="35"/>
        <v>45.16887996897394</v>
      </c>
      <c r="AL64" s="22">
        <f t="shared" si="4"/>
        <v>390.9692636126295</v>
      </c>
      <c r="AM64" s="62">
        <f t="shared" si="5"/>
        <v>684.30259694596282</v>
      </c>
      <c r="AN64" s="62">
        <f ca="1">AVERAGE(OFFSET($AM$3,0,0,'Données projet'!$E$10+1,1))-AVERAGE(OFFSET($H$3,0,0,'Données projet'!$E$10+1,1))</f>
        <v>199.36309817800088</v>
      </c>
      <c r="AO64" s="62">
        <f t="shared" si="36"/>
        <v>151.91120569748284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-1.7053025658242404E-13</v>
      </c>
      <c r="BE64" s="14">
        <f>BD64*VLOOKUP('Données projet'!$B$11,Paramètres!$A$1:$I$89,3,0)*VLOOKUP('Données projet'!$B$11,Paramètres!$A$1:$I$89,5,0)</f>
        <v>-1.0197709343628959E-13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140.16059323013189</v>
      </c>
      <c r="BJ64" s="62">
        <f t="shared" si="38"/>
        <v>219.0992563594865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5.8441263534896617</v>
      </c>
      <c r="BQ64" s="23">
        <f>EXP(-LN(2)/25)*BQ63+(1-EXP(-LN(2)/25))/(LN(2)/25)*Calculateur!BL64*Calculateur!BN64*VLOOKUP('Données projet'!$B$11,Paramètres!$A$1:$I$89,3,0)*0.475*44/12</f>
        <v>3.8369841224600614</v>
      </c>
      <c r="BR64" s="23">
        <f>EXP(-LN(2)/2)*BR63+(1-EXP(-LN(2)/2))/(LN(2)/2)*BL64*BO64*VLOOKUP('Données projet'!$B$11,Paramètres!$A$1:$I$89,3,0)*0.475*44/12</f>
        <v>2.3345200316840257E-4</v>
      </c>
      <c r="BS64" s="24">
        <f t="shared" si="9"/>
        <v>9.6813439279528914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2">
        <f t="shared" si="32"/>
        <v>13.434451013546127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70">
        <f t="shared" si="1"/>
        <v>395.90504884859268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18.58285714285714</v>
      </c>
      <c r="N65" s="14">
        <f>IF('Données projet'!$A$36&gt;35,N64+M65-V64,IF(A65&lt;'Données projet'!$A$36,$K$205^A65,IF(A65='Données projet'!$A$36,'Données projet'!$B$36,N64+M65-V64)))</f>
        <v>550.41714285714295</v>
      </c>
      <c r="O65" s="14">
        <f>N65*VLOOKUP('Données projet'!$B$9,Paramètres!$A$1:$I$89,3,0)*VLOOKUP('Données projet'!$B$9,Paramètres!$A$1:$I$89,5,0)</f>
        <v>307.68318285714292</v>
      </c>
      <c r="P65" s="14">
        <f t="shared" si="33"/>
        <v>72.784775498421382</v>
      </c>
      <c r="Q65" s="22">
        <f t="shared" si="53"/>
        <v>662.64836080260773</v>
      </c>
      <c r="R65" s="62">
        <f t="shared" si="0"/>
        <v>955.9816941359411</v>
      </c>
      <c r="S65" s="62">
        <f ca="1">AVERAGE(OFFSET($R$3,0,0,'Données projet'!$E$9+1,1))-AVERAGE(OFFSET($H$3,0,0,'Données projet'!$E$9+1,1))</f>
        <v>262.38865315945856</v>
      </c>
      <c r="T65" s="62">
        <f t="shared" si="34"/>
        <v>268.78503805457069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11.250572900315523</v>
      </c>
      <c r="AA65" s="23">
        <f>EXP(-LN(2)/25)*AA64+(1-EXP(-LN(2)/25))/(LN(2)/25)*Calculateur!V65*Calculateur!X65*VLOOKUP('Données projet'!$B$9,Paramètres!$A$1:$I$89,3,0)*0.475*44/12</f>
        <v>0.84177949684748443</v>
      </c>
      <c r="AB65" s="23">
        <f>EXP(-LN(2)/2)*AB64+(1-EXP(-LN(2)/2))/(LN(2)/2)*V65*Y65*VLOOKUP('Données projet'!$B$9,Paramètres!$A$1:$I$89,3,0)*0.475*44/12</f>
        <v>7.9076390047716754E-5</v>
      </c>
      <c r="AC65" s="24">
        <f t="shared" si="3"/>
        <v>12.092431473553056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16.673333333333336</v>
      </c>
      <c r="AI65" s="14">
        <f>IF('Données projet'!$A$62&gt;35,AI64+AH65-AQ64,IF(A65&lt;'Données projet'!$A$62,$AF$205^A65,IF(A65='Données projet'!$A$62,'Données projet'!$B$62,AI64+AH65-AQ64)))</f>
        <v>399.81666666666655</v>
      </c>
      <c r="AJ65" s="14">
        <f>AI65*VLOOKUP('Données projet'!$B$10,Paramètres!$A$1:$I$89,3,0)*VLOOKUP('Données projet'!$B$10,Paramètres!$A$1:$I$89,5,0)</f>
        <v>187.11419999999993</v>
      </c>
      <c r="AK65" s="14">
        <f t="shared" si="35"/>
        <v>46.901376252207641</v>
      </c>
      <c r="AL65" s="22">
        <f t="shared" si="4"/>
        <v>407.57712863926145</v>
      </c>
      <c r="AM65" s="62">
        <f t="shared" si="5"/>
        <v>700.9104619725947</v>
      </c>
      <c r="AN65" s="62">
        <f ca="1">AVERAGE(OFFSET($AM$3,0,0,'Données projet'!$E$10+1,1))-AVERAGE(OFFSET($H$3,0,0,'Données projet'!$E$10+1,1))</f>
        <v>199.36309817800088</v>
      </c>
      <c r="AO65" s="62">
        <f t="shared" si="36"/>
        <v>151.91120569748284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-1.7053025658242404E-13</v>
      </c>
      <c r="BE65" s="14">
        <f>BD65*VLOOKUP('Données projet'!$B$11,Paramètres!$A$1:$I$89,3,0)*VLOOKUP('Données projet'!$B$11,Paramètres!$A$1:$I$89,5,0)</f>
        <v>-1.0197709343628959E-13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140.16059323013189</v>
      </c>
      <c r="BJ65" s="62">
        <f t="shared" si="38"/>
        <v>219.0992563594865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5.7295266002628331</v>
      </c>
      <c r="BQ65" s="23">
        <f>EXP(-LN(2)/25)*BQ64+(1-EXP(-LN(2)/25))/(LN(2)/25)*Calculateur!BL65*Calculateur!BN65*VLOOKUP('Données projet'!$B$11,Paramètres!$A$1:$I$89,3,0)*0.475*44/12</f>
        <v>3.7320615898531657</v>
      </c>
      <c r="BR65" s="23">
        <f>EXP(-LN(2)/2)*BR64+(1-EXP(-LN(2)/2))/(LN(2)/2)*BL65*BO65*VLOOKUP('Données projet'!$B$11,Paramètres!$A$1:$I$89,3,0)*0.475*44/12</f>
        <v>1.6507549452196083E-4</v>
      </c>
      <c r="BS65" s="24">
        <f t="shared" si="9"/>
        <v>9.4617532656105201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2">
        <f t="shared" si="32"/>
        <v>13.625734950806207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70">
        <f t="shared" si="1"/>
        <v>397.51519170598732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569</v>
      </c>
      <c r="L66" s="13">
        <f>VLOOKUP(A66,'Données projet'!$A$35:$I$55,9,0)</f>
        <v>18.58285714285714</v>
      </c>
      <c r="M66" s="13">
        <f t="array" ref="M66">INDEX(L:L,MIN(IF(ISNUMBER(L66:L262),ROW(L66:L262),"")))</f>
        <v>18.58285714285714</v>
      </c>
      <c r="N66" s="14">
        <f>IF('Données projet'!$A$36&gt;35,N65+M66-V65,IF(A66&lt;'Données projet'!$A$36,$K$205^A66,IF(A66='Données projet'!$A$36,'Données projet'!$B$36,N65+M66-V65)))</f>
        <v>569.00000000000011</v>
      </c>
      <c r="O66" s="14">
        <f>N66*VLOOKUP('Données projet'!$B$9,Paramètres!$A$1:$I$89,3,0)*VLOOKUP('Données projet'!$B$9,Paramètres!$A$1:$I$89,5,0)</f>
        <v>318.07100000000008</v>
      </c>
      <c r="P66" s="14">
        <f t="shared" si="33"/>
        <v>74.951846567144685</v>
      </c>
      <c r="Q66" s="22">
        <f t="shared" si="53"/>
        <v>684.51479110444382</v>
      </c>
      <c r="R66" s="62">
        <f t="shared" si="0"/>
        <v>977.84812443777719</v>
      </c>
      <c r="S66" s="62">
        <f ca="1">AVERAGE(OFFSET($R$3,0,0,'Données projet'!$E$9+1,1))-AVERAGE(OFFSET($H$3,0,0,'Données projet'!$E$9+1,1))</f>
        <v>262.38865315945856</v>
      </c>
      <c r="T66" s="62">
        <f t="shared" si="34"/>
        <v>268.78503805457069</v>
      </c>
      <c r="U66" s="16">
        <f>IF(ISNA(VLOOKUP(A66,'Données projet'!$A$35:$I$55,3,0)),0,VLOOKUP(A66,'Données projet'!$A$35:$I$55,3,0))</f>
        <v>8</v>
      </c>
      <c r="V66" s="16">
        <f>IF(ISNA(VLOOKUP(A66,'Données projet'!$A$35:$I$55,4,0)),0,VLOOKUP(A66,'Données projet'!$A$35:$I$55,4,0))</f>
        <v>99.49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11.029956027912222</v>
      </c>
      <c r="AA66" s="23">
        <f>EXP(-LN(2)/25)*AA65+(1-EXP(-LN(2)/25))/(LN(2)/25)*Calculateur!V66*Calculateur!X66*VLOOKUP('Données projet'!$B$9,Paramètres!$A$1:$I$89,3,0)*0.475*44/12</f>
        <v>0.81876099223893017</v>
      </c>
      <c r="AB66" s="23">
        <f>EXP(-LN(2)/2)*AB65+(1-EXP(-LN(2)/2))/(LN(2)/2)*V66*Y66*VLOOKUP('Données projet'!$B$9,Paramètres!$A$1:$I$89,3,0)*0.475*44/12</f>
        <v>5.5915451634492936E-5</v>
      </c>
      <c r="AC66" s="24">
        <f t="shared" si="3"/>
        <v>11.848772935602787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416.49</v>
      </c>
      <c r="AG66" s="13">
        <f>VLOOKUP(A66,'Données projet'!$A$61:$I$81,9,0)</f>
        <v>16.673333333333336</v>
      </c>
      <c r="AH66" s="13">
        <f t="array" ref="AH66">INDEX(AG:AG,MIN(IF(ISNUMBER(AG66:AG262),ROW(AG66:AG262),"")))</f>
        <v>16.673333333333336</v>
      </c>
      <c r="AI66" s="14">
        <f>IF('Données projet'!$A$62&gt;35,AI65+AH66-AQ65,IF(A66&lt;'Données projet'!$A$62,$AF$205^A66,IF(A66='Données projet'!$A$62,'Données projet'!$B$62,AI65+AH66-AQ65)))</f>
        <v>416.4899999999999</v>
      </c>
      <c r="AJ66" s="14">
        <f>AI66*VLOOKUP('Données projet'!$B$10,Paramètres!$A$1:$I$89,3,0)*VLOOKUP('Données projet'!$B$10,Paramètres!$A$1:$I$89,5,0)</f>
        <v>194.91731999999996</v>
      </c>
      <c r="AK66" s="14">
        <f t="shared" si="35"/>
        <v>48.625480522444235</v>
      </c>
      <c r="AL66" s="22">
        <f t="shared" si="4"/>
        <v>424.17037757659028</v>
      </c>
      <c r="AM66" s="62">
        <f t="shared" si="5"/>
        <v>717.5037109099236</v>
      </c>
      <c r="AN66" s="62">
        <f ca="1">AVERAGE(OFFSET($AM$3,0,0,'Données projet'!$E$10+1,1))-AVERAGE(OFFSET($H$3,0,0,'Données projet'!$E$10+1,1))</f>
        <v>199.36309817800088</v>
      </c>
      <c r="AO66" s="62">
        <f t="shared" si="36"/>
        <v>151.91120569748284</v>
      </c>
      <c r="AP66" s="16">
        <f>IF(ISNA(VLOOKUP(A66,'Données projet'!$A$61:$I$81,3,0)),0,VLOOKUP(A66,'Données projet'!$A$61:$I$81,3,0))</f>
        <v>9</v>
      </c>
      <c r="AQ66" s="16">
        <f>IF(ISNA(VLOOKUP(A66,'Données projet'!$A$61:$I$81,4,0)),0,VLOOKUP(A66,'Données projet'!$A$61:$I$81,4,0))</f>
        <v>79.099999999999994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-1.7053025658242404E-13</v>
      </c>
      <c r="BE66" s="14">
        <f>BD66*VLOOKUP('Données projet'!$B$11,Paramètres!$A$1:$I$89,3,0)*VLOOKUP('Données projet'!$B$11,Paramètres!$A$1:$I$89,5,0)</f>
        <v>-1.0197709343628959E-13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140.16059323013189</v>
      </c>
      <c r="BJ66" s="62">
        <f t="shared" si="38"/>
        <v>219.0992563594865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5.6171740782978352</v>
      </c>
      <c r="BQ66" s="23">
        <f>EXP(-LN(2)/25)*BQ65+(1-EXP(-LN(2)/25))/(LN(2)/25)*Calculateur!BL66*Calculateur!BN66*VLOOKUP('Données projet'!$B$11,Paramètres!$A$1:$I$89,3,0)*0.475*44/12</f>
        <v>3.6300081694180415</v>
      </c>
      <c r="BR66" s="23">
        <f>EXP(-LN(2)/2)*BR65+(1-EXP(-LN(2)/2))/(LN(2)/2)*BL66*BO66*VLOOKUP('Données projet'!$B$11,Paramètres!$A$1:$I$89,3,0)*0.475*44/12</f>
        <v>1.1672600158420128E-4</v>
      </c>
      <c r="BS66" s="24">
        <f t="shared" si="9"/>
        <v>9.2472989737174611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2">
        <f t="shared" si="32"/>
        <v>13.816665778834693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70">
        <f t="shared" si="1"/>
        <v>399.12471956480363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16.745000000000005</v>
      </c>
      <c r="N67" s="14">
        <f>IF('Données projet'!$A$36&gt;35,N66+M67-V66,IF(A67&lt;'Données projet'!$A$36,$K$205^A67,IF(A67='Données projet'!$A$36,'Données projet'!$B$36,N66+M67-V66)))</f>
        <v>486.25500000000011</v>
      </c>
      <c r="O67" s="14">
        <f>N67*VLOOKUP('Données projet'!$B$9,Paramètres!$A$1:$I$89,3,0)*VLOOKUP('Données projet'!$B$9,Paramètres!$A$1:$I$89,5,0)</f>
        <v>271.81654500000008</v>
      </c>
      <c r="P67" s="14">
        <f t="shared" si="33"/>
        <v>65.234635404592368</v>
      </c>
      <c r="Q67" s="22">
        <f t="shared" ref="Q67:Q98" si="54">(O67+P67)*0.475*44/12</f>
        <v>587.03080587133184</v>
      </c>
      <c r="R67" s="62">
        <f t="shared" ref="R67:R130" si="55">Q67+(I67+J67)*44/12</f>
        <v>880.36413920466521</v>
      </c>
      <c r="S67" s="62">
        <f ca="1">AVERAGE(OFFSET($R$3,0,0,'Données projet'!$E$9+1,1))-AVERAGE(OFFSET($H$3,0,0,'Données projet'!$E$9+1,1))</f>
        <v>262.38865315945856</v>
      </c>
      <c r="T67" s="62">
        <f t="shared" si="34"/>
        <v>268.78503805457069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10.813665317813744</v>
      </c>
      <c r="AA67" s="23">
        <f>EXP(-LN(2)/25)*AA66+(1-EXP(-LN(2)/25))/(LN(2)/25)*Calculateur!V67*Calculateur!X67*VLOOKUP('Données projet'!$B$9,Paramètres!$A$1:$I$89,3,0)*0.475*44/12</f>
        <v>0.79637192984938732</v>
      </c>
      <c r="AB67" s="23">
        <f>EXP(-LN(2)/2)*AB66+(1-EXP(-LN(2)/2))/(LN(2)/2)*V67*Y67*VLOOKUP('Données projet'!$B$9,Paramètres!$A$1:$I$89,3,0)*0.475*44/12</f>
        <v>3.9538195023858377E-5</v>
      </c>
      <c r="AC67" s="24">
        <f t="shared" si="3"/>
        <v>11.610076785858155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>
        <f>VLOOKUP(A67,'Données projet'!$A$61:$I$81,2,0)</f>
        <v>353.22</v>
      </c>
      <c r="AG67" s="13">
        <f>VLOOKUP(A67,'Données projet'!$A$61:$I$81,9,0)</f>
        <v>15.830000000000041</v>
      </c>
      <c r="AH67" s="13">
        <f t="array" ref="AH67">INDEX(AG:AG,MIN(IF(ISNUMBER(AG67:AG263),ROW(AG67:AG263),"")))</f>
        <v>15.830000000000041</v>
      </c>
      <c r="AI67" s="14">
        <f>IF('Données projet'!$A$62&gt;35,AI66+AH67-AQ66,IF(A67&lt;'Données projet'!$A$62,$AF$205^A67,IF(A67='Données projet'!$A$62,'Données projet'!$B$62,AI66+AH67-AQ66)))</f>
        <v>353.21999999999991</v>
      </c>
      <c r="AJ67" s="14">
        <f>AI67*VLOOKUP('Données projet'!$B$10,Paramètres!$A$1:$I$89,3,0)*VLOOKUP('Données projet'!$B$10,Paramètres!$A$1:$I$89,5,0)</f>
        <v>165.30695999999998</v>
      </c>
      <c r="AK67" s="14">
        <f t="shared" si="35"/>
        <v>42.037232382813684</v>
      </c>
      <c r="AL67" s="22">
        <f t="shared" si="4"/>
        <v>361.12446840006714</v>
      </c>
      <c r="AM67" s="62">
        <f t="shared" si="5"/>
        <v>654.4578017334004</v>
      </c>
      <c r="AN67" s="62">
        <f ca="1">AVERAGE(OFFSET($AM$3,0,0,'Données projet'!$E$10+1,1))-AVERAGE(OFFSET($H$3,0,0,'Données projet'!$E$10+1,1))</f>
        <v>199.36309817800088</v>
      </c>
      <c r="AO67" s="62">
        <f t="shared" si="36"/>
        <v>151.91120569748284</v>
      </c>
      <c r="AP67" s="16">
        <f>IF(ISNA(VLOOKUP(A67,'Données projet'!$A$61:$I$81,3,0)),0,VLOOKUP(A67,'Données projet'!$A$61:$I$81,3,0))</f>
        <v>10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-1.7053025658242404E-13</v>
      </c>
      <c r="BE67" s="14">
        <f>BD67*VLOOKUP('Données projet'!$B$11,Paramètres!$A$1:$I$89,3,0)*VLOOKUP('Données projet'!$B$11,Paramètres!$A$1:$I$89,5,0)</f>
        <v>-1.0197709343628959E-13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140.16059323013189</v>
      </c>
      <c r="BJ67" s="62">
        <f t="shared" si="38"/>
        <v>219.0992563594865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5.5070247207602998</v>
      </c>
      <c r="BQ67" s="23">
        <f>EXP(-LN(2)/25)*BQ66+(1-EXP(-LN(2)/25))/(LN(2)/25)*Calculateur!BL67*Calculateur!BN67*VLOOKUP('Données projet'!$B$11,Paramètres!$A$1:$I$89,3,0)*0.475*44/12</f>
        <v>3.5307454051314719</v>
      </c>
      <c r="BR67" s="23">
        <f>EXP(-LN(2)/2)*BR66+(1-EXP(-LN(2)/2))/(LN(2)/2)*BL67*BO67*VLOOKUP('Données projet'!$B$11,Paramètres!$A$1:$I$89,3,0)*0.475*44/12</f>
        <v>8.2537747260980415E-5</v>
      </c>
      <c r="BS67" s="24">
        <f t="shared" si="9"/>
        <v>9.0378526636390326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2">
        <f t="shared" si="32"/>
        <v>14.007249652087188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70">
        <f t="shared" ref="H68:H131" si="56">(B68+E68+F68)*44/12+(C68+D68)*0.475*44/12</f>
        <v>400.73364314405171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16.745000000000005</v>
      </c>
      <c r="N68" s="14">
        <f>IF('Données projet'!$A$36&gt;35,N67+M68-V67,IF(A68&lt;'Données projet'!$A$36,$K$205^A68,IF(A68='Données projet'!$A$36,'Données projet'!$B$36,N67+M68-V67)))</f>
        <v>503.00000000000011</v>
      </c>
      <c r="O68" s="14">
        <f>N68*VLOOKUP('Données projet'!$B$9,Paramètres!$A$1:$I$89,3,0)*VLOOKUP('Données projet'!$B$9,Paramètres!$A$1:$I$89,5,0)</f>
        <v>281.17700000000008</v>
      </c>
      <c r="P68" s="14">
        <f t="shared" si="33"/>
        <v>67.215682058608678</v>
      </c>
      <c r="Q68" s="22">
        <f t="shared" si="54"/>
        <v>606.78392125207699</v>
      </c>
      <c r="R68" s="62">
        <f t="shared" si="55"/>
        <v>900.11725458541036</v>
      </c>
      <c r="S68" s="62">
        <f ca="1">AVERAGE(OFFSET($R$3,0,0,'Données projet'!$E$9+1,1))-AVERAGE(OFFSET($H$3,0,0,'Données projet'!$E$9+1,1))</f>
        <v>262.38865315945856</v>
      </c>
      <c r="T68" s="62">
        <f t="shared" si="34"/>
        <v>268.78503805457069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10.601615936615991</v>
      </c>
      <c r="AA68" s="23">
        <f>EXP(-LN(2)/25)*AA67+(1-EXP(-LN(2)/25))/(LN(2)/25)*Calculateur!V68*Calculateur!X68*VLOOKUP('Données projet'!$B$9,Paramètres!$A$1:$I$89,3,0)*0.475*44/12</f>
        <v>0.77459509754827616</v>
      </c>
      <c r="AB68" s="23">
        <f>EXP(-LN(2)/2)*AB67+(1-EXP(-LN(2)/2))/(LN(2)/2)*V68*Y68*VLOOKUP('Données projet'!$B$9,Paramètres!$A$1:$I$89,3,0)*0.475*44/12</f>
        <v>2.7957725817246468E-5</v>
      </c>
      <c r="AC68" s="24">
        <f t="shared" ref="AC68:AC131" si="57">SUM(Z68:AB68)</f>
        <v>11.376238991890085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16.081428571428571</v>
      </c>
      <c r="AI68" s="14">
        <f>IF('Données projet'!$A$62&gt;35,AI67+AH68-AQ67,IF(A68&lt;'Données projet'!$A$62,$AF$205^A68,IF(A68='Données projet'!$A$62,'Données projet'!$B$62,AI67+AH68-AQ67)))</f>
        <v>369.30142857142846</v>
      </c>
      <c r="AJ68" s="14">
        <f>AI68*VLOOKUP('Données projet'!$B$10,Paramètres!$A$1:$I$89,3,0)*VLOOKUP('Données projet'!$B$10,Paramètres!$A$1:$I$89,5,0)</f>
        <v>172.83306857142853</v>
      </c>
      <c r="AK68" s="14">
        <f t="shared" si="35"/>
        <v>43.723925064552304</v>
      </c>
      <c r="AL68" s="22">
        <f t="shared" ref="AL68:AL131" si="58">(AJ68+AK68)*0.475*44/12</f>
        <v>377.17009724933331</v>
      </c>
      <c r="AM68" s="62">
        <f t="shared" ref="AM68:AM131" si="59">AL68+(AD68+AE68)*44/12</f>
        <v>670.50343058266662</v>
      </c>
      <c r="AN68" s="62">
        <f ca="1">AVERAGE(OFFSET($AM$3,0,0,'Données projet'!$E$10+1,1))-AVERAGE(OFFSET($H$3,0,0,'Données projet'!$E$10+1,1))</f>
        <v>199.36309817800088</v>
      </c>
      <c r="AO68" s="62">
        <f t="shared" si="36"/>
        <v>151.91120569748284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-1.7053025658242404E-13</v>
      </c>
      <c r="BE68" s="14">
        <f>BD68*VLOOKUP('Données projet'!$B$11,Paramètres!$A$1:$I$89,3,0)*VLOOKUP('Données projet'!$B$11,Paramètres!$A$1:$I$89,5,0)</f>
        <v>-1.0197709343628959E-13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140.16059323013189</v>
      </c>
      <c r="BJ68" s="62">
        <f t="shared" si="38"/>
        <v>219.0992563594865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5.399035324939601</v>
      </c>
      <c r="BQ68" s="23">
        <f>EXP(-LN(2)/25)*BQ67+(1-EXP(-LN(2)/25))/(LN(2)/25)*Calculateur!BL68*Calculateur!BN68*VLOOKUP('Données projet'!$B$11,Paramètres!$A$1:$I$89,3,0)*0.475*44/12</f>
        <v>3.4341969863543205</v>
      </c>
      <c r="BR68" s="23">
        <f>EXP(-LN(2)/2)*BR67+(1-EXP(-LN(2)/2))/(LN(2)/2)*BL68*BO68*VLOOKUP('Données projet'!$B$11,Paramètres!$A$1:$I$89,3,0)*0.475*44/12</f>
        <v>5.8363000792100641E-5</v>
      </c>
      <c r="BS68" s="24">
        <f t="shared" ref="BS68:BS131" si="63">SUM(BP68:BR68)</f>
        <v>8.8332906742947124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2">
        <f t="shared" ref="D69:D132" si="86">IFERROR(EXP(-1.0587+0.8836*LN(C69)+0.284),0)</f>
        <v>14.197492524785963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70">
        <f t="shared" si="56"/>
        <v>402.34197281400208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16.745000000000005</v>
      </c>
      <c r="N69" s="14">
        <f>IF('Données projet'!$A$36&gt;35,N68+M69-V68,IF(A69&lt;'Données projet'!$A$36,$K$205^A69,IF(A69='Données projet'!$A$36,'Données projet'!$B$36,N68+M69-V68)))</f>
        <v>519.74500000000012</v>
      </c>
      <c r="O69" s="14">
        <f>N69*VLOOKUP('Données projet'!$B$9,Paramètres!$A$1:$I$89,3,0)*VLOOKUP('Données projet'!$B$9,Paramètres!$A$1:$I$89,5,0)</f>
        <v>290.53745500000008</v>
      </c>
      <c r="P69" s="14">
        <f t="shared" ref="P69:P132" si="87">EXP(-1.0587+0.8836*LN(O69)+0.284)</f>
        <v>69.189065543116882</v>
      </c>
      <c r="Q69" s="22">
        <f t="shared" si="54"/>
        <v>626.52368994592871</v>
      </c>
      <c r="R69" s="62">
        <f t="shared" si="55"/>
        <v>919.85702327926197</v>
      </c>
      <c r="S69" s="62">
        <f ca="1">AVERAGE(OFFSET($R$3,0,0,'Données projet'!$E$9+1,1))-AVERAGE(OFFSET($H$3,0,0,'Données projet'!$E$9+1,1))</f>
        <v>262.38865315945856</v>
      </c>
      <c r="T69" s="62">
        <f t="shared" ref="T69:T132" si="88">$T$3</f>
        <v>268.78503805457069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10.393724714446174</v>
      </c>
      <c r="AA69" s="23">
        <f>EXP(-LN(2)/25)*AA68+(1-EXP(-LN(2)/25))/(LN(2)/25)*Calculateur!V69*Calculateur!X69*VLOOKUP('Données projet'!$B$9,Paramètres!$A$1:$I$89,3,0)*0.475*44/12</f>
        <v>0.75341375387163267</v>
      </c>
      <c r="AB69" s="23">
        <f>EXP(-LN(2)/2)*AB68+(1-EXP(-LN(2)/2))/(LN(2)/2)*V69*Y69*VLOOKUP('Données projet'!$B$9,Paramètres!$A$1:$I$89,3,0)*0.475*44/12</f>
        <v>1.9769097511929189E-5</v>
      </c>
      <c r="AC69" s="24">
        <f t="shared" si="57"/>
        <v>11.147158237415319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16.081428571428571</v>
      </c>
      <c r="AI69" s="14">
        <f>IF('Données projet'!$A$62&gt;35,AI68+AH69-AQ68,IF(A69&lt;'Données projet'!$A$62,$AF$205^A69,IF(A69='Données projet'!$A$62,'Données projet'!$B$62,AI68+AH69-AQ68)))</f>
        <v>385.38285714285701</v>
      </c>
      <c r="AJ69" s="14">
        <f>AI69*VLOOKUP('Données projet'!$B$10,Paramètres!$A$1:$I$89,3,0)*VLOOKUP('Données projet'!$B$10,Paramètres!$A$1:$I$89,5,0)</f>
        <v>180.35917714285708</v>
      </c>
      <c r="AK69" s="14">
        <f t="shared" ref="AK69:AK132" si="89">EXP(-1.0587+0.8836*LN(AJ69)+0.284)</f>
        <v>45.402087189989615</v>
      </c>
      <c r="AL69" s="22">
        <f t="shared" si="58"/>
        <v>393.2008687130413</v>
      </c>
      <c r="AM69" s="62">
        <f t="shared" si="59"/>
        <v>686.53420204637462</v>
      </c>
      <c r="AN69" s="62">
        <f ca="1">AVERAGE(OFFSET($AM$3,0,0,'Données projet'!$E$10+1,1))-AVERAGE(OFFSET($H$3,0,0,'Données projet'!$E$10+1,1))</f>
        <v>199.36309817800088</v>
      </c>
      <c r="AO69" s="62">
        <f t="shared" ref="AO69:AO132" si="90">$AO$3</f>
        <v>151.91120569748284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-1.7053025658242404E-13</v>
      </c>
      <c r="BE69" s="14">
        <f>BD69*VLOOKUP('Données projet'!$B$11,Paramètres!$A$1:$I$89,3,0)*VLOOKUP('Données projet'!$B$11,Paramètres!$A$1:$I$89,5,0)</f>
        <v>-1.0197709343628959E-13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140.16059323013189</v>
      </c>
      <c r="BJ69" s="62">
        <f t="shared" ref="BJ69:BJ132" si="92">$BJ$3</f>
        <v>219.0992563594865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5.2931635353039184</v>
      </c>
      <c r="BQ69" s="23">
        <f>EXP(-LN(2)/25)*BQ68+(1-EXP(-LN(2)/25))/(LN(2)/25)*Calculateur!BL69*Calculateur!BN69*VLOOKUP('Données projet'!$B$11,Paramètres!$A$1:$I$89,3,0)*0.475*44/12</f>
        <v>3.3402886891658912</v>
      </c>
      <c r="BR69" s="23">
        <f>EXP(-LN(2)/2)*BR68+(1-EXP(-LN(2)/2))/(LN(2)/2)*BL69*BO69*VLOOKUP('Données projet'!$B$11,Paramètres!$A$1:$I$89,3,0)*0.475*44/12</f>
        <v>4.1268873630490208E-5</v>
      </c>
      <c r="BS69" s="24">
        <f t="shared" si="63"/>
        <v>8.6334934933434404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2">
        <f t="shared" si="86"/>
        <v>14.387400160367701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70">
        <f t="shared" si="56"/>
        <v>403.94971861264025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16.745000000000005</v>
      </c>
      <c r="N70" s="14">
        <f>IF('Données projet'!$A$36&gt;35,N69+M70-V69,IF(A70&lt;'Données projet'!$A$36,$K$205^A70,IF(A70='Données projet'!$A$36,'Données projet'!$B$36,N69+M70-V69)))</f>
        <v>536.49000000000012</v>
      </c>
      <c r="O70" s="14">
        <f>N70*VLOOKUP('Données projet'!$B$9,Paramètres!$A$1:$I$89,3,0)*VLOOKUP('Données projet'!$B$9,Paramètres!$A$1:$I$89,5,0)</f>
        <v>299.89791000000008</v>
      </c>
      <c r="P70" s="14">
        <f t="shared" si="87"/>
        <v>71.155061066438293</v>
      </c>
      <c r="Q70" s="22">
        <f t="shared" si="54"/>
        <v>646.25059127404677</v>
      </c>
      <c r="R70" s="62">
        <f t="shared" si="55"/>
        <v>939.58392460738014</v>
      </c>
      <c r="S70" s="62">
        <f ca="1">AVERAGE(OFFSET($R$3,0,0,'Données projet'!$E$9+1,1))-AVERAGE(OFFSET($H$3,0,0,'Données projet'!$E$9+1,1))</f>
        <v>262.38865315945856</v>
      </c>
      <c r="T70" s="62">
        <f t="shared" si="88"/>
        <v>268.78503805457069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10.189910112341982</v>
      </c>
      <c r="AA70" s="23">
        <f>EXP(-LN(2)/25)*AA69+(1-EXP(-LN(2)/25))/(LN(2)/25)*Calculateur!V70*Calculateur!X70*VLOOKUP('Données projet'!$B$9,Paramètres!$A$1:$I$89,3,0)*0.475*44/12</f>
        <v>0.73281161515170556</v>
      </c>
      <c r="AB70" s="23">
        <f>EXP(-LN(2)/2)*AB69+(1-EXP(-LN(2)/2))/(LN(2)/2)*V70*Y70*VLOOKUP('Données projet'!$B$9,Paramètres!$A$1:$I$89,3,0)*0.475*44/12</f>
        <v>1.3978862908623234E-5</v>
      </c>
      <c r="AC70" s="24">
        <f t="shared" si="57"/>
        <v>10.922735706356596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16.081428571428571</v>
      </c>
      <c r="AI70" s="14">
        <f>IF('Données projet'!$A$62&gt;35,AI69+AH70-AQ69,IF(A70&lt;'Données projet'!$A$62,$AF$205^A70,IF(A70='Données projet'!$A$62,'Données projet'!$B$62,AI69+AH70-AQ69)))</f>
        <v>401.46428571428555</v>
      </c>
      <c r="AJ70" s="14">
        <f>AI70*VLOOKUP('Données projet'!$B$10,Paramètres!$A$1:$I$89,3,0)*VLOOKUP('Données projet'!$B$10,Paramètres!$A$1:$I$89,5,0)</f>
        <v>187.88528571428563</v>
      </c>
      <c r="AK70" s="14">
        <f t="shared" si="89"/>
        <v>47.072115431776766</v>
      </c>
      <c r="AL70" s="22">
        <f t="shared" si="58"/>
        <v>409.21747366272535</v>
      </c>
      <c r="AM70" s="62">
        <f t="shared" si="59"/>
        <v>702.55080699605867</v>
      </c>
      <c r="AN70" s="62">
        <f ca="1">AVERAGE(OFFSET($AM$3,0,0,'Données projet'!$E$10+1,1))-AVERAGE(OFFSET($H$3,0,0,'Données projet'!$E$10+1,1))</f>
        <v>199.36309817800088</v>
      </c>
      <c r="AO70" s="62">
        <f t="shared" si="90"/>
        <v>151.91120569748284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-1.7053025658242404E-13</v>
      </c>
      <c r="BE70" s="14">
        <f>BD70*VLOOKUP('Données projet'!$B$11,Paramètres!$A$1:$I$89,3,0)*VLOOKUP('Données projet'!$B$11,Paramètres!$A$1:$I$89,5,0)</f>
        <v>-1.0197709343628959E-13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140.16059323013189</v>
      </c>
      <c r="BJ70" s="62">
        <f t="shared" si="92"/>
        <v>219.0992563594865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5.189367826887576</v>
      </c>
      <c r="BQ70" s="23">
        <f>EXP(-LN(2)/25)*BQ69+(1-EXP(-LN(2)/25))/(LN(2)/25)*Calculateur!BL70*Calculateur!BN70*VLOOKUP('Données projet'!$B$11,Paramètres!$A$1:$I$89,3,0)*0.475*44/12</f>
        <v>3.2489483193025022</v>
      </c>
      <c r="BR70" s="23">
        <f>EXP(-LN(2)/2)*BR69+(1-EXP(-LN(2)/2))/(LN(2)/2)*BL70*BO70*VLOOKUP('Données projet'!$B$11,Paramètres!$A$1:$I$89,3,0)*0.475*44/12</f>
        <v>2.9181500396050321E-5</v>
      </c>
      <c r="BS70" s="24">
        <f t="shared" si="63"/>
        <v>8.4383453276904756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2">
        <f t="shared" si="86"/>
        <v>14.576978140351192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70">
        <f t="shared" si="56"/>
        <v>405.5568902611115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16.745000000000005</v>
      </c>
      <c r="N71" s="14">
        <f>IF('Données projet'!$A$36&gt;35,N70+M71-V70,IF(A71&lt;'Données projet'!$A$36,$K$205^A71,IF(A71='Données projet'!$A$36,'Données projet'!$B$36,N70+M71-V70)))</f>
        <v>553.23500000000013</v>
      </c>
      <c r="O71" s="14">
        <f>N71*VLOOKUP('Données projet'!$B$9,Paramètres!$A$1:$I$89,3,0)*VLOOKUP('Données projet'!$B$9,Paramètres!$A$1:$I$89,5,0)</f>
        <v>309.25836500000008</v>
      </c>
      <c r="P71" s="14">
        <f t="shared" si="87"/>
        <v>73.113925681396637</v>
      </c>
      <c r="Q71" s="22">
        <f t="shared" si="54"/>
        <v>665.96507293676598</v>
      </c>
      <c r="R71" s="62">
        <f t="shared" si="55"/>
        <v>959.29840627009935</v>
      </c>
      <c r="S71" s="62">
        <f ca="1">AVERAGE(OFFSET($R$3,0,0,'Données projet'!$E$9+1,1))-AVERAGE(OFFSET($H$3,0,0,'Données projet'!$E$9+1,1))</f>
        <v>262.38865315945856</v>
      </c>
      <c r="T71" s="62">
        <f t="shared" si="88"/>
        <v>268.78503805457069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9.9900921902704205</v>
      </c>
      <c r="AA71" s="23">
        <f>EXP(-LN(2)/25)*AA70+(1-EXP(-LN(2)/25))/(LN(2)/25)*Calculateur!V71*Calculateur!X71*VLOOKUP('Données projet'!$B$9,Paramètres!$A$1:$I$89,3,0)*0.475*44/12</f>
        <v>0.71277284299849419</v>
      </c>
      <c r="AB71" s="23">
        <f>EXP(-LN(2)/2)*AB70+(1-EXP(-LN(2)/2))/(LN(2)/2)*V71*Y71*VLOOKUP('Données projet'!$B$9,Paramètres!$A$1:$I$89,3,0)*0.475*44/12</f>
        <v>9.8845487559645943E-6</v>
      </c>
      <c r="AC71" s="24">
        <f t="shared" si="57"/>
        <v>10.70287491781767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16.081428571428571</v>
      </c>
      <c r="AI71" s="14">
        <f>IF('Données projet'!$A$62&gt;35,AI70+AH71-AQ70,IF(A71&lt;'Données projet'!$A$62,$AF$205^A71,IF(A71='Données projet'!$A$62,'Données projet'!$B$62,AI70+AH71-AQ70)))</f>
        <v>417.5457142857141</v>
      </c>
      <c r="AJ71" s="14">
        <f>AI71*VLOOKUP('Données projet'!$B$10,Paramètres!$A$1:$I$89,3,0)*VLOOKUP('Données projet'!$B$10,Paramètres!$A$1:$I$89,5,0)</f>
        <v>195.41139428571421</v>
      </c>
      <c r="AK71" s="14">
        <f t="shared" si="89"/>
        <v>48.734372884823564</v>
      </c>
      <c r="AL71" s="22">
        <f t="shared" si="58"/>
        <v>425.22054448868658</v>
      </c>
      <c r="AM71" s="62">
        <f t="shared" si="59"/>
        <v>718.5538778220199</v>
      </c>
      <c r="AN71" s="62">
        <f ca="1">AVERAGE(OFFSET($AM$3,0,0,'Données projet'!$E$10+1,1))-AVERAGE(OFFSET($H$3,0,0,'Données projet'!$E$10+1,1))</f>
        <v>199.36309817800088</v>
      </c>
      <c r="AO71" s="62">
        <f t="shared" si="90"/>
        <v>151.91120569748284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-1.7053025658242404E-13</v>
      </c>
      <c r="BE71" s="14">
        <f>BD71*VLOOKUP('Données projet'!$B$11,Paramètres!$A$1:$I$89,3,0)*VLOOKUP('Données projet'!$B$11,Paramètres!$A$1:$I$89,5,0)</f>
        <v>-1.0197709343628959E-13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140.16059323013189</v>
      </c>
      <c r="BJ71" s="62">
        <f t="shared" si="92"/>
        <v>219.0992563594865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5.0876074890041476</v>
      </c>
      <c r="BQ71" s="23">
        <f>EXP(-LN(2)/25)*BQ70+(1-EXP(-LN(2)/25))/(LN(2)/25)*Calculateur!BL71*Calculateur!BN71*VLOOKUP('Données projet'!$B$11,Paramètres!$A$1:$I$89,3,0)*0.475*44/12</f>
        <v>3.1601056566564085</v>
      </c>
      <c r="BR71" s="23">
        <f>EXP(-LN(2)/2)*BR70+(1-EXP(-LN(2)/2))/(LN(2)/2)*BL71*BO71*VLOOKUP('Données projet'!$B$11,Paramètres!$A$1:$I$89,3,0)*0.475*44/12</f>
        <v>2.0634436815245104E-5</v>
      </c>
      <c r="BS71" s="24">
        <f t="shared" si="63"/>
        <v>8.2477337800973718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2">
        <f t="shared" si="86"/>
        <v>14.766231872668596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70">
        <f t="shared" si="56"/>
        <v>407.16349717823095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569.98</v>
      </c>
      <c r="L72" s="13">
        <f>VLOOKUP(A72,'Données projet'!$A$35:$I$55,9,0)</f>
        <v>16.745000000000005</v>
      </c>
      <c r="M72" s="13">
        <f t="array" ref="M72">INDEX(L:L,MIN(IF(ISNUMBER(L72:L268),ROW(L72:L268),"")))</f>
        <v>16.745000000000005</v>
      </c>
      <c r="N72" s="14">
        <f>IF('Données projet'!$A$36&gt;35,N71+M72-V71,IF(A72&lt;'Données projet'!$A$36,$K$205^A72,IF(A72='Données projet'!$A$36,'Données projet'!$B$36,N71+M72-V71)))</f>
        <v>569.98000000000013</v>
      </c>
      <c r="O72" s="14">
        <f>N72*VLOOKUP('Données projet'!$B$9,Paramètres!$A$1:$I$89,3,0)*VLOOKUP('Données projet'!$B$9,Paramètres!$A$1:$I$89,5,0)</f>
        <v>318.61882000000008</v>
      </c>
      <c r="P72" s="14">
        <f t="shared" si="87"/>
        <v>75.065899995891868</v>
      </c>
      <c r="Q72" s="22">
        <f t="shared" si="54"/>
        <v>685.66755399284511</v>
      </c>
      <c r="R72" s="62">
        <f t="shared" si="55"/>
        <v>979.00088732617837</v>
      </c>
      <c r="S72" s="62">
        <f ca="1">AVERAGE(OFFSET($R$3,0,0,'Données projet'!$E$9+1,1))-AVERAGE(OFFSET($H$3,0,0,'Données projet'!$E$9+1,1))</f>
        <v>262.38865315945856</v>
      </c>
      <c r="T72" s="62">
        <f t="shared" si="88"/>
        <v>268.78503805457069</v>
      </c>
      <c r="U72" s="16">
        <f>IF(ISNA(VLOOKUP(A72,'Données projet'!$A$35:$I$55,3,0)),0,VLOOKUP(A72,'Données projet'!$A$35:$I$55,3,0))</f>
        <v>9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9.7941925757737849</v>
      </c>
      <c r="AA72" s="23">
        <f>EXP(-LN(2)/25)*AA71+(1-EXP(-LN(2)/25))/(LN(2)/25)*Calculateur!V72*Calculateur!X72*VLOOKUP('Données projet'!$B$9,Paramètres!$A$1:$I$89,3,0)*0.475*44/12</f>
        <v>0.69328203212360562</v>
      </c>
      <c r="AB72" s="23">
        <f>EXP(-LN(2)/2)*AB71+(1-EXP(-LN(2)/2))/(LN(2)/2)*V72*Y72*VLOOKUP('Données projet'!$B$9,Paramètres!$A$1:$I$89,3,0)*0.475*44/12</f>
        <v>6.989431454311617E-6</v>
      </c>
      <c r="AC72" s="24">
        <f t="shared" si="57"/>
        <v>10.487481597328845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16.081428571428571</v>
      </c>
      <c r="AI72" s="14">
        <f>IF('Données projet'!$A$62&gt;35,AI71+AH72-AQ71,IF(A72&lt;'Données projet'!$A$62,$AF$205^A72,IF(A72='Données projet'!$A$62,'Données projet'!$B$62,AI71+AH72-AQ71)))</f>
        <v>433.62714285714264</v>
      </c>
      <c r="AJ72" s="14">
        <f>AI72*VLOOKUP('Données projet'!$B$10,Paramètres!$A$1:$I$89,3,0)*VLOOKUP('Données projet'!$B$10,Paramètres!$A$1:$I$89,5,0)</f>
        <v>202.93750285714276</v>
      </c>
      <c r="AK72" s="14">
        <f t="shared" si="89"/>
        <v>50.389193091569247</v>
      </c>
      <c r="AL72" s="22">
        <f t="shared" si="58"/>
        <v>441.21066211067341</v>
      </c>
      <c r="AM72" s="62">
        <f t="shared" si="59"/>
        <v>734.54399544400667</v>
      </c>
      <c r="AN72" s="62">
        <f ca="1">AVERAGE(OFFSET($AM$3,0,0,'Données projet'!$E$10+1,1))-AVERAGE(OFFSET($H$3,0,0,'Données projet'!$E$10+1,1))</f>
        <v>199.36309817800088</v>
      </c>
      <c r="AO72" s="62">
        <f t="shared" si="90"/>
        <v>151.91120569748284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-1.7053025658242404E-13</v>
      </c>
      <c r="BE72" s="14">
        <f>BD72*VLOOKUP('Données projet'!$B$11,Paramètres!$A$1:$I$89,3,0)*VLOOKUP('Données projet'!$B$11,Paramètres!$A$1:$I$89,5,0)</f>
        <v>-1.0197709343628959E-13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140.16059323013189</v>
      </c>
      <c r="BJ72" s="62">
        <f t="shared" si="92"/>
        <v>219.0992563594865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4.9878426092789354</v>
      </c>
      <c r="BQ72" s="23">
        <f>EXP(-LN(2)/25)*BQ71+(1-EXP(-LN(2)/25))/(LN(2)/25)*Calculateur!BL72*Calculateur!BN72*VLOOKUP('Données projet'!$B$11,Paramètres!$A$1:$I$89,3,0)*0.475*44/12</f>
        <v>3.073692401292405</v>
      </c>
      <c r="BR72" s="23">
        <f>EXP(-LN(2)/2)*BR71+(1-EXP(-LN(2)/2))/(LN(2)/2)*BL72*BO72*VLOOKUP('Données projet'!$B$11,Paramètres!$A$1:$I$89,3,0)*0.475*44/12</f>
        <v>1.459075019802516E-5</v>
      </c>
      <c r="BS72" s="24">
        <f t="shared" si="63"/>
        <v>8.0615496013215378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2">
        <f t="shared" si="86"/>
        <v>14.955166599500004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70">
        <f t="shared" si="56"/>
        <v>408.76954849412897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586.05999999999995</v>
      </c>
      <c r="L73" s="13">
        <f>VLOOKUP(A73,'Données projet'!$A$35:$I$55,9,0)</f>
        <v>16.079999999999927</v>
      </c>
      <c r="M73" s="13">
        <f t="array" ref="M73">INDEX(L:L,MIN(IF(ISNUMBER(L73:L269),ROW(L73:L269),"")))</f>
        <v>16.079999999999927</v>
      </c>
      <c r="N73" s="14">
        <f>IF('Données projet'!$A$36&gt;35,N72+M73-V72,IF(A73&lt;'Données projet'!$A$36,$K$205^A73,IF(A73='Données projet'!$A$36,'Données projet'!$B$36,N72+M73-V72)))</f>
        <v>586.06000000000006</v>
      </c>
      <c r="O73" s="14">
        <f>N73*VLOOKUP('Données projet'!$B$9,Paramètres!$A$1:$I$89,3,0)*VLOOKUP('Données projet'!$B$9,Paramètres!$A$1:$I$89,5,0)</f>
        <v>327.60754000000003</v>
      </c>
      <c r="P73" s="14">
        <f t="shared" si="87"/>
        <v>76.934079315946775</v>
      </c>
      <c r="Q73" s="22">
        <f t="shared" si="54"/>
        <v>704.57665364194065</v>
      </c>
      <c r="R73" s="62">
        <f t="shared" si="55"/>
        <v>997.90998697527402</v>
      </c>
      <c r="S73" s="62">
        <f ca="1">AVERAGE(OFFSET($R$3,0,0,'Données projet'!$E$9+1,1))-AVERAGE(OFFSET($H$3,0,0,'Données projet'!$E$9+1,1))</f>
        <v>262.38865315945856</v>
      </c>
      <c r="T73" s="62">
        <f t="shared" si="88"/>
        <v>268.78503805457069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586.05999999999995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9.6021344332304626</v>
      </c>
      <c r="AA73" s="23">
        <f>EXP(-LN(2)/25)*AA72+(1-EXP(-LN(2)/25))/(LN(2)/25)*Calculateur!V73*Calculateur!X73*VLOOKUP('Données projet'!$B$9,Paramètres!$A$1:$I$89,3,0)*0.475*44/12</f>
        <v>0.67432419849706804</v>
      </c>
      <c r="AB73" s="23">
        <f>EXP(-LN(2)/2)*AB72+(1-EXP(-LN(2)/2))/(LN(2)/2)*V73*Y73*VLOOKUP('Données projet'!$B$9,Paramètres!$A$1:$I$89,3,0)*0.475*44/12</f>
        <v>4.9422743779822971E-6</v>
      </c>
      <c r="AC73" s="24">
        <f t="shared" si="57"/>
        <v>10.276463574001909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16.081428571428571</v>
      </c>
      <c r="AI73" s="14">
        <f>IF('Données projet'!$A$62&gt;35,AI72+AH73-AQ72,IF(A73&lt;'Données projet'!$A$62,$AF$205^A73,IF(A73='Données projet'!$A$62,'Données projet'!$B$62,AI72+AH73-AQ72)))</f>
        <v>449.70857142857119</v>
      </c>
      <c r="AJ73" s="14">
        <f>AI73*VLOOKUP('Données projet'!$B$10,Paramètres!$A$1:$I$89,3,0)*VLOOKUP('Données projet'!$B$10,Paramètres!$A$1:$I$89,5,0)</f>
        <v>210.46361142857131</v>
      </c>
      <c r="AK73" s="14">
        <f t="shared" si="89"/>
        <v>52.036883453344181</v>
      </c>
      <c r="AL73" s="22">
        <f t="shared" si="58"/>
        <v>457.1883619193361</v>
      </c>
      <c r="AM73" s="62">
        <f t="shared" si="59"/>
        <v>750.52169525266936</v>
      </c>
      <c r="AN73" s="62">
        <f ca="1">AVERAGE(OFFSET($AM$3,0,0,'Données projet'!$E$10+1,1))-AVERAGE(OFFSET($H$3,0,0,'Données projet'!$E$10+1,1))</f>
        <v>199.36309817800088</v>
      </c>
      <c r="AO73" s="62">
        <f t="shared" si="90"/>
        <v>151.91120569748284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-1.7053025658242404E-13</v>
      </c>
      <c r="BE73" s="14">
        <f>BD73*VLOOKUP('Données projet'!$B$11,Paramètres!$A$1:$I$89,3,0)*VLOOKUP('Données projet'!$B$11,Paramètres!$A$1:$I$89,5,0)</f>
        <v>-1.0197709343628959E-13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140.16059323013189</v>
      </c>
      <c r="BJ73" s="62">
        <f t="shared" si="92"/>
        <v>219.0992563594865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4.8900340579945665</v>
      </c>
      <c r="BQ73" s="23">
        <f>EXP(-LN(2)/25)*BQ72+(1-EXP(-LN(2)/25))/(LN(2)/25)*Calculateur!BL73*Calculateur!BN73*VLOOKUP('Données projet'!$B$11,Paramètres!$A$1:$I$89,3,0)*0.475*44/12</f>
        <v>2.9896421209406059</v>
      </c>
      <c r="BR73" s="23">
        <f>EXP(-LN(2)/2)*BR72+(1-EXP(-LN(2)/2))/(LN(2)/2)*BL73*BO73*VLOOKUP('Données projet'!$B$11,Paramètres!$A$1:$I$89,3,0)*0.475*44/12</f>
        <v>1.0317218407622552E-5</v>
      </c>
      <c r="BS73" s="24">
        <f t="shared" si="63"/>
        <v>7.87968649615358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2">
        <f t="shared" si="86"/>
        <v>15.14378740464756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70">
        <f t="shared" si="56"/>
        <v>410.3750530630943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6.3550942286383367E-14</v>
      </c>
      <c r="P74" s="14">
        <f t="shared" si="87"/>
        <v>1.0064464192543978E-12</v>
      </c>
      <c r="Q74" s="22">
        <f t="shared" si="54"/>
        <v>1.8635787380168604E-12</v>
      </c>
      <c r="R74" s="62">
        <f t="shared" si="55"/>
        <v>293.33333333333519</v>
      </c>
      <c r="S74" s="62">
        <f ca="1">AVERAGE(OFFSET($R$3,0,0,'Données projet'!$E$9+1,1))-AVERAGE(OFFSET($H$3,0,0,'Données projet'!$E$9+1,1))</f>
        <v>262.38865315945856</v>
      </c>
      <c r="T74" s="62">
        <f t="shared" si="88"/>
        <v>268.78503805457069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9.4138424337185143</v>
      </c>
      <c r="AA74" s="23">
        <f>EXP(-LN(2)/25)*AA73+(1-EXP(-LN(2)/25))/(LN(2)/25)*Calculateur!V74*Calculateur!X74*VLOOKUP('Données projet'!$B$9,Paramètres!$A$1:$I$89,3,0)*0.475*44/12</f>
        <v>0.65588476782799732</v>
      </c>
      <c r="AB74" s="23">
        <f>EXP(-LN(2)/2)*AB73+(1-EXP(-LN(2)/2))/(LN(2)/2)*V74*Y74*VLOOKUP('Données projet'!$B$9,Paramètres!$A$1:$I$89,3,0)*0.475*44/12</f>
        <v>3.4947157271558085E-6</v>
      </c>
      <c r="AC74" s="24">
        <f t="shared" si="57"/>
        <v>10.069730696262239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>
        <f>VLOOKUP(A74,'Données projet'!$A$61:$I$81,2,0)</f>
        <v>465.79</v>
      </c>
      <c r="AG74" s="13">
        <f>VLOOKUP(A74,'Données projet'!$A$61:$I$81,9,0)</f>
        <v>16.081428571428571</v>
      </c>
      <c r="AH74" s="13">
        <f t="array" ref="AH74">INDEX(AG:AG,MIN(IF(ISNUMBER(AG74:AG270),ROW(AG74:AG270),"")))</f>
        <v>16.081428571428571</v>
      </c>
      <c r="AI74" s="14">
        <f>IF('Données projet'!$A$62&gt;35,AI73+AH74-AQ73,IF(A74&lt;'Données projet'!$A$62,$AF$205^A74,IF(A74='Données projet'!$A$62,'Données projet'!$B$62,AI73+AH74-AQ73)))</f>
        <v>465.78999999999974</v>
      </c>
      <c r="AJ74" s="14">
        <f>AI74*VLOOKUP('Données projet'!$B$10,Paramètres!$A$1:$I$89,3,0)*VLOOKUP('Données projet'!$B$10,Paramètres!$A$1:$I$89,5,0)</f>
        <v>217.98971999999986</v>
      </c>
      <c r="AK74" s="14">
        <f t="shared" si="89"/>
        <v>53.677728140063046</v>
      </c>
      <c r="AL74" s="22">
        <f t="shared" si="58"/>
        <v>473.15413884394292</v>
      </c>
      <c r="AM74" s="62">
        <f t="shared" si="59"/>
        <v>766.48747217727623</v>
      </c>
      <c r="AN74" s="62">
        <f ca="1">AVERAGE(OFFSET($AM$3,0,0,'Données projet'!$E$10+1,1))-AVERAGE(OFFSET($H$3,0,0,'Données projet'!$E$10+1,1))</f>
        <v>199.36309817800088</v>
      </c>
      <c r="AO74" s="62">
        <f t="shared" si="90"/>
        <v>151.91120569748284</v>
      </c>
      <c r="AP74" s="16">
        <f>IF(ISNA(VLOOKUP(A74,'Données projet'!$A$61:$I$81,3,0)),0,VLOOKUP(A74,'Données projet'!$A$61:$I$81,3,0))</f>
        <v>11</v>
      </c>
      <c r="AQ74" s="16">
        <f>IF(ISNA(VLOOKUP(A74,'Données projet'!$A$61:$I$81,4,0)),0,VLOOKUP(A74,'Données projet'!$A$61:$I$81,4,0))</f>
        <v>90.8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-1.7053025658242404E-13</v>
      </c>
      <c r="BE74" s="14">
        <f>BD74*VLOOKUP('Données projet'!$B$11,Paramètres!$A$1:$I$89,3,0)*VLOOKUP('Données projet'!$B$11,Paramètres!$A$1:$I$89,5,0)</f>
        <v>-1.0197709343628959E-13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140.16059323013189</v>
      </c>
      <c r="BJ74" s="62">
        <f t="shared" si="92"/>
        <v>219.0992563594865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4.7941434727435581</v>
      </c>
      <c r="BQ74" s="23">
        <f>EXP(-LN(2)/25)*BQ73+(1-EXP(-LN(2)/25))/(LN(2)/25)*Calculateur!BL74*Calculateur!BN74*VLOOKUP('Données projet'!$B$11,Paramètres!$A$1:$I$89,3,0)*0.475*44/12</f>
        <v>2.9078901999250388</v>
      </c>
      <c r="BR74" s="23">
        <f>EXP(-LN(2)/2)*BR73+(1-EXP(-LN(2)/2))/(LN(2)/2)*BL74*BO74*VLOOKUP('Données projet'!$B$11,Paramètres!$A$1:$I$89,3,0)*0.475*44/12</f>
        <v>7.2953750990125802E-6</v>
      </c>
      <c r="BS74" s="24">
        <f t="shared" si="63"/>
        <v>7.7020409680436952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2">
        <f t="shared" si="86"/>
        <v>15.332099220482363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70">
        <f t="shared" si="56"/>
        <v>411.98001947567326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6.3550942286383367E-14</v>
      </c>
      <c r="P75" s="14">
        <f t="shared" si="87"/>
        <v>1.0064464192543978E-12</v>
      </c>
      <c r="Q75" s="22">
        <f t="shared" si="54"/>
        <v>1.8635787380168604E-12</v>
      </c>
      <c r="R75" s="62">
        <f t="shared" si="55"/>
        <v>293.33333333333519</v>
      </c>
      <c r="S75" s="62">
        <f ca="1">AVERAGE(OFFSET($R$3,0,0,'Données projet'!$E$9+1,1))-AVERAGE(OFFSET($H$3,0,0,'Données projet'!$E$9+1,1))</f>
        <v>262.38865315945856</v>
      </c>
      <c r="T75" s="62">
        <f t="shared" si="88"/>
        <v>268.78503805457069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9.2292427254702147</v>
      </c>
      <c r="AA75" s="23">
        <f>EXP(-LN(2)/25)*AA74+(1-EXP(-LN(2)/25))/(LN(2)/25)*Calculateur!V75*Calculateur!X75*VLOOKUP('Données projet'!$B$9,Paramètres!$A$1:$I$89,3,0)*0.475*44/12</f>
        <v>0.63794956436025985</v>
      </c>
      <c r="AB75" s="23">
        <f>EXP(-LN(2)/2)*AB74+(1-EXP(-LN(2)/2))/(LN(2)/2)*V75*Y75*VLOOKUP('Données projet'!$B$9,Paramètres!$A$1:$I$89,3,0)*0.475*44/12</f>
        <v>2.4711371889911486E-6</v>
      </c>
      <c r="AC75" s="24">
        <f t="shared" si="57"/>
        <v>9.8671947609676636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390.06</v>
      </c>
      <c r="AG75" s="13">
        <f>VLOOKUP(A75,'Données projet'!$A$61:$I$81,9,0)</f>
        <v>15.069999999999993</v>
      </c>
      <c r="AH75" s="13">
        <f t="array" ref="AH75">INDEX(AG:AG,MIN(IF(ISNUMBER(AG75:AG271),ROW(AG75:AG271),"")))</f>
        <v>15.069999999999993</v>
      </c>
      <c r="AI75" s="14">
        <f>IF('Données projet'!$A$62&gt;35,AI74+AH75-AQ74,IF(A75&lt;'Données projet'!$A$62,$AF$205^A75,IF(A75='Données projet'!$A$62,'Données projet'!$B$62,AI74+AH75-AQ74)))</f>
        <v>390.05999999999972</v>
      </c>
      <c r="AJ75" s="14">
        <f>AI75*VLOOKUP('Données projet'!$B$10,Paramètres!$A$1:$I$89,3,0)*VLOOKUP('Données projet'!$B$10,Paramètres!$A$1:$I$89,5,0)</f>
        <v>182.54807999999989</v>
      </c>
      <c r="AK75" s="14">
        <f t="shared" si="89"/>
        <v>45.88862240530873</v>
      </c>
      <c r="AL75" s="22">
        <f t="shared" si="58"/>
        <v>397.86059002257917</v>
      </c>
      <c r="AM75" s="62">
        <f t="shared" si="59"/>
        <v>691.19392335591249</v>
      </c>
      <c r="AN75" s="62">
        <f ca="1">AVERAGE(OFFSET($AM$3,0,0,'Données projet'!$E$10+1,1))-AVERAGE(OFFSET($H$3,0,0,'Données projet'!$E$10+1,1))</f>
        <v>199.36309817800088</v>
      </c>
      <c r="AO75" s="62">
        <f t="shared" si="90"/>
        <v>151.91120569748284</v>
      </c>
      <c r="AP75" s="16">
        <f>IF(ISNA(VLOOKUP(A75,'Données projet'!$A$61:$I$81,3,0)),0,VLOOKUP(A75,'Données projet'!$A$61:$I$81,3,0))</f>
        <v>12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-1.7053025658242404E-13</v>
      </c>
      <c r="BE75" s="14">
        <f>BD75*VLOOKUP('Données projet'!$B$11,Paramètres!$A$1:$I$89,3,0)*VLOOKUP('Données projet'!$B$11,Paramètres!$A$1:$I$89,5,0)</f>
        <v>-1.0197709343628959E-13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140.16059323013189</v>
      </c>
      <c r="BJ75" s="62">
        <f t="shared" si="92"/>
        <v>219.0992563594865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4.700133243381841</v>
      </c>
      <c r="BQ75" s="23">
        <f>EXP(-LN(2)/25)*BQ74+(1-EXP(-LN(2)/25))/(LN(2)/25)*Calculateur!BL75*Calculateur!BN75*VLOOKUP('Données projet'!$B$11,Paramètres!$A$1:$I$89,3,0)*0.475*44/12</f>
        <v>2.828373789488789</v>
      </c>
      <c r="BR75" s="23">
        <f>EXP(-LN(2)/2)*BR74+(1-EXP(-LN(2)/2))/(LN(2)/2)*BL75*BO75*VLOOKUP('Données projet'!$B$11,Paramètres!$A$1:$I$89,3,0)*0.475*44/12</f>
        <v>5.1586092038112759E-6</v>
      </c>
      <c r="BS75" s="24">
        <f t="shared" si="63"/>
        <v>7.5285121914798339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2">
        <f t="shared" si="86"/>
        <v>15.520106834494458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70">
        <f t="shared" si="56"/>
        <v>413.58445607007764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6.3550942286383367E-14</v>
      </c>
      <c r="P76" s="14">
        <f t="shared" si="87"/>
        <v>1.0064464192543978E-12</v>
      </c>
      <c r="Q76" s="22">
        <f t="shared" si="54"/>
        <v>1.8635787380168604E-12</v>
      </c>
      <c r="R76" s="62">
        <f t="shared" si="55"/>
        <v>293.33333333333519</v>
      </c>
      <c r="S76" s="62">
        <f ca="1">AVERAGE(OFFSET($R$3,0,0,'Données projet'!$E$9+1,1))-AVERAGE(OFFSET($H$3,0,0,'Données projet'!$E$9+1,1))</f>
        <v>262.38865315945856</v>
      </c>
      <c r="T76" s="62">
        <f t="shared" si="88"/>
        <v>268.78503805457069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9.0482629049059611</v>
      </c>
      <c r="AA76" s="23">
        <f>EXP(-LN(2)/25)*AA75+(1-EXP(-LN(2)/25))/(LN(2)/25)*Calculateur!V76*Calculateur!X76*VLOOKUP('Données projet'!$B$9,Paramètres!$A$1:$I$89,3,0)*0.475*44/12</f>
        <v>0.62050479997451902</v>
      </c>
      <c r="AB76" s="23">
        <f>EXP(-LN(2)/2)*AB75+(1-EXP(-LN(2)/2))/(LN(2)/2)*V76*Y76*VLOOKUP('Données projet'!$B$9,Paramètres!$A$1:$I$89,3,0)*0.475*44/12</f>
        <v>1.7473578635779042E-6</v>
      </c>
      <c r="AC76" s="24">
        <f t="shared" si="57"/>
        <v>9.6687694522383438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15.121428571428575</v>
      </c>
      <c r="AI76" s="14">
        <f>IF('Données projet'!$A$62&gt;35,AI75+AH76-AQ75,IF(A76&lt;'Données projet'!$A$62,$AF$205^A76,IF(A76='Données projet'!$A$62,'Données projet'!$B$62,AI75+AH76-AQ75)))</f>
        <v>405.18142857142828</v>
      </c>
      <c r="AJ76" s="14">
        <f>AI76*VLOOKUP('Données projet'!$B$10,Paramètres!$A$1:$I$89,3,0)*VLOOKUP('Données projet'!$B$10,Paramètres!$A$1:$I$89,5,0)</f>
        <v>189.62490857142842</v>
      </c>
      <c r="AK76" s="14">
        <f t="shared" si="89"/>
        <v>47.457015926931383</v>
      </c>
      <c r="AL76" s="22">
        <f t="shared" si="58"/>
        <v>412.91768516797657</v>
      </c>
      <c r="AM76" s="62">
        <f t="shared" si="59"/>
        <v>706.25101850130989</v>
      </c>
      <c r="AN76" s="62">
        <f ca="1">AVERAGE(OFFSET($AM$3,0,0,'Données projet'!$E$10+1,1))-AVERAGE(OFFSET($H$3,0,0,'Données projet'!$E$10+1,1))</f>
        <v>199.36309817800088</v>
      </c>
      <c r="AO76" s="62">
        <f t="shared" si="90"/>
        <v>151.91120569748284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-1.7053025658242404E-13</v>
      </c>
      <c r="BE76" s="14">
        <f>BD76*VLOOKUP('Données projet'!$B$11,Paramètres!$A$1:$I$89,3,0)*VLOOKUP('Données projet'!$B$11,Paramètres!$A$1:$I$89,5,0)</f>
        <v>-1.0197709343628959E-13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140.16059323013189</v>
      </c>
      <c r="BJ76" s="62">
        <f t="shared" si="92"/>
        <v>219.0992563594865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4.6079664972773289</v>
      </c>
      <c r="BQ76" s="23">
        <f>EXP(-LN(2)/25)*BQ75+(1-EXP(-LN(2)/25))/(LN(2)/25)*Calculateur!BL76*Calculateur!BN76*VLOOKUP('Données projet'!$B$11,Paramètres!$A$1:$I$89,3,0)*0.475*44/12</f>
        <v>2.7510317594775047</v>
      </c>
      <c r="BR76" s="23">
        <f>EXP(-LN(2)/2)*BR75+(1-EXP(-LN(2)/2))/(LN(2)/2)*BL76*BO76*VLOOKUP('Données projet'!$B$11,Paramètres!$A$1:$I$89,3,0)*0.475*44/12</f>
        <v>3.6476875495062901E-6</v>
      </c>
      <c r="BS76" s="24">
        <f t="shared" si="63"/>
        <v>7.3590019044423833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2">
        <f t="shared" si="86"/>
        <v>15.707814895473696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70">
        <f t="shared" si="56"/>
        <v>415.1883709429498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6.3550942286383367E-14</v>
      </c>
      <c r="P77" s="14">
        <f t="shared" si="87"/>
        <v>1.0064464192543978E-12</v>
      </c>
      <c r="Q77" s="22">
        <f t="shared" si="54"/>
        <v>1.8635787380168604E-12</v>
      </c>
      <c r="R77" s="62">
        <f t="shared" si="55"/>
        <v>293.33333333333519</v>
      </c>
      <c r="S77" s="62">
        <f ca="1">AVERAGE(OFFSET($R$3,0,0,'Données projet'!$E$9+1,1))-AVERAGE(OFFSET($H$3,0,0,'Données projet'!$E$9+1,1))</f>
        <v>262.38865315945856</v>
      </c>
      <c r="T77" s="62">
        <f t="shared" si="88"/>
        <v>268.78503805457069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8.8708319882361817</v>
      </c>
      <c r="AA77" s="23">
        <f>EXP(-LN(2)/25)*AA76+(1-EXP(-LN(2)/25))/(LN(2)/25)*Calculateur!V77*Calculateur!X77*VLOOKUP('Données projet'!$B$9,Paramètres!$A$1:$I$89,3,0)*0.475*44/12</f>
        <v>0.60353706358828652</v>
      </c>
      <c r="AB77" s="23">
        <f>EXP(-LN(2)/2)*AB76+(1-EXP(-LN(2)/2))/(LN(2)/2)*V77*Y77*VLOOKUP('Données projet'!$B$9,Paramètres!$A$1:$I$89,3,0)*0.475*44/12</f>
        <v>1.2355685944955743E-6</v>
      </c>
      <c r="AC77" s="24">
        <f t="shared" si="57"/>
        <v>9.4743702873930626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15.121428571428575</v>
      </c>
      <c r="AI77" s="14">
        <f>IF('Données projet'!$A$62&gt;35,AI76+AH77-AQ76,IF(A77&lt;'Données projet'!$A$62,$AF$205^A77,IF(A77='Données projet'!$A$62,'Données projet'!$B$62,AI76+AH77-AQ76)))</f>
        <v>420.30285714285685</v>
      </c>
      <c r="AJ77" s="14">
        <f>AI77*VLOOKUP('Données projet'!$B$10,Paramètres!$A$1:$I$89,3,0)*VLOOKUP('Données projet'!$B$10,Paramètres!$A$1:$I$89,5,0)</f>
        <v>196.70173714285701</v>
      </c>
      <c r="AK77" s="14">
        <f t="shared" si="89"/>
        <v>49.018609355598009</v>
      </c>
      <c r="AL77" s="22">
        <f t="shared" si="58"/>
        <v>427.96293681814245</v>
      </c>
      <c r="AM77" s="62">
        <f t="shared" si="59"/>
        <v>721.29627015147571</v>
      </c>
      <c r="AN77" s="62">
        <f ca="1">AVERAGE(OFFSET($AM$3,0,0,'Données projet'!$E$10+1,1))-AVERAGE(OFFSET($H$3,0,0,'Données projet'!$E$10+1,1))</f>
        <v>199.36309817800088</v>
      </c>
      <c r="AO77" s="62">
        <f t="shared" si="90"/>
        <v>151.91120569748284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-1.7053025658242404E-13</v>
      </c>
      <c r="BE77" s="14">
        <f>BD77*VLOOKUP('Données projet'!$B$11,Paramètres!$A$1:$I$89,3,0)*VLOOKUP('Données projet'!$B$11,Paramètres!$A$1:$I$89,5,0)</f>
        <v>-1.0197709343628959E-13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140.16059323013189</v>
      </c>
      <c r="BJ77" s="62">
        <f t="shared" si="92"/>
        <v>219.0992563594865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4.5176070848477616</v>
      </c>
      <c r="BQ77" s="23">
        <f>EXP(-LN(2)/25)*BQ76+(1-EXP(-LN(2)/25))/(LN(2)/25)*Calculateur!BL77*Calculateur!BN77*VLOOKUP('Données projet'!$B$11,Paramètres!$A$1:$I$89,3,0)*0.475*44/12</f>
        <v>2.6758046513441198</v>
      </c>
      <c r="BR77" s="23">
        <f>EXP(-LN(2)/2)*BR76+(1-EXP(-LN(2)/2))/(LN(2)/2)*BL77*BO77*VLOOKUP('Données projet'!$B$11,Paramètres!$A$1:$I$89,3,0)*0.475*44/12</f>
        <v>2.579304601905638E-6</v>
      </c>
      <c r="BS77" s="24">
        <f t="shared" si="63"/>
        <v>7.1934143154964838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2">
        <f t="shared" si="86"/>
        <v>15.895227919346986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70">
        <f t="shared" si="56"/>
        <v>416.79177195952911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6.3550942286383367E-14</v>
      </c>
      <c r="P78" s="14">
        <f t="shared" si="87"/>
        <v>1.0064464192543978E-12</v>
      </c>
      <c r="Q78" s="22">
        <f t="shared" si="54"/>
        <v>1.8635787380168604E-12</v>
      </c>
      <c r="R78" s="62">
        <f t="shared" si="55"/>
        <v>293.33333333333519</v>
      </c>
      <c r="S78" s="62">
        <f ca="1">AVERAGE(OFFSET($R$3,0,0,'Données projet'!$E$9+1,1))-AVERAGE(OFFSET($H$3,0,0,'Données projet'!$E$9+1,1))</f>
        <v>262.38865315945856</v>
      </c>
      <c r="T78" s="62">
        <f t="shared" si="88"/>
        <v>268.78503805457069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8.6968803836201225</v>
      </c>
      <c r="AA78" s="23">
        <f>EXP(-LN(2)/25)*AA77+(1-EXP(-LN(2)/25))/(LN(2)/25)*Calculateur!V78*Calculateur!X78*VLOOKUP('Données projet'!$B$9,Paramètres!$A$1:$I$89,3,0)*0.475*44/12</f>
        <v>0.5870333108458301</v>
      </c>
      <c r="AB78" s="23">
        <f>EXP(-LN(2)/2)*AB77+(1-EXP(-LN(2)/2))/(LN(2)/2)*V78*Y78*VLOOKUP('Données projet'!$B$9,Paramètres!$A$1:$I$89,3,0)*0.475*44/12</f>
        <v>8.7367893178895212E-7</v>
      </c>
      <c r="AC78" s="24">
        <f t="shared" si="57"/>
        <v>9.2839145681448851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15.121428571428575</v>
      </c>
      <c r="AI78" s="14">
        <f>IF('Données projet'!$A$62&gt;35,AI77+AH78-AQ77,IF(A78&lt;'Données projet'!$A$62,$AF$205^A78,IF(A78='Données projet'!$A$62,'Données projet'!$B$62,AI77+AH78-AQ77)))</f>
        <v>435.42428571428542</v>
      </c>
      <c r="AJ78" s="14">
        <f>AI78*VLOOKUP('Données projet'!$B$10,Paramètres!$A$1:$I$89,3,0)*VLOOKUP('Données projet'!$B$10,Paramètres!$A$1:$I$89,5,0)</f>
        <v>203.77856571428558</v>
      </c>
      <c r="AK78" s="14">
        <f t="shared" si="89"/>
        <v>50.57367536717328</v>
      </c>
      <c r="AL78" s="22">
        <f t="shared" si="58"/>
        <v>442.99681988354081</v>
      </c>
      <c r="AM78" s="62">
        <f t="shared" si="59"/>
        <v>736.33015321687412</v>
      </c>
      <c r="AN78" s="62">
        <f ca="1">AVERAGE(OFFSET($AM$3,0,0,'Données projet'!$E$10+1,1))-AVERAGE(OFFSET($H$3,0,0,'Données projet'!$E$10+1,1))</f>
        <v>199.36309817800088</v>
      </c>
      <c r="AO78" s="62">
        <f t="shared" si="90"/>
        <v>151.91120569748284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-1.7053025658242404E-13</v>
      </c>
      <c r="BE78" s="14">
        <f>BD78*VLOOKUP('Données projet'!$B$11,Paramètres!$A$1:$I$89,3,0)*VLOOKUP('Données projet'!$B$11,Paramètres!$A$1:$I$89,5,0)</f>
        <v>-1.0197709343628959E-13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140.16059323013189</v>
      </c>
      <c r="BJ78" s="62">
        <f t="shared" si="92"/>
        <v>219.0992563594865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4.4290195653821387</v>
      </c>
      <c r="BQ78" s="23">
        <f>EXP(-LN(2)/25)*BQ77+(1-EXP(-LN(2)/25))/(LN(2)/25)*Calculateur!BL78*Calculateur!BN78*VLOOKUP('Données projet'!$B$11,Paramètres!$A$1:$I$89,3,0)*0.475*44/12</f>
        <v>2.6026346324386638</v>
      </c>
      <c r="BR78" s="23">
        <f>EXP(-LN(2)/2)*BR77+(1-EXP(-LN(2)/2))/(LN(2)/2)*BL78*BO78*VLOOKUP('Données projet'!$B$11,Paramètres!$A$1:$I$89,3,0)*0.475*44/12</f>
        <v>1.823843774753145E-6</v>
      </c>
      <c r="BS78" s="24">
        <f t="shared" si="63"/>
        <v>7.0316560216645776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2">
        <f t="shared" si="86"/>
        <v>16.08235029469542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70">
        <f t="shared" si="56"/>
        <v>418.394666763261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6.3550942286383367E-14</v>
      </c>
      <c r="P79" s="14">
        <f t="shared" si="87"/>
        <v>1.0064464192543978E-12</v>
      </c>
      <c r="Q79" s="22">
        <f t="shared" si="54"/>
        <v>1.8635787380168604E-12</v>
      </c>
      <c r="R79" s="62">
        <f t="shared" si="55"/>
        <v>293.33333333333519</v>
      </c>
      <c r="S79" s="62">
        <f ca="1">AVERAGE(OFFSET($R$3,0,0,'Données projet'!$E$9+1,1))-AVERAGE(OFFSET($H$3,0,0,'Données projet'!$E$9+1,1))</f>
        <v>262.38865315945856</v>
      </c>
      <c r="T79" s="62">
        <f t="shared" si="88"/>
        <v>268.78503805457069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8.5263398638705823</v>
      </c>
      <c r="AA79" s="23">
        <f>EXP(-LN(2)/25)*AA78+(1-EXP(-LN(2)/25))/(LN(2)/25)*Calculateur!V79*Calculateur!X79*VLOOKUP('Données projet'!$B$9,Paramètres!$A$1:$I$89,3,0)*0.475*44/12</f>
        <v>0.57098085409001076</v>
      </c>
      <c r="AB79" s="23">
        <f>EXP(-LN(2)/2)*AB78+(1-EXP(-LN(2)/2))/(LN(2)/2)*V79*Y79*VLOOKUP('Données projet'!$B$9,Paramètres!$A$1:$I$89,3,0)*0.475*44/12</f>
        <v>6.1778429724778714E-7</v>
      </c>
      <c r="AC79" s="24">
        <f t="shared" si="57"/>
        <v>9.0973213357448888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15.121428571428575</v>
      </c>
      <c r="AI79" s="14">
        <f>IF('Données projet'!$A$62&gt;35,AI78+AH79-AQ78,IF(A79&lt;'Données projet'!$A$62,$AF$205^A79,IF(A79='Données projet'!$A$62,'Données projet'!$B$62,AI78+AH79-AQ78)))</f>
        <v>450.54571428571398</v>
      </c>
      <c r="AJ79" s="14">
        <f>AI79*VLOOKUP('Données projet'!$B$10,Paramètres!$A$1:$I$89,3,0)*VLOOKUP('Données projet'!$B$10,Paramètres!$A$1:$I$89,5,0)</f>
        <v>210.85539428571417</v>
      </c>
      <c r="AK79" s="14">
        <f t="shared" si="89"/>
        <v>52.122466624482129</v>
      </c>
      <c r="AL79" s="22">
        <f t="shared" si="58"/>
        <v>458.01977441859185</v>
      </c>
      <c r="AM79" s="62">
        <f t="shared" si="59"/>
        <v>751.35310775192511</v>
      </c>
      <c r="AN79" s="62">
        <f ca="1">AVERAGE(OFFSET($AM$3,0,0,'Données projet'!$E$10+1,1))-AVERAGE(OFFSET($H$3,0,0,'Données projet'!$E$10+1,1))</f>
        <v>199.36309817800088</v>
      </c>
      <c r="AO79" s="62">
        <f t="shared" si="90"/>
        <v>151.91120569748284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-1.7053025658242404E-13</v>
      </c>
      <c r="BE79" s="14">
        <f>BD79*VLOOKUP('Données projet'!$B$11,Paramètres!$A$1:$I$89,3,0)*VLOOKUP('Données projet'!$B$11,Paramètres!$A$1:$I$89,5,0)</f>
        <v>-1.0197709343628959E-13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140.16059323013189</v>
      </c>
      <c r="BJ79" s="62">
        <f t="shared" si="92"/>
        <v>219.0992563594865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4.3421691931401849</v>
      </c>
      <c r="BQ79" s="23">
        <f>EXP(-LN(2)/25)*BQ78+(1-EXP(-LN(2)/25))/(LN(2)/25)*Calculateur!BL79*Calculateur!BN79*VLOOKUP('Données projet'!$B$11,Paramètres!$A$1:$I$89,3,0)*0.475*44/12</f>
        <v>2.5314654515480215</v>
      </c>
      <c r="BR79" s="23">
        <f>EXP(-LN(2)/2)*BR78+(1-EXP(-LN(2)/2))/(LN(2)/2)*BL79*BO79*VLOOKUP('Données projet'!$B$11,Paramètres!$A$1:$I$89,3,0)*0.475*44/12</f>
        <v>1.289652300952819E-6</v>
      </c>
      <c r="BS79" s="24">
        <f t="shared" si="63"/>
        <v>6.8736359343405073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2">
        <f t="shared" si="86"/>
        <v>16.269186287972673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70">
        <f t="shared" si="56"/>
        <v>419.99706278488549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6.3550942286383367E-14</v>
      </c>
      <c r="P80" s="14">
        <f t="shared" si="87"/>
        <v>1.0064464192543978E-12</v>
      </c>
      <c r="Q80" s="22">
        <f t="shared" si="54"/>
        <v>1.8635787380168604E-12</v>
      </c>
      <c r="R80" s="62">
        <f t="shared" si="55"/>
        <v>293.33333333333519</v>
      </c>
      <c r="S80" s="62">
        <f ca="1">AVERAGE(OFFSET($R$3,0,0,'Données projet'!$E$9+1,1))-AVERAGE(OFFSET($H$3,0,0,'Données projet'!$E$9+1,1))</f>
        <v>262.38865315945856</v>
      </c>
      <c r="T80" s="62">
        <f t="shared" si="88"/>
        <v>268.78503805457069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8.3591435396938856</v>
      </c>
      <c r="AA80" s="23">
        <f>EXP(-LN(2)/25)*AA79+(1-EXP(-LN(2)/25))/(LN(2)/25)*Calculateur!V80*Calculateur!X80*VLOOKUP('Données projet'!$B$9,Paramètres!$A$1:$I$89,3,0)*0.475*44/12</f>
        <v>0.55536735260834125</v>
      </c>
      <c r="AB80" s="23">
        <f>EXP(-LN(2)/2)*AB79+(1-EXP(-LN(2)/2))/(LN(2)/2)*V80*Y80*VLOOKUP('Données projet'!$B$9,Paramètres!$A$1:$I$89,3,0)*0.475*44/12</f>
        <v>4.3683946589447606E-7</v>
      </c>
      <c r="AC80" s="24">
        <f t="shared" si="57"/>
        <v>8.9145113291416926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15.121428571428575</v>
      </c>
      <c r="AI80" s="14">
        <f>IF('Données projet'!$A$62&gt;35,AI79+AH80-AQ79,IF(A80&lt;'Données projet'!$A$62,$AF$205^A80,IF(A80='Données projet'!$A$62,'Données projet'!$B$62,AI79+AH80-AQ79)))</f>
        <v>465.66714285714255</v>
      </c>
      <c r="AJ80" s="14">
        <f>AI80*VLOOKUP('Données projet'!$B$10,Paramètres!$A$1:$I$89,3,0)*VLOOKUP('Données projet'!$B$10,Paramètres!$A$1:$I$89,5,0)</f>
        <v>217.9322228571427</v>
      </c>
      <c r="AK80" s="14">
        <f t="shared" si="89"/>
        <v>53.665217868077001</v>
      </c>
      <c r="AL80" s="22">
        <f t="shared" si="58"/>
        <v>473.03220926309092</v>
      </c>
      <c r="AM80" s="62">
        <f t="shared" si="59"/>
        <v>766.36554259642423</v>
      </c>
      <c r="AN80" s="62">
        <f ca="1">AVERAGE(OFFSET($AM$3,0,0,'Données projet'!$E$10+1,1))-AVERAGE(OFFSET($H$3,0,0,'Données projet'!$E$10+1,1))</f>
        <v>199.36309817800088</v>
      </c>
      <c r="AO80" s="62">
        <f t="shared" si="90"/>
        <v>151.91120569748284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-1.7053025658242404E-13</v>
      </c>
      <c r="BE80" s="14">
        <f>BD80*VLOOKUP('Données projet'!$B$11,Paramètres!$A$1:$I$89,3,0)*VLOOKUP('Données projet'!$B$11,Paramètres!$A$1:$I$89,5,0)</f>
        <v>-1.0197709343628959E-13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140.16059323013189</v>
      </c>
      <c r="BJ80" s="62">
        <f t="shared" si="92"/>
        <v>219.0992563594865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4.2570219037244001</v>
      </c>
      <c r="BQ80" s="23">
        <f>EXP(-LN(2)/25)*BQ79+(1-EXP(-LN(2)/25))/(LN(2)/25)*Calculateur!BL80*Calculateur!BN80*VLOOKUP('Données projet'!$B$11,Paramètres!$A$1:$I$89,3,0)*0.475*44/12</f>
        <v>2.4622423956514585</v>
      </c>
      <c r="BR80" s="23">
        <f>EXP(-LN(2)/2)*BR79+(1-EXP(-LN(2)/2))/(LN(2)/2)*BL80*BO80*VLOOKUP('Données projet'!$B$11,Paramètres!$A$1:$I$89,3,0)*0.475*44/12</f>
        <v>9.1192188737657252E-7</v>
      </c>
      <c r="BS80" s="24">
        <f t="shared" si="63"/>
        <v>6.7192652112977456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2">
        <f t="shared" si="86"/>
        <v>16.455740048444692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70">
        <f t="shared" si="56"/>
        <v>421.5989672510409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6.3550942286383367E-14</v>
      </c>
      <c r="P81" s="14">
        <f t="shared" si="87"/>
        <v>1.0064464192543978E-12</v>
      </c>
      <c r="Q81" s="22">
        <f t="shared" si="54"/>
        <v>1.8635787380168604E-12</v>
      </c>
      <c r="R81" s="62">
        <f t="shared" si="55"/>
        <v>293.33333333333519</v>
      </c>
      <c r="S81" s="62">
        <f ca="1">AVERAGE(OFFSET($R$3,0,0,'Données projet'!$E$9+1,1))-AVERAGE(OFFSET($H$3,0,0,'Données projet'!$E$9+1,1))</f>
        <v>262.38865315945856</v>
      </c>
      <c r="T81" s="62">
        <f t="shared" si="88"/>
        <v>268.78503805457069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8.1952258334546055</v>
      </c>
      <c r="AA81" s="23">
        <f>EXP(-LN(2)/25)*AA80+(1-EXP(-LN(2)/25))/(LN(2)/25)*Calculateur!V81*Calculateur!X81*VLOOKUP('Données projet'!$B$9,Paramètres!$A$1:$I$89,3,0)*0.475*44/12</f>
        <v>0.54018080314576644</v>
      </c>
      <c r="AB81" s="23">
        <f>EXP(-LN(2)/2)*AB80+(1-EXP(-LN(2)/2))/(LN(2)/2)*V81*Y81*VLOOKUP('Données projet'!$B$9,Paramètres!$A$1:$I$89,3,0)*0.475*44/12</f>
        <v>3.0889214862389357E-7</v>
      </c>
      <c r="AC81" s="24">
        <f t="shared" si="57"/>
        <v>8.7354069454925209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15.121428571428575</v>
      </c>
      <c r="AI81" s="14">
        <f>IF('Données projet'!$A$62&gt;35,AI80+AH81-AQ80,IF(A81&lt;'Données projet'!$A$62,$AF$205^A81,IF(A81='Données projet'!$A$62,'Données projet'!$B$62,AI80+AH81-AQ80)))</f>
        <v>480.78857142857112</v>
      </c>
      <c r="AJ81" s="14">
        <f>AI81*VLOOKUP('Données projet'!$B$10,Paramètres!$A$1:$I$89,3,0)*VLOOKUP('Données projet'!$B$10,Paramètres!$A$1:$I$89,5,0)</f>
        <v>225.0090514285713</v>
      </c>
      <c r="AK81" s="14">
        <f t="shared" si="89"/>
        <v>55.202147727806029</v>
      </c>
      <c r="AL81" s="22">
        <f t="shared" si="58"/>
        <v>488.03450519735719</v>
      </c>
      <c r="AM81" s="62">
        <f t="shared" si="59"/>
        <v>781.36783853069051</v>
      </c>
      <c r="AN81" s="62">
        <f ca="1">AVERAGE(OFFSET($AM$3,0,0,'Données projet'!$E$10+1,1))-AVERAGE(OFFSET($H$3,0,0,'Données projet'!$E$10+1,1))</f>
        <v>199.36309817800088</v>
      </c>
      <c r="AO81" s="62">
        <f t="shared" si="90"/>
        <v>151.91120569748284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-1.7053025658242404E-13</v>
      </c>
      <c r="BE81" s="14">
        <f>BD81*VLOOKUP('Données projet'!$B$11,Paramètres!$A$1:$I$89,3,0)*VLOOKUP('Données projet'!$B$11,Paramètres!$A$1:$I$89,5,0)</f>
        <v>-1.0197709343628959E-13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140.16059323013189</v>
      </c>
      <c r="BJ81" s="62">
        <f t="shared" si="92"/>
        <v>219.0992563594865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4.1735443007193398</v>
      </c>
      <c r="BQ81" s="23">
        <f>EXP(-LN(2)/25)*BQ80+(1-EXP(-LN(2)/25))/(LN(2)/25)*Calculateur!BL81*Calculateur!BN81*VLOOKUP('Données projet'!$B$11,Paramètres!$A$1:$I$89,3,0)*0.475*44/12</f>
        <v>2.3949122478586693</v>
      </c>
      <c r="BR81" s="23">
        <f>EXP(-LN(2)/2)*BR80+(1-EXP(-LN(2)/2))/(LN(2)/2)*BL81*BO81*VLOOKUP('Données projet'!$B$11,Paramètres!$A$1:$I$89,3,0)*0.475*44/12</f>
        <v>6.4482615047640949E-7</v>
      </c>
      <c r="BS81" s="24">
        <f t="shared" si="63"/>
        <v>6.5684571934041598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2">
        <f t="shared" si="86"/>
        <v>16.642015612868772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70">
        <f t="shared" si="56"/>
        <v>423.2003871924129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6.3550942286383367E-14</v>
      </c>
      <c r="P82" s="14">
        <f t="shared" si="87"/>
        <v>1.0064464192543978E-12</v>
      </c>
      <c r="Q82" s="22">
        <f t="shared" si="54"/>
        <v>1.8635787380168604E-12</v>
      </c>
      <c r="R82" s="62">
        <f t="shared" si="55"/>
        <v>293.33333333333519</v>
      </c>
      <c r="S82" s="62">
        <f ca="1">AVERAGE(OFFSET($R$3,0,0,'Données projet'!$E$9+1,1))-AVERAGE(OFFSET($H$3,0,0,'Données projet'!$E$9+1,1))</f>
        <v>262.38865315945856</v>
      </c>
      <c r="T82" s="62">
        <f t="shared" si="88"/>
        <v>268.78503805457069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8.0345224534547484</v>
      </c>
      <c r="AA82" s="23">
        <f>EXP(-LN(2)/25)*AA81+(1-EXP(-LN(2)/25))/(LN(2)/25)*Calculateur!V82*Calculateur!X82*VLOOKUP('Données projet'!$B$9,Paramètres!$A$1:$I$89,3,0)*0.475*44/12</f>
        <v>0.52540953067687157</v>
      </c>
      <c r="AB82" s="23">
        <f>EXP(-LN(2)/2)*AB81+(1-EXP(-LN(2)/2))/(LN(2)/2)*V82*Y82*VLOOKUP('Données projet'!$B$9,Paramètres!$A$1:$I$89,3,0)*0.475*44/12</f>
        <v>2.1841973294723803E-7</v>
      </c>
      <c r="AC82" s="24">
        <f t="shared" si="57"/>
        <v>8.5599322025513516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>
        <f>VLOOKUP(A82,'Données projet'!$A$61:$I$81,2,0)</f>
        <v>495.91</v>
      </c>
      <c r="AG82" s="13">
        <f>VLOOKUP(A82,'Données projet'!$A$61:$I$81,9,0)</f>
        <v>15.121428571428575</v>
      </c>
      <c r="AH82" s="13">
        <f t="array" ref="AH82">INDEX(AG:AG,MIN(IF(ISNUMBER(AG82:AG278),ROW(AG82:AG278),"")))</f>
        <v>15.121428571428575</v>
      </c>
      <c r="AI82" s="14">
        <f>IF('Données projet'!$A$62&gt;35,AI81+AH82-AQ81,IF(A82&lt;'Données projet'!$A$62,$AF$205^A82,IF(A82='Données projet'!$A$62,'Données projet'!$B$62,AI81+AH82-AQ81)))</f>
        <v>495.90999999999968</v>
      </c>
      <c r="AJ82" s="14">
        <f>AI82*VLOOKUP('Données projet'!$B$10,Paramètres!$A$1:$I$89,3,0)*VLOOKUP('Données projet'!$B$10,Paramètres!$A$1:$I$89,5,0)</f>
        <v>232.08587999999986</v>
      </c>
      <c r="AK82" s="14">
        <f t="shared" si="89"/>
        <v>56.733460300074178</v>
      </c>
      <c r="AL82" s="22">
        <f t="shared" si="58"/>
        <v>503.02701768929563</v>
      </c>
      <c r="AM82" s="62">
        <f t="shared" si="59"/>
        <v>796.36035102262895</v>
      </c>
      <c r="AN82" s="62">
        <f ca="1">AVERAGE(OFFSET($AM$3,0,0,'Données projet'!$E$10+1,1))-AVERAGE(OFFSET($H$3,0,0,'Données projet'!$E$10+1,1))</f>
        <v>199.36309817800088</v>
      </c>
      <c r="AO82" s="62">
        <f t="shared" si="90"/>
        <v>151.91120569748284</v>
      </c>
      <c r="AP82" s="16">
        <f>IF(ISNA(VLOOKUP(A82,'Données projet'!$A$61:$I$81,3,0)),0,VLOOKUP(A82,'Données projet'!$A$61:$I$81,3,0))</f>
        <v>13</v>
      </c>
      <c r="AQ82" s="16">
        <f>IF(ISNA(VLOOKUP(A82,'Données projet'!$A$61:$I$81,4,0)),0,VLOOKUP(A82,'Données projet'!$A$61:$I$81,4,0))</f>
        <v>87.99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-1.7053025658242404E-13</v>
      </c>
      <c r="BE82" s="14">
        <f>BD82*VLOOKUP('Données projet'!$B$11,Paramètres!$A$1:$I$89,3,0)*VLOOKUP('Données projet'!$B$11,Paramètres!$A$1:$I$89,5,0)</f>
        <v>-1.0197709343628959E-13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140.16059323013189</v>
      </c>
      <c r="BJ82" s="62">
        <f t="shared" si="92"/>
        <v>219.0992563594865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4.0917036425928988</v>
      </c>
      <c r="BQ82" s="23">
        <f>EXP(-LN(2)/25)*BQ81+(1-EXP(-LN(2)/25))/(LN(2)/25)*Calculateur!BL82*Calculateur!BN82*VLOOKUP('Données projet'!$B$11,Paramètres!$A$1:$I$89,3,0)*0.475*44/12</f>
        <v>2.3294232464980125</v>
      </c>
      <c r="BR82" s="23">
        <f>EXP(-LN(2)/2)*BR81+(1-EXP(-LN(2)/2))/(LN(2)/2)*BL82*BO82*VLOOKUP('Données projet'!$B$11,Paramètres!$A$1:$I$89,3,0)*0.475*44/12</f>
        <v>4.5596094368828626E-7</v>
      </c>
      <c r="BS82" s="24">
        <f t="shared" si="63"/>
        <v>6.4211273450518549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2">
        <f t="shared" si="86"/>
        <v>16.82801690992903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70">
        <f t="shared" si="56"/>
        <v>424.80132945145942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6.3550942286383367E-14</v>
      </c>
      <c r="P83" s="14">
        <f t="shared" si="87"/>
        <v>1.0064464192543978E-12</v>
      </c>
      <c r="Q83" s="22">
        <f t="shared" si="54"/>
        <v>1.8635787380168604E-12</v>
      </c>
      <c r="R83" s="62">
        <f t="shared" si="55"/>
        <v>293.33333333333519</v>
      </c>
      <c r="S83" s="62">
        <f ca="1">AVERAGE(OFFSET($R$3,0,0,'Données projet'!$E$9+1,1))-AVERAGE(OFFSET($H$3,0,0,'Données projet'!$E$9+1,1))</f>
        <v>262.38865315945856</v>
      </c>
      <c r="T83" s="62">
        <f t="shared" si="88"/>
        <v>268.78503805457069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7.8769703687173056</v>
      </c>
      <c r="AA83" s="23">
        <f>EXP(-LN(2)/25)*AA82+(1-EXP(-LN(2)/25))/(LN(2)/25)*Calculateur!V83*Calculateur!X83*VLOOKUP('Données projet'!$B$9,Paramètres!$A$1:$I$89,3,0)*0.475*44/12</f>
        <v>0.51104217943042618</v>
      </c>
      <c r="AB83" s="23">
        <f>EXP(-LN(2)/2)*AB82+(1-EXP(-LN(2)/2))/(LN(2)/2)*V83*Y83*VLOOKUP('Données projet'!$B$9,Paramètres!$A$1:$I$89,3,0)*0.475*44/12</f>
        <v>1.5444607431194679E-7</v>
      </c>
      <c r="AC83" s="24">
        <f t="shared" si="57"/>
        <v>8.3880127025938052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422.5</v>
      </c>
      <c r="AG83" s="13">
        <f>VLOOKUP(A83,'Données projet'!$A$61:$I$81,9,0)</f>
        <v>14.579999999999984</v>
      </c>
      <c r="AH83" s="13">
        <f t="array" ref="AH83">INDEX(AG:AG,MIN(IF(ISNUMBER(AG83:AG279),ROW(AG83:AG279),"")))</f>
        <v>14.579999999999984</v>
      </c>
      <c r="AI83" s="14">
        <f>IF('Données projet'!$A$62&gt;35,AI82+AH83-AQ82,IF(A83&lt;'Données projet'!$A$62,$AF$205^A83,IF(A83='Données projet'!$A$62,'Données projet'!$B$62,AI82+AH83-AQ82)))</f>
        <v>422.49999999999966</v>
      </c>
      <c r="AJ83" s="14">
        <f>AI83*VLOOKUP('Données projet'!$B$10,Paramètres!$A$1:$I$89,3,0)*VLOOKUP('Données projet'!$B$10,Paramètres!$A$1:$I$89,5,0)</f>
        <v>197.72999999999985</v>
      </c>
      <c r="AK83" s="14">
        <f t="shared" si="89"/>
        <v>49.244959487759623</v>
      </c>
      <c r="AL83" s="22">
        <f t="shared" si="58"/>
        <v>430.14805444118105</v>
      </c>
      <c r="AM83" s="62">
        <f t="shared" si="59"/>
        <v>723.48138777451436</v>
      </c>
      <c r="AN83" s="62">
        <f ca="1">AVERAGE(OFFSET($AM$3,0,0,'Données projet'!$E$10+1,1))-AVERAGE(OFFSET($H$3,0,0,'Données projet'!$E$10+1,1))</f>
        <v>199.36309817800088</v>
      </c>
      <c r="AO83" s="62">
        <f t="shared" si="90"/>
        <v>151.91120569748284</v>
      </c>
      <c r="AP83" s="16">
        <f>IF(ISNA(VLOOKUP(A83,'Données projet'!$A$61:$I$81,3,0)),0,VLOOKUP(A83,'Données projet'!$A$61:$I$81,3,0))</f>
        <v>14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-1.7053025658242404E-13</v>
      </c>
      <c r="BE83" s="14">
        <f>BD83*VLOOKUP('Données projet'!$B$11,Paramètres!$A$1:$I$89,3,0)*VLOOKUP('Données projet'!$B$11,Paramètres!$A$1:$I$89,5,0)</f>
        <v>-1.0197709343628959E-13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140.16059323013189</v>
      </c>
      <c r="BJ83" s="62">
        <f t="shared" si="92"/>
        <v>219.0992563594865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4.0114678298544444</v>
      </c>
      <c r="BQ83" s="23">
        <f>EXP(-LN(2)/25)*BQ82+(1-EXP(-LN(2)/25))/(LN(2)/25)*Calculateur!BL83*Calculateur!BN83*VLOOKUP('Données projet'!$B$11,Paramètres!$A$1:$I$89,3,0)*0.475*44/12</f>
        <v>2.2657250453234798</v>
      </c>
      <c r="BR83" s="23">
        <f>EXP(-LN(2)/2)*BR82+(1-EXP(-LN(2)/2))/(LN(2)/2)*BL83*BO83*VLOOKUP('Données projet'!$B$11,Paramètres!$A$1:$I$89,3,0)*0.475*44/12</f>
        <v>3.2241307523820475E-7</v>
      </c>
      <c r="BS83" s="24">
        <f t="shared" si="63"/>
        <v>6.2771931975909991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2">
        <f t="shared" si="86"/>
        <v>17.013747764443796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70">
        <f t="shared" si="56"/>
        <v>426.40180068973939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6.3550942286383367E-14</v>
      </c>
      <c r="P84" s="14">
        <f t="shared" si="87"/>
        <v>1.0064464192543978E-12</v>
      </c>
      <c r="Q84" s="22">
        <f t="shared" si="54"/>
        <v>1.8635787380168604E-12</v>
      </c>
      <c r="R84" s="62">
        <f t="shared" si="55"/>
        <v>293.33333333333519</v>
      </c>
      <c r="S84" s="62">
        <f ca="1">AVERAGE(OFFSET($R$3,0,0,'Données projet'!$E$9+1,1))-AVERAGE(OFFSET($H$3,0,0,'Données projet'!$E$9+1,1))</f>
        <v>262.38865315945856</v>
      </c>
      <c r="T84" s="62">
        <f t="shared" si="88"/>
        <v>268.78503805457069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7.7225077842642813</v>
      </c>
      <c r="AA84" s="23">
        <f>EXP(-LN(2)/25)*AA83+(1-EXP(-LN(2)/25))/(LN(2)/25)*Calculateur!V84*Calculateur!X84*VLOOKUP('Données projet'!$B$9,Paramètres!$A$1:$I$89,3,0)*0.475*44/12</f>
        <v>0.49706770415936097</v>
      </c>
      <c r="AB84" s="23">
        <f>EXP(-LN(2)/2)*AB83+(1-EXP(-LN(2)/2))/(LN(2)/2)*V84*Y84*VLOOKUP('Données projet'!$B$9,Paramètres!$A$1:$I$89,3,0)*0.475*44/12</f>
        <v>1.0920986647361902E-7</v>
      </c>
      <c r="AC84" s="24">
        <f t="shared" si="57"/>
        <v>8.2195755976335079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14.16</v>
      </c>
      <c r="AI84" s="14">
        <f>IF('Données projet'!$A$62&gt;35,AI83+AH84-AQ83,IF(A84&lt;'Données projet'!$A$62,$AF$205^A84,IF(A84='Données projet'!$A$62,'Données projet'!$B$62,AI83+AH84-AQ83)))</f>
        <v>436.65999999999968</v>
      </c>
      <c r="AJ84" s="14">
        <f>AI84*VLOOKUP('Données projet'!$B$10,Paramètres!$A$1:$I$89,3,0)*VLOOKUP('Données projet'!$B$10,Paramètres!$A$1:$I$89,5,0)</f>
        <v>204.35687999999985</v>
      </c>
      <c r="AK84" s="14">
        <f t="shared" si="89"/>
        <v>50.70047382771854</v>
      </c>
      <c r="AL84" s="22">
        <f t="shared" si="58"/>
        <v>444.22489124994286</v>
      </c>
      <c r="AM84" s="62">
        <f t="shared" si="59"/>
        <v>737.55822458327611</v>
      </c>
      <c r="AN84" s="62">
        <f ca="1">AVERAGE(OFFSET($AM$3,0,0,'Données projet'!$E$10+1,1))-AVERAGE(OFFSET($H$3,0,0,'Données projet'!$E$10+1,1))</f>
        <v>199.36309817800088</v>
      </c>
      <c r="AO84" s="62">
        <f t="shared" si="90"/>
        <v>151.91120569748284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-1.7053025658242404E-13</v>
      </c>
      <c r="BE84" s="14">
        <f>BD84*VLOOKUP('Données projet'!$B$11,Paramètres!$A$1:$I$89,3,0)*VLOOKUP('Données projet'!$B$11,Paramètres!$A$1:$I$89,5,0)</f>
        <v>-1.0197709343628959E-13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140.16059323013189</v>
      </c>
      <c r="BJ84" s="62">
        <f t="shared" si="92"/>
        <v>219.0992563594865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3.9328053924647781</v>
      </c>
      <c r="BQ84" s="23">
        <f>EXP(-LN(2)/25)*BQ83+(1-EXP(-LN(2)/25))/(LN(2)/25)*Calculateur!BL84*Calculateur!BN84*VLOOKUP('Données projet'!$B$11,Paramètres!$A$1:$I$89,3,0)*0.475*44/12</f>
        <v>2.2037686748098078</v>
      </c>
      <c r="BR84" s="23">
        <f>EXP(-LN(2)/2)*BR83+(1-EXP(-LN(2)/2))/(LN(2)/2)*BL84*BO84*VLOOKUP('Données projet'!$B$11,Paramètres!$A$1:$I$89,3,0)*0.475*44/12</f>
        <v>2.2798047184414313E-7</v>
      </c>
      <c r="BS84" s="24">
        <f t="shared" si="63"/>
        <v>6.1365742952550573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2">
        <f t="shared" si="86"/>
        <v>17.199211901359213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70">
        <f t="shared" si="56"/>
        <v>428.001807394867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6.3550942286383367E-14</v>
      </c>
      <c r="P85" s="14">
        <f t="shared" si="87"/>
        <v>1.0064464192543978E-12</v>
      </c>
      <c r="Q85" s="22">
        <f t="shared" si="54"/>
        <v>1.8635787380168604E-12</v>
      </c>
      <c r="R85" s="62">
        <f t="shared" si="55"/>
        <v>293.33333333333519</v>
      </c>
      <c r="S85" s="62">
        <f ca="1">AVERAGE(OFFSET($R$3,0,0,'Données projet'!$E$9+1,1))-AVERAGE(OFFSET($H$3,0,0,'Données projet'!$E$9+1,1))</f>
        <v>262.38865315945856</v>
      </c>
      <c r="T85" s="62">
        <f t="shared" si="88"/>
        <v>268.78503805457069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7.5710741168795073</v>
      </c>
      <c r="AA85" s="23">
        <f>EXP(-LN(2)/25)*AA84+(1-EXP(-LN(2)/25))/(LN(2)/25)*Calculateur!V85*Calculateur!X85*VLOOKUP('Données projet'!$B$9,Paramètres!$A$1:$I$89,3,0)*0.475*44/12</f>
        <v>0.48347536164946875</v>
      </c>
      <c r="AB85" s="23">
        <f>EXP(-LN(2)/2)*AB84+(1-EXP(-LN(2)/2))/(LN(2)/2)*V85*Y85*VLOOKUP('Données projet'!$B$9,Paramètres!$A$1:$I$89,3,0)*0.475*44/12</f>
        <v>7.7223037155973393E-8</v>
      </c>
      <c r="AC85" s="24">
        <f t="shared" si="57"/>
        <v>8.054549555752013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14.16</v>
      </c>
      <c r="AI85" s="14">
        <f>IF('Données projet'!$A$62&gt;35,AI84+AH85-AQ84,IF(A85&lt;'Données projet'!$A$62,$AF$205^A85,IF(A85='Données projet'!$A$62,'Données projet'!$B$62,AI84+AH85-AQ84)))</f>
        <v>450.81999999999971</v>
      </c>
      <c r="AJ85" s="14">
        <f>AI85*VLOOKUP('Données projet'!$B$10,Paramètres!$A$1:$I$89,3,0)*VLOOKUP('Données projet'!$B$10,Paramètres!$A$1:$I$89,5,0)</f>
        <v>210.98375999999985</v>
      </c>
      <c r="AK85" s="14">
        <f t="shared" si="89"/>
        <v>52.150503499682415</v>
      </c>
      <c r="AL85" s="22">
        <f t="shared" si="58"/>
        <v>458.29217559527996</v>
      </c>
      <c r="AM85" s="62">
        <f t="shared" si="59"/>
        <v>751.62550892861327</v>
      </c>
      <c r="AN85" s="62">
        <f ca="1">AVERAGE(OFFSET($AM$3,0,0,'Données projet'!$E$10+1,1))-AVERAGE(OFFSET($H$3,0,0,'Données projet'!$E$10+1,1))</f>
        <v>199.36309817800088</v>
      </c>
      <c r="AO85" s="62">
        <f t="shared" si="90"/>
        <v>151.91120569748284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-1.7053025658242404E-13</v>
      </c>
      <c r="BE85" s="14">
        <f>BD85*VLOOKUP('Données projet'!$B$11,Paramètres!$A$1:$I$89,3,0)*VLOOKUP('Données projet'!$B$11,Paramètres!$A$1:$I$89,5,0)</f>
        <v>-1.0197709343628959E-13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140.16059323013189</v>
      </c>
      <c r="BJ85" s="62">
        <f t="shared" si="92"/>
        <v>219.0992563594865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3.8556854774929739</v>
      </c>
      <c r="BQ85" s="23">
        <f>EXP(-LN(2)/25)*BQ84+(1-EXP(-LN(2)/25))/(LN(2)/25)*Calculateur!BL85*Calculateur!BN85*VLOOKUP('Données projet'!$B$11,Paramètres!$A$1:$I$89,3,0)*0.475*44/12</f>
        <v>2.1435065045059756</v>
      </c>
      <c r="BR85" s="23">
        <f>EXP(-LN(2)/2)*BR84+(1-EXP(-LN(2)/2))/(LN(2)/2)*BL85*BO85*VLOOKUP('Données projet'!$B$11,Paramètres!$A$1:$I$89,3,0)*0.475*44/12</f>
        <v>1.6120653761910237E-7</v>
      </c>
      <c r="BS85" s="24">
        <f t="shared" si="63"/>
        <v>5.9991921432054873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2">
        <f t="shared" si="86"/>
        <v>17.384412949542618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70">
        <f t="shared" si="56"/>
        <v>429.60135588711978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6.3550942286383367E-14</v>
      </c>
      <c r="P86" s="14">
        <f t="shared" si="87"/>
        <v>1.0064464192543978E-12</v>
      </c>
      <c r="Q86" s="22">
        <f t="shared" si="54"/>
        <v>1.8635787380168604E-12</v>
      </c>
      <c r="R86" s="62">
        <f t="shared" si="55"/>
        <v>293.33333333333519</v>
      </c>
      <c r="S86" s="62">
        <f ca="1">AVERAGE(OFFSET($R$3,0,0,'Données projet'!$E$9+1,1))-AVERAGE(OFFSET($H$3,0,0,'Données projet'!$E$9+1,1))</f>
        <v>262.38865315945856</v>
      </c>
      <c r="T86" s="62">
        <f t="shared" si="88"/>
        <v>268.78503805457069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7.4226099713467315</v>
      </c>
      <c r="AA86" s="23">
        <f>EXP(-LN(2)/25)*AA85+(1-EXP(-LN(2)/25))/(LN(2)/25)*Calculateur!V86*Calculateur!X86*VLOOKUP('Données projet'!$B$9,Paramètres!$A$1:$I$89,3,0)*0.475*44/12</f>
        <v>0.47025470246029977</v>
      </c>
      <c r="AB86" s="23">
        <f>EXP(-LN(2)/2)*AB85+(1-EXP(-LN(2)/2))/(LN(2)/2)*V86*Y86*VLOOKUP('Données projet'!$B$9,Paramètres!$A$1:$I$89,3,0)*0.475*44/12</f>
        <v>5.4604933236809508E-8</v>
      </c>
      <c r="AC86" s="24">
        <f t="shared" si="57"/>
        <v>7.892864728411964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14.16</v>
      </c>
      <c r="AI86" s="14">
        <f>IF('Données projet'!$A$62&gt;35,AI85+AH86-AQ85,IF(A86&lt;'Données projet'!$A$62,$AF$205^A86,IF(A86='Données projet'!$A$62,'Données projet'!$B$62,AI85+AH86-AQ85)))</f>
        <v>464.97999999999973</v>
      </c>
      <c r="AJ86" s="14">
        <f>AI86*VLOOKUP('Données projet'!$B$10,Paramètres!$A$1:$I$89,3,0)*VLOOKUP('Données projet'!$B$10,Paramètres!$A$1:$I$89,5,0)</f>
        <v>217.61063999999988</v>
      </c>
      <c r="AK86" s="14">
        <f t="shared" si="89"/>
        <v>53.595240539151249</v>
      </c>
      <c r="AL86" s="22">
        <f t="shared" si="58"/>
        <v>472.35024193902149</v>
      </c>
      <c r="AM86" s="62">
        <f t="shared" si="59"/>
        <v>765.6835752723548</v>
      </c>
      <c r="AN86" s="62">
        <f ca="1">AVERAGE(OFFSET($AM$3,0,0,'Données projet'!$E$10+1,1))-AVERAGE(OFFSET($H$3,0,0,'Données projet'!$E$10+1,1))</f>
        <v>199.36309817800088</v>
      </c>
      <c r="AO86" s="62">
        <f t="shared" si="90"/>
        <v>151.91120569748284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-1.7053025658242404E-13</v>
      </c>
      <c r="BE86" s="14">
        <f>BD86*VLOOKUP('Données projet'!$B$11,Paramètres!$A$1:$I$89,3,0)*VLOOKUP('Données projet'!$B$11,Paramètres!$A$1:$I$89,5,0)</f>
        <v>-1.0197709343628959E-13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140.16059323013189</v>
      </c>
      <c r="BJ86" s="62">
        <f t="shared" si="92"/>
        <v>219.0992563594865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3.7800778370152632</v>
      </c>
      <c r="BQ86" s="23">
        <f>EXP(-LN(2)/25)*BQ85+(1-EXP(-LN(2)/25))/(LN(2)/25)*Calculateur!BL86*Calculateur!BN86*VLOOKUP('Données projet'!$B$11,Paramètres!$A$1:$I$89,3,0)*0.475*44/12</f>
        <v>2.0848922064181519</v>
      </c>
      <c r="BR86" s="23">
        <f>EXP(-LN(2)/2)*BR85+(1-EXP(-LN(2)/2))/(LN(2)/2)*BL86*BO86*VLOOKUP('Données projet'!$B$11,Paramètres!$A$1:$I$89,3,0)*0.475*44/12</f>
        <v>1.1399023592207157E-7</v>
      </c>
      <c r="BS86" s="24">
        <f t="shared" si="63"/>
        <v>5.8649701574236506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2">
        <f t="shared" si="86"/>
        <v>17.569354445387791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70">
        <f t="shared" si="56"/>
        <v>431.20045232571681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6.3550942286383367E-14</v>
      </c>
      <c r="P87" s="14">
        <f t="shared" si="87"/>
        <v>1.0064464192543978E-12</v>
      </c>
      <c r="Q87" s="22">
        <f t="shared" si="54"/>
        <v>1.8635787380168604E-12</v>
      </c>
      <c r="R87" s="62">
        <f t="shared" si="55"/>
        <v>293.33333333333519</v>
      </c>
      <c r="S87" s="62">
        <f ca="1">AVERAGE(OFFSET($R$3,0,0,'Données projet'!$E$9+1,1))-AVERAGE(OFFSET($H$3,0,0,'Données projet'!$E$9+1,1))</f>
        <v>262.38865315945856</v>
      </c>
      <c r="T87" s="62">
        <f t="shared" si="88"/>
        <v>268.78503805457069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7.2770571171536664</v>
      </c>
      <c r="AA87" s="23">
        <f>EXP(-LN(2)/25)*AA86+(1-EXP(-LN(2)/25))/(LN(2)/25)*Calculateur!V87*Calculateur!X87*VLOOKUP('Données projet'!$B$9,Paramètres!$A$1:$I$89,3,0)*0.475*44/12</f>
        <v>0.45739556289190286</v>
      </c>
      <c r="AB87" s="23">
        <f>EXP(-LN(2)/2)*AB86+(1-EXP(-LN(2)/2))/(LN(2)/2)*V87*Y87*VLOOKUP('Données projet'!$B$9,Paramètres!$A$1:$I$89,3,0)*0.475*44/12</f>
        <v>3.8611518577986696E-8</v>
      </c>
      <c r="AC87" s="24">
        <f t="shared" si="57"/>
        <v>7.7344527186570877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14.16</v>
      </c>
      <c r="AI87" s="14">
        <f>IF('Données projet'!$A$62&gt;35,AI86+AH87-AQ86,IF(A87&lt;'Données projet'!$A$62,$AF$205^A87,IF(A87='Données projet'!$A$62,'Données projet'!$B$62,AI86+AH87-AQ86)))</f>
        <v>479.13999999999976</v>
      </c>
      <c r="AJ87" s="14">
        <f>AI87*VLOOKUP('Données projet'!$B$10,Paramètres!$A$1:$I$89,3,0)*VLOOKUP('Données projet'!$B$10,Paramètres!$A$1:$I$89,5,0)</f>
        <v>224.23751999999988</v>
      </c>
      <c r="AK87" s="14">
        <f t="shared" si="89"/>
        <v>55.034864620946642</v>
      </c>
      <c r="AL87" s="22">
        <f t="shared" si="58"/>
        <v>486.39940321481521</v>
      </c>
      <c r="AM87" s="62">
        <f t="shared" si="59"/>
        <v>779.73273654814852</v>
      </c>
      <c r="AN87" s="62">
        <f ca="1">AVERAGE(OFFSET($AM$3,0,0,'Données projet'!$E$10+1,1))-AVERAGE(OFFSET($H$3,0,0,'Données projet'!$E$10+1,1))</f>
        <v>199.36309817800088</v>
      </c>
      <c r="AO87" s="62">
        <f t="shared" si="90"/>
        <v>151.91120569748284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-1.7053025658242404E-13</v>
      </c>
      <c r="BE87" s="14">
        <f>BD87*VLOOKUP('Données projet'!$B$11,Paramètres!$A$1:$I$89,3,0)*VLOOKUP('Données projet'!$B$11,Paramètres!$A$1:$I$89,5,0)</f>
        <v>-1.0197709343628959E-13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140.16059323013189</v>
      </c>
      <c r="BJ87" s="62">
        <f t="shared" si="92"/>
        <v>219.0992563594865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3.7059528162512136</v>
      </c>
      <c r="BQ87" s="23">
        <f>EXP(-LN(2)/25)*BQ86+(1-EXP(-LN(2)/25))/(LN(2)/25)*Calculateur!BL87*Calculateur!BN87*VLOOKUP('Données projet'!$B$11,Paramètres!$A$1:$I$89,3,0)*0.475*44/12</f>
        <v>2.0278807193939317</v>
      </c>
      <c r="BR87" s="23">
        <f>EXP(-LN(2)/2)*BR86+(1-EXP(-LN(2)/2))/(LN(2)/2)*BL87*BO87*VLOOKUP('Données projet'!$B$11,Paramètres!$A$1:$I$89,3,0)*0.475*44/12</f>
        <v>8.0603268809551187E-8</v>
      </c>
      <c r="BS87" s="24">
        <f t="shared" si="63"/>
        <v>5.7338336162484138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2">
        <f t="shared" si="86"/>
        <v>17.754039836243663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70">
        <f t="shared" si="56"/>
        <v>432.79910271479082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6.3550942286383367E-14</v>
      </c>
      <c r="P88" s="14">
        <f t="shared" si="87"/>
        <v>1.0064464192543978E-12</v>
      </c>
      <c r="Q88" s="22">
        <f t="shared" si="54"/>
        <v>1.8635787380168604E-12</v>
      </c>
      <c r="R88" s="62">
        <f t="shared" si="55"/>
        <v>293.33333333333519</v>
      </c>
      <c r="S88" s="62">
        <f ca="1">AVERAGE(OFFSET($R$3,0,0,'Données projet'!$E$9+1,1))-AVERAGE(OFFSET($H$3,0,0,'Données projet'!$E$9+1,1))</f>
        <v>262.38865315945856</v>
      </c>
      <c r="T88" s="62">
        <f t="shared" si="88"/>
        <v>268.78503805457069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7.134358465652852</v>
      </c>
      <c r="AA88" s="23">
        <f>EXP(-LN(2)/25)*AA87+(1-EXP(-LN(2)/25))/(LN(2)/25)*Calculateur!V88*Calculateur!X88*VLOOKUP('Données projet'!$B$9,Paramètres!$A$1:$I$89,3,0)*0.475*44/12</f>
        <v>0.44488805717123653</v>
      </c>
      <c r="AB88" s="23">
        <f>EXP(-LN(2)/2)*AB87+(1-EXP(-LN(2)/2))/(LN(2)/2)*V88*Y88*VLOOKUP('Données projet'!$B$9,Paramètres!$A$1:$I$89,3,0)*0.475*44/12</f>
        <v>2.7302466618404754E-8</v>
      </c>
      <c r="AC88" s="24">
        <f t="shared" si="57"/>
        <v>7.5792465501265553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14.16</v>
      </c>
      <c r="AI88" s="14">
        <f>IF('Données projet'!$A$62&gt;35,AI87+AH88-AQ87,IF(A88&lt;'Données projet'!$A$62,$AF$205^A88,IF(A88='Données projet'!$A$62,'Données projet'!$B$62,AI87+AH88-AQ87)))</f>
        <v>493.29999999999978</v>
      </c>
      <c r="AJ88" s="14">
        <f>AI88*VLOOKUP('Données projet'!$B$10,Paramètres!$A$1:$I$89,3,0)*VLOOKUP('Données projet'!$B$10,Paramètres!$A$1:$I$89,5,0)</f>
        <v>230.86439999999988</v>
      </c>
      <c r="AK88" s="14">
        <f t="shared" si="89"/>
        <v>56.469544196332308</v>
      </c>
      <c r="AL88" s="22">
        <f t="shared" si="58"/>
        <v>500.43995280861191</v>
      </c>
      <c r="AM88" s="62">
        <f t="shared" si="59"/>
        <v>793.77328614194516</v>
      </c>
      <c r="AN88" s="62">
        <f ca="1">AVERAGE(OFFSET($AM$3,0,0,'Données projet'!$E$10+1,1))-AVERAGE(OFFSET($H$3,0,0,'Données projet'!$E$10+1,1))</f>
        <v>199.36309817800088</v>
      </c>
      <c r="AO88" s="62">
        <f t="shared" si="90"/>
        <v>151.91120569748284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-1.7053025658242404E-13</v>
      </c>
      <c r="BE88" s="14">
        <f>BD88*VLOOKUP('Données projet'!$B$11,Paramètres!$A$1:$I$89,3,0)*VLOOKUP('Données projet'!$B$11,Paramètres!$A$1:$I$89,5,0)</f>
        <v>-1.0197709343628959E-13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140.16059323013189</v>
      </c>
      <c r="BJ88" s="62">
        <f t="shared" si="92"/>
        <v>219.0992563594865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3.6332813419325487</v>
      </c>
      <c r="BQ88" s="23">
        <f>EXP(-LN(2)/25)*BQ87+(1-EXP(-LN(2)/25))/(LN(2)/25)*Calculateur!BL88*Calculateur!BN88*VLOOKUP('Données projet'!$B$11,Paramètres!$A$1:$I$89,3,0)*0.475*44/12</f>
        <v>1.9724282144804923</v>
      </c>
      <c r="BR88" s="23">
        <f>EXP(-LN(2)/2)*BR87+(1-EXP(-LN(2)/2))/(LN(2)/2)*BL88*BO88*VLOOKUP('Données projet'!$B$11,Paramètres!$A$1:$I$89,3,0)*0.475*44/12</f>
        <v>5.6995117961035783E-8</v>
      </c>
      <c r="BS88" s="24">
        <f t="shared" si="63"/>
        <v>5.605709613408159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2">
        <f t="shared" si="86"/>
        <v>17.93847248367711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70">
        <f t="shared" si="56"/>
        <v>434.39731290907071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6.3550942286383367E-14</v>
      </c>
      <c r="P89" s="14">
        <f t="shared" si="87"/>
        <v>1.0064464192543978E-12</v>
      </c>
      <c r="Q89" s="22">
        <f t="shared" si="54"/>
        <v>1.8635787380168604E-12</v>
      </c>
      <c r="R89" s="62">
        <f t="shared" si="55"/>
        <v>293.33333333333519</v>
      </c>
      <c r="S89" s="62">
        <f ca="1">AVERAGE(OFFSET($R$3,0,0,'Données projet'!$E$9+1,1))-AVERAGE(OFFSET($H$3,0,0,'Données projet'!$E$9+1,1))</f>
        <v>262.38865315945856</v>
      </c>
      <c r="T89" s="62">
        <f t="shared" si="88"/>
        <v>268.78503805457069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6.9944580476703857</v>
      </c>
      <c r="AA89" s="23">
        <f>EXP(-LN(2)/25)*AA88+(1-EXP(-LN(2)/25))/(LN(2)/25)*Calculateur!V89*Calculateur!X89*VLOOKUP('Données projet'!$B$9,Paramètres!$A$1:$I$89,3,0)*0.475*44/12</f>
        <v>0.43272256985224294</v>
      </c>
      <c r="AB89" s="23">
        <f>EXP(-LN(2)/2)*AB88+(1-EXP(-LN(2)/2))/(LN(2)/2)*V89*Y89*VLOOKUP('Données projet'!$B$9,Paramètres!$A$1:$I$89,3,0)*0.475*44/12</f>
        <v>1.9305759288993348E-8</v>
      </c>
      <c r="AC89" s="24">
        <f t="shared" si="57"/>
        <v>7.4271806368283881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14.16</v>
      </c>
      <c r="AI89" s="14">
        <f>IF('Données projet'!$A$62&gt;35,AI88+AH89-AQ88,IF(A89&lt;'Données projet'!$A$62,$AF$205^A89,IF(A89='Données projet'!$A$62,'Données projet'!$B$62,AI88+AH89-AQ88)))</f>
        <v>507.45999999999981</v>
      </c>
      <c r="AJ89" s="14">
        <f>AI89*VLOOKUP('Données projet'!$B$10,Paramètres!$A$1:$I$89,3,0)*VLOOKUP('Données projet'!$B$10,Paramètres!$A$1:$I$89,5,0)</f>
        <v>237.49127999999993</v>
      </c>
      <c r="AK89" s="14">
        <f t="shared" si="89"/>
        <v>57.899437495902355</v>
      </c>
      <c r="AL89" s="22">
        <f t="shared" si="58"/>
        <v>514.47216630536309</v>
      </c>
      <c r="AM89" s="62">
        <f t="shared" si="59"/>
        <v>807.80549963869635</v>
      </c>
      <c r="AN89" s="62">
        <f ca="1">AVERAGE(OFFSET($AM$3,0,0,'Données projet'!$E$10+1,1))-AVERAGE(OFFSET($H$3,0,0,'Données projet'!$E$10+1,1))</f>
        <v>199.36309817800088</v>
      </c>
      <c r="AO89" s="62">
        <f t="shared" si="90"/>
        <v>151.91120569748284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-1.7053025658242404E-13</v>
      </c>
      <c r="BE89" s="14">
        <f>BD89*VLOOKUP('Données projet'!$B$11,Paramètres!$A$1:$I$89,3,0)*VLOOKUP('Données projet'!$B$11,Paramètres!$A$1:$I$89,5,0)</f>
        <v>-1.0197709343628959E-13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140.16059323013189</v>
      </c>
      <c r="BJ89" s="62">
        <f t="shared" si="92"/>
        <v>219.0992563594865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3.5620349109000502</v>
      </c>
      <c r="BQ89" s="23">
        <f>EXP(-LN(2)/25)*BQ88+(1-EXP(-LN(2)/25))/(LN(2)/25)*Calculateur!BL89*Calculateur!BN89*VLOOKUP('Données projet'!$B$11,Paramètres!$A$1:$I$89,3,0)*0.475*44/12</f>
        <v>1.9184920612300316</v>
      </c>
      <c r="BR89" s="23">
        <f>EXP(-LN(2)/2)*BR88+(1-EXP(-LN(2)/2))/(LN(2)/2)*BL89*BO89*VLOOKUP('Données projet'!$B$11,Paramètres!$A$1:$I$89,3,0)*0.475*44/12</f>
        <v>4.0301634404775593E-8</v>
      </c>
      <c r="BS89" s="24">
        <f t="shared" si="63"/>
        <v>5.4805270124317156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2">
        <f t="shared" si="86"/>
        <v>18.122655666579583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70">
        <f t="shared" si="56"/>
        <v>435.99508861929246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6.3550942286383367E-14</v>
      </c>
      <c r="P90" s="14">
        <f t="shared" si="87"/>
        <v>1.0064464192543978E-12</v>
      </c>
      <c r="Q90" s="22">
        <f t="shared" si="54"/>
        <v>1.8635787380168604E-12</v>
      </c>
      <c r="R90" s="62">
        <f t="shared" si="55"/>
        <v>293.33333333333519</v>
      </c>
      <c r="S90" s="62">
        <f ca="1">AVERAGE(OFFSET($R$3,0,0,'Données projet'!$E$9+1,1))-AVERAGE(OFFSET($H$3,0,0,'Données projet'!$E$9+1,1))</f>
        <v>262.38865315945856</v>
      </c>
      <c r="T90" s="62">
        <f t="shared" si="88"/>
        <v>268.78503805457069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6.8573009915537266</v>
      </c>
      <c r="AA90" s="23">
        <f>EXP(-LN(2)/25)*AA89+(1-EXP(-LN(2)/25))/(LN(2)/25)*Calculateur!V90*Calculateur!X90*VLOOKUP('Données projet'!$B$9,Paramètres!$A$1:$I$89,3,0)*0.475*44/12</f>
        <v>0.42088974842374244</v>
      </c>
      <c r="AB90" s="23">
        <f>EXP(-LN(2)/2)*AB89+(1-EXP(-LN(2)/2))/(LN(2)/2)*V90*Y90*VLOOKUP('Données projet'!$B$9,Paramètres!$A$1:$I$89,3,0)*0.475*44/12</f>
        <v>1.3651233309202377E-8</v>
      </c>
      <c r="AC90" s="24">
        <f t="shared" si="57"/>
        <v>7.278190753628702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521.62</v>
      </c>
      <c r="AG90" s="13">
        <f>VLOOKUP(A90,'Données projet'!$A$61:$I$81,9,0)</f>
        <v>14.16</v>
      </c>
      <c r="AH90" s="13">
        <f t="array" ref="AH90">INDEX(AG:AG,MIN(IF(ISNUMBER(AG90:AG286),ROW(AG90:AG286),"")))</f>
        <v>14.16</v>
      </c>
      <c r="AI90" s="14">
        <f>IF('Données projet'!$A$62&gt;35,AI89+AH90-AQ89,IF(A90&lt;'Données projet'!$A$62,$AF$205^A90,IF(A90='Données projet'!$A$62,'Données projet'!$B$62,AI89+AH90-AQ89)))</f>
        <v>521.61999999999978</v>
      </c>
      <c r="AJ90" s="14">
        <f>AI90*VLOOKUP('Données projet'!$B$10,Paramètres!$A$1:$I$89,3,0)*VLOOKUP('Données projet'!$B$10,Paramètres!$A$1:$I$89,5,0)</f>
        <v>244.11815999999988</v>
      </c>
      <c r="AK90" s="14">
        <f t="shared" si="89"/>
        <v>59.324693417385667</v>
      </c>
      <c r="AL90" s="22">
        <f t="shared" si="58"/>
        <v>528.49630303527977</v>
      </c>
      <c r="AM90" s="62">
        <f t="shared" si="59"/>
        <v>821.82963636861314</v>
      </c>
      <c r="AN90" s="62">
        <f ca="1">AVERAGE(OFFSET($AM$3,0,0,'Données projet'!$E$10+1,1))-AVERAGE(OFFSET($H$3,0,0,'Données projet'!$E$10+1,1))</f>
        <v>199.36309817800088</v>
      </c>
      <c r="AO90" s="62">
        <f t="shared" si="90"/>
        <v>151.91120569748284</v>
      </c>
      <c r="AP90" s="16">
        <f>IF(ISNA(VLOOKUP(A90,'Données projet'!$A$61:$I$81,3,0)),0,VLOOKUP(A90,'Données projet'!$A$61:$I$81,3,0))</f>
        <v>15</v>
      </c>
      <c r="AQ90" s="16">
        <f>IF(ISNA(VLOOKUP(A90,'Données projet'!$A$61:$I$81,4,0)),0,VLOOKUP(A90,'Données projet'!$A$61:$I$81,4,0))</f>
        <v>88.62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-1.7053025658242404E-13</v>
      </c>
      <c r="BE90" s="14">
        <f>BD90*VLOOKUP('Données projet'!$B$11,Paramètres!$A$1:$I$89,3,0)*VLOOKUP('Données projet'!$B$11,Paramètres!$A$1:$I$89,5,0)</f>
        <v>-1.0197709343628959E-13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140.16059323013189</v>
      </c>
      <c r="BJ90" s="62">
        <f t="shared" si="92"/>
        <v>219.0992563594865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3.492185578924067</v>
      </c>
      <c r="BQ90" s="23">
        <f>EXP(-LN(2)/25)*BQ89+(1-EXP(-LN(2)/25))/(LN(2)/25)*Calculateur!BL90*Calculateur!BN90*VLOOKUP('Données projet'!$B$11,Paramètres!$A$1:$I$89,3,0)*0.475*44/12</f>
        <v>1.8660307949265835</v>
      </c>
      <c r="BR90" s="23">
        <f>EXP(-LN(2)/2)*BR89+(1-EXP(-LN(2)/2))/(LN(2)/2)*BL90*BO90*VLOOKUP('Données projet'!$B$11,Paramètres!$A$1:$I$89,3,0)*0.475*44/12</f>
        <v>2.8497558980517891E-8</v>
      </c>
      <c r="BS90" s="24">
        <f t="shared" si="63"/>
        <v>5.3582164023482095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2">
        <f t="shared" si="86"/>
        <v>18.30659258412695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70">
        <f t="shared" si="56"/>
        <v>437.59243541735412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6.3550942286383367E-14</v>
      </c>
      <c r="P91" s="14">
        <f t="shared" si="87"/>
        <v>1.0064464192543978E-12</v>
      </c>
      <c r="Q91" s="22">
        <f t="shared" si="54"/>
        <v>1.8635787380168604E-12</v>
      </c>
      <c r="R91" s="62">
        <f t="shared" si="55"/>
        <v>293.33333333333519</v>
      </c>
      <c r="S91" s="62">
        <f ca="1">AVERAGE(OFFSET($R$3,0,0,'Données projet'!$E$9+1,1))-AVERAGE(OFFSET($H$3,0,0,'Données projet'!$E$9+1,1))</f>
        <v>262.38865315945856</v>
      </c>
      <c r="T91" s="62">
        <f t="shared" si="88"/>
        <v>268.78503805457069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6.722833501649971</v>
      </c>
      <c r="AA91" s="23">
        <f>EXP(-LN(2)/25)*AA90+(1-EXP(-LN(2)/25))/(LN(2)/25)*Calculateur!V91*Calculateur!X91*VLOOKUP('Données projet'!$B$9,Paramètres!$A$1:$I$89,3,0)*0.475*44/12</f>
        <v>0.40938049611946531</v>
      </c>
      <c r="AB91" s="23">
        <f>EXP(-LN(2)/2)*AB90+(1-EXP(-LN(2)/2))/(LN(2)/2)*V91*Y91*VLOOKUP('Données projet'!$B$9,Paramètres!$A$1:$I$89,3,0)*0.475*44/12</f>
        <v>9.6528796444966741E-9</v>
      </c>
      <c r="AC91" s="24">
        <f t="shared" si="57"/>
        <v>7.1322140074223155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>
        <f>VLOOKUP(A91,'Données projet'!$A$61:$I$81,2,0)</f>
        <v>446.67</v>
      </c>
      <c r="AG91" s="13">
        <f>VLOOKUP(A91,'Données projet'!$A$61:$I$81,9,0)</f>
        <v>13.670000000000016</v>
      </c>
      <c r="AH91" s="13">
        <f t="array" ref="AH91">INDEX(AG:AG,MIN(IF(ISNUMBER(AG91:AG287),ROW(AG91:AG287),"")))</f>
        <v>13.670000000000016</v>
      </c>
      <c r="AI91" s="14">
        <f>IF('Données projet'!$A$62&gt;35,AI90+AH91-AQ90,IF(A91&lt;'Données projet'!$A$62,$AF$205^A91,IF(A91='Données projet'!$A$62,'Données projet'!$B$62,AI90+AH91-AQ90)))</f>
        <v>446.66999999999973</v>
      </c>
      <c r="AJ91" s="14">
        <f>AI91*VLOOKUP('Données projet'!$B$10,Paramètres!$A$1:$I$89,3,0)*VLOOKUP('Données projet'!$B$10,Paramètres!$A$1:$I$89,5,0)</f>
        <v>209.04155999999989</v>
      </c>
      <c r="AK91" s="14">
        <f t="shared" si="89"/>
        <v>51.72608671626201</v>
      </c>
      <c r="AL91" s="22">
        <f t="shared" si="58"/>
        <v>454.17031803082273</v>
      </c>
      <c r="AM91" s="62">
        <f t="shared" si="59"/>
        <v>747.50365136415598</v>
      </c>
      <c r="AN91" s="62">
        <f ca="1">AVERAGE(OFFSET($AM$3,0,0,'Données projet'!$E$10+1,1))-AVERAGE(OFFSET($H$3,0,0,'Données projet'!$E$10+1,1))</f>
        <v>199.36309817800088</v>
      </c>
      <c r="AO91" s="62">
        <f t="shared" si="90"/>
        <v>151.91120569748284</v>
      </c>
      <c r="AP91" s="16">
        <f>IF(ISNA(VLOOKUP(A91,'Données projet'!$A$61:$I$81,3,0)),0,VLOOKUP(A91,'Données projet'!$A$61:$I$81,3,0))</f>
        <v>16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-1.7053025658242404E-13</v>
      </c>
      <c r="BE91" s="14">
        <f>BD91*VLOOKUP('Données projet'!$B$11,Paramètres!$A$1:$I$89,3,0)*VLOOKUP('Données projet'!$B$11,Paramètres!$A$1:$I$89,5,0)</f>
        <v>-1.0197709343628959E-13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140.16059323013189</v>
      </c>
      <c r="BJ91" s="62">
        <f t="shared" si="92"/>
        <v>219.0992563594865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3.4237059497442468</v>
      </c>
      <c r="BQ91" s="23">
        <f>EXP(-LN(2)/25)*BQ90+(1-EXP(-LN(2)/25))/(LN(2)/25)*Calculateur!BL91*Calculateur!BN91*VLOOKUP('Données projet'!$B$11,Paramètres!$A$1:$I$89,3,0)*0.475*44/12</f>
        <v>1.8150040847090214</v>
      </c>
      <c r="BR91" s="23">
        <f>EXP(-LN(2)/2)*BR90+(1-EXP(-LN(2)/2))/(LN(2)/2)*BL91*BO91*VLOOKUP('Données projet'!$B$11,Paramètres!$A$1:$I$89,3,0)*0.475*44/12</f>
        <v>2.0150817202387797E-8</v>
      </c>
      <c r="BS91" s="24">
        <f t="shared" si="63"/>
        <v>5.238710054604085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2">
        <f t="shared" si="86"/>
        <v>18.490286358600777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70">
        <f t="shared" si="56"/>
        <v>439.1893587412294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6.3550942286383367E-14</v>
      </c>
      <c r="P92" s="14">
        <f t="shared" si="87"/>
        <v>1.0064464192543978E-12</v>
      </c>
      <c r="Q92" s="22">
        <f t="shared" si="54"/>
        <v>1.8635787380168604E-12</v>
      </c>
      <c r="R92" s="62">
        <f t="shared" si="55"/>
        <v>293.33333333333519</v>
      </c>
      <c r="S92" s="62">
        <f ca="1">AVERAGE(OFFSET($R$3,0,0,'Données projet'!$E$9+1,1))-AVERAGE(OFFSET($H$3,0,0,'Données projet'!$E$9+1,1))</f>
        <v>262.38865315945856</v>
      </c>
      <c r="T92" s="62">
        <f t="shared" si="88"/>
        <v>268.78503805457069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6.5910028372061582</v>
      </c>
      <c r="AA92" s="23">
        <f>EXP(-LN(2)/25)*AA91+(1-EXP(-LN(2)/25))/(LN(2)/25)*Calculateur!V92*Calculateur!X92*VLOOKUP('Données projet'!$B$9,Paramètres!$A$1:$I$89,3,0)*0.475*44/12</f>
        <v>0.39818596492469388</v>
      </c>
      <c r="AB92" s="23">
        <f>EXP(-LN(2)/2)*AB91+(1-EXP(-LN(2)/2))/(LN(2)/2)*V92*Y92*VLOOKUP('Données projet'!$B$9,Paramètres!$A$1:$I$89,3,0)*0.475*44/12</f>
        <v>6.8256166546011885E-9</v>
      </c>
      <c r="AC92" s="24">
        <f t="shared" si="57"/>
        <v>6.9891888089564684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13.046666666666672</v>
      </c>
      <c r="AI92" s="14">
        <f>IF('Données projet'!$A$62&gt;35,AI91+AH92-AQ91,IF(A92&lt;'Données projet'!$A$62,$AF$205^A92,IF(A92='Données projet'!$A$62,'Données projet'!$B$62,AI91+AH92-AQ91)))</f>
        <v>459.71666666666641</v>
      </c>
      <c r="AJ92" s="14">
        <f>AI92*VLOOKUP('Données projet'!$B$10,Paramètres!$A$1:$I$89,3,0)*VLOOKUP('Données projet'!$B$10,Paramètres!$A$1:$I$89,5,0)</f>
        <v>215.14739999999989</v>
      </c>
      <c r="AK92" s="14">
        <f t="shared" si="89"/>
        <v>53.058831902483895</v>
      </c>
      <c r="AL92" s="22">
        <f t="shared" si="58"/>
        <v>467.12585389682596</v>
      </c>
      <c r="AM92" s="62">
        <f t="shared" si="59"/>
        <v>760.45918723015927</v>
      </c>
      <c r="AN92" s="62">
        <f ca="1">AVERAGE(OFFSET($AM$3,0,0,'Données projet'!$E$10+1,1))-AVERAGE(OFFSET($H$3,0,0,'Données projet'!$E$10+1,1))</f>
        <v>199.36309817800088</v>
      </c>
      <c r="AO92" s="62">
        <f t="shared" si="90"/>
        <v>151.91120569748284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-1.7053025658242404E-13</v>
      </c>
      <c r="BE92" s="14">
        <f>BD92*VLOOKUP('Données projet'!$B$11,Paramètres!$A$1:$I$89,3,0)*VLOOKUP('Données projet'!$B$11,Paramètres!$A$1:$I$89,5,0)</f>
        <v>-1.0197709343628959E-13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140.16059323013189</v>
      </c>
      <c r="BJ92" s="62">
        <f t="shared" si="92"/>
        <v>219.0992563594865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3.3565691643241933</v>
      </c>
      <c r="BQ92" s="23">
        <f>EXP(-LN(2)/25)*BQ91+(1-EXP(-LN(2)/25))/(LN(2)/25)*Calculateur!BL92*Calculateur!BN92*VLOOKUP('Données projet'!$B$11,Paramètres!$A$1:$I$89,3,0)*0.475*44/12</f>
        <v>1.7653727025657366</v>
      </c>
      <c r="BR92" s="23">
        <f>EXP(-LN(2)/2)*BR91+(1-EXP(-LN(2)/2))/(LN(2)/2)*BL92*BO92*VLOOKUP('Données projet'!$B$11,Paramètres!$A$1:$I$89,3,0)*0.475*44/12</f>
        <v>1.4248779490258946E-8</v>
      </c>
      <c r="BS92" s="24">
        <f t="shared" si="63"/>
        <v>5.1219418811387101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2">
        <f t="shared" si="86"/>
        <v>18.673740038079401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70">
        <f t="shared" si="56"/>
        <v>440.78586389965466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6.3550942286383367E-14</v>
      </c>
      <c r="P93" s="14">
        <f t="shared" si="87"/>
        <v>1.0064464192543978E-12</v>
      </c>
      <c r="Q93" s="22">
        <f t="shared" si="54"/>
        <v>1.8635787380168604E-12</v>
      </c>
      <c r="R93" s="62">
        <f t="shared" si="55"/>
        <v>293.33333333333519</v>
      </c>
      <c r="S93" s="62">
        <f ca="1">AVERAGE(OFFSET($R$3,0,0,'Données projet'!$E$9+1,1))-AVERAGE(OFFSET($H$3,0,0,'Données projet'!$E$9+1,1))</f>
        <v>262.38865315945856</v>
      </c>
      <c r="T93" s="62">
        <f t="shared" si="88"/>
        <v>268.78503805457069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6.4617572916833224</v>
      </c>
      <c r="AA93" s="23">
        <f>EXP(-LN(2)/25)*AA92+(1-EXP(-LN(2)/25))/(LN(2)/25)*Calculateur!V93*Calculateur!X93*VLOOKUP('Données projet'!$B$9,Paramètres!$A$1:$I$89,3,0)*0.475*44/12</f>
        <v>0.3872975487741383</v>
      </c>
      <c r="AB93" s="23">
        <f>EXP(-LN(2)/2)*AB92+(1-EXP(-LN(2)/2))/(LN(2)/2)*V93*Y93*VLOOKUP('Données projet'!$B$9,Paramètres!$A$1:$I$89,3,0)*0.475*44/12</f>
        <v>4.826439822248337E-9</v>
      </c>
      <c r="AC93" s="24">
        <f t="shared" si="57"/>
        <v>6.8490548452839004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13.046666666666672</v>
      </c>
      <c r="AI93" s="14">
        <f>IF('Données projet'!$A$62&gt;35,AI92+AH93-AQ92,IF(A93&lt;'Données projet'!$A$62,$AF$205^A93,IF(A93='Données projet'!$A$62,'Données projet'!$B$62,AI92+AH93-AQ92)))</f>
        <v>472.76333333333309</v>
      </c>
      <c r="AJ93" s="14">
        <f>AI93*VLOOKUP('Données projet'!$B$10,Paramètres!$A$1:$I$89,3,0)*VLOOKUP('Données projet'!$B$10,Paramètres!$A$1:$I$89,5,0)</f>
        <v>221.25323999999989</v>
      </c>
      <c r="AK93" s="14">
        <f t="shared" si="89"/>
        <v>54.387181127035049</v>
      </c>
      <c r="AL93" s="22">
        <f t="shared" si="58"/>
        <v>480.07373346291911</v>
      </c>
      <c r="AM93" s="62">
        <f t="shared" si="59"/>
        <v>773.40706679625237</v>
      </c>
      <c r="AN93" s="62">
        <f ca="1">AVERAGE(OFFSET($AM$3,0,0,'Données projet'!$E$10+1,1))-AVERAGE(OFFSET($H$3,0,0,'Données projet'!$E$10+1,1))</f>
        <v>199.36309817800088</v>
      </c>
      <c r="AO93" s="62">
        <f t="shared" si="90"/>
        <v>151.91120569748284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-1.7053025658242404E-13</v>
      </c>
      <c r="BE93" s="14">
        <f>BD93*VLOOKUP('Données projet'!$B$11,Paramètres!$A$1:$I$89,3,0)*VLOOKUP('Données projet'!$B$11,Paramètres!$A$1:$I$89,5,0)</f>
        <v>-1.0197709343628959E-13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140.16059323013189</v>
      </c>
      <c r="BJ93" s="62">
        <f t="shared" si="92"/>
        <v>219.0992563594865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3.2907488903168316</v>
      </c>
      <c r="BQ93" s="23">
        <f>EXP(-LN(2)/25)*BQ92+(1-EXP(-LN(2)/25))/(LN(2)/25)*Calculateur!BL93*Calculateur!BN93*VLOOKUP('Données projet'!$B$11,Paramètres!$A$1:$I$89,3,0)*0.475*44/12</f>
        <v>1.7170984931771609</v>
      </c>
      <c r="BR93" s="23">
        <f>EXP(-LN(2)/2)*BR92+(1-EXP(-LN(2)/2))/(LN(2)/2)*BL93*BO93*VLOOKUP('Données projet'!$B$11,Paramètres!$A$1:$I$89,3,0)*0.475*44/12</f>
        <v>1.0075408601193898E-8</v>
      </c>
      <c r="BS93" s="24">
        <f t="shared" si="63"/>
        <v>5.007847393569401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2">
        <f t="shared" si="86"/>
        <v>18.85695659900588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70">
        <f t="shared" si="56"/>
        <v>442.38195607660163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6.3550942286383367E-14</v>
      </c>
      <c r="P94" s="14">
        <f t="shared" si="87"/>
        <v>1.0064464192543978E-12</v>
      </c>
      <c r="Q94" s="22">
        <f t="shared" si="54"/>
        <v>1.8635787380168604E-12</v>
      </c>
      <c r="R94" s="62">
        <f t="shared" si="55"/>
        <v>293.33333333333519</v>
      </c>
      <c r="S94" s="62">
        <f ca="1">AVERAGE(OFFSET($R$3,0,0,'Données projet'!$E$9+1,1))-AVERAGE(OFFSET($H$3,0,0,'Données projet'!$E$9+1,1))</f>
        <v>262.38865315945856</v>
      </c>
      <c r="T94" s="62">
        <f t="shared" si="88"/>
        <v>268.78503805457069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6.3350461724761908</v>
      </c>
      <c r="AA94" s="23">
        <f>EXP(-LN(2)/25)*AA93+(1-EXP(-LN(2)/25))/(LN(2)/25)*Calculateur!V94*Calculateur!X94*VLOOKUP('Données projet'!$B$9,Paramètres!$A$1:$I$89,3,0)*0.475*44/12</f>
        <v>0.37670687693581656</v>
      </c>
      <c r="AB94" s="23">
        <f>EXP(-LN(2)/2)*AB93+(1-EXP(-LN(2)/2))/(LN(2)/2)*V94*Y94*VLOOKUP('Données projet'!$B$9,Paramètres!$A$1:$I$89,3,0)*0.475*44/12</f>
        <v>3.4128083273005942E-9</v>
      </c>
      <c r="AC94" s="24">
        <f t="shared" si="57"/>
        <v>6.7117530528248164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13.046666666666672</v>
      </c>
      <c r="AI94" s="14">
        <f>IF('Données projet'!$A$62&gt;35,AI93+AH94-AQ93,IF(A94&lt;'Données projet'!$A$62,$AF$205^A94,IF(A94='Données projet'!$A$62,'Données projet'!$B$62,AI93+AH94-AQ93)))</f>
        <v>485.80999999999977</v>
      </c>
      <c r="AJ94" s="14">
        <f>AI94*VLOOKUP('Données projet'!$B$10,Paramètres!$A$1:$I$89,3,0)*VLOOKUP('Données projet'!$B$10,Paramètres!$A$1:$I$89,5,0)</f>
        <v>227.35907999999992</v>
      </c>
      <c r="AK94" s="14">
        <f t="shared" si="89"/>
        <v>55.711269641958147</v>
      </c>
      <c r="AL94" s="22">
        <f t="shared" si="58"/>
        <v>493.01419229307686</v>
      </c>
      <c r="AM94" s="62">
        <f t="shared" si="59"/>
        <v>786.34752562641017</v>
      </c>
      <c r="AN94" s="62">
        <f ca="1">AVERAGE(OFFSET($AM$3,0,0,'Données projet'!$E$10+1,1))-AVERAGE(OFFSET($H$3,0,0,'Données projet'!$E$10+1,1))</f>
        <v>199.36309817800088</v>
      </c>
      <c r="AO94" s="62">
        <f t="shared" si="90"/>
        <v>151.91120569748284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-1.7053025658242404E-13</v>
      </c>
      <c r="BE94" s="14">
        <f>BD94*VLOOKUP('Données projet'!$B$11,Paramètres!$A$1:$I$89,3,0)*VLOOKUP('Données projet'!$B$11,Paramètres!$A$1:$I$89,5,0)</f>
        <v>-1.0197709343628959E-13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140.16059323013189</v>
      </c>
      <c r="BJ94" s="62">
        <f t="shared" si="92"/>
        <v>219.0992563594865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3.2262193117363513</v>
      </c>
      <c r="BQ94" s="23">
        <f>EXP(-LN(2)/25)*BQ93+(1-EXP(-LN(2)/25))/(LN(2)/25)*Calculateur!BL94*Calculateur!BN94*VLOOKUP('Données projet'!$B$11,Paramètres!$A$1:$I$89,3,0)*0.475*44/12</f>
        <v>1.6701443445829462</v>
      </c>
      <c r="BR94" s="23">
        <f>EXP(-LN(2)/2)*BR93+(1-EXP(-LN(2)/2))/(LN(2)/2)*BL94*BO94*VLOOKUP('Données projet'!$B$11,Paramètres!$A$1:$I$89,3,0)*0.475*44/12</f>
        <v>7.1243897451294728E-9</v>
      </c>
      <c r="BS94" s="24">
        <f t="shared" si="63"/>
        <v>4.8963636634436876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2">
        <f t="shared" si="86"/>
        <v>19.03993894863974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70">
        <f t="shared" si="56"/>
        <v>443.97764033554722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6.3550942286383367E-14</v>
      </c>
      <c r="P95" s="14">
        <f t="shared" si="87"/>
        <v>1.0064464192543978E-12</v>
      </c>
      <c r="Q95" s="22">
        <f t="shared" si="54"/>
        <v>1.8635787380168604E-12</v>
      </c>
      <c r="R95" s="62">
        <f t="shared" si="55"/>
        <v>293.33333333333519</v>
      </c>
      <c r="S95" s="62">
        <f ca="1">AVERAGE(OFFSET($R$3,0,0,'Données projet'!$E$9+1,1))-AVERAGE(OFFSET($H$3,0,0,'Données projet'!$E$9+1,1))</f>
        <v>262.38865315945856</v>
      </c>
      <c r="T95" s="62">
        <f t="shared" si="88"/>
        <v>268.78503805457069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6.2108197810305601</v>
      </c>
      <c r="AA95" s="23">
        <f>EXP(-LN(2)/25)*AA94+(1-EXP(-LN(2)/25))/(LN(2)/25)*Calculateur!V95*Calculateur!X95*VLOOKUP('Données projet'!$B$9,Paramètres!$A$1:$I$89,3,0)*0.475*44/12</f>
        <v>0.36640580757585295</v>
      </c>
      <c r="AB95" s="23">
        <f>EXP(-LN(2)/2)*AB94+(1-EXP(-LN(2)/2))/(LN(2)/2)*V95*Y95*VLOOKUP('Données projet'!$B$9,Paramètres!$A$1:$I$89,3,0)*0.475*44/12</f>
        <v>2.4132199111241685E-9</v>
      </c>
      <c r="AC95" s="24">
        <f t="shared" si="57"/>
        <v>6.5772255910196327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13.046666666666672</v>
      </c>
      <c r="AI95" s="14">
        <f>IF('Données projet'!$A$62&gt;35,AI94+AH95-AQ94,IF(A95&lt;'Données projet'!$A$62,$AF$205^A95,IF(A95='Données projet'!$A$62,'Données projet'!$B$62,AI94+AH95-AQ94)))</f>
        <v>498.85666666666646</v>
      </c>
      <c r="AJ95" s="14">
        <f>AI95*VLOOKUP('Données projet'!$B$10,Paramètres!$A$1:$I$89,3,0)*VLOOKUP('Données projet'!$B$10,Paramètres!$A$1:$I$89,5,0)</f>
        <v>233.46491999999989</v>
      </c>
      <c r="AK95" s="14">
        <f t="shared" si="89"/>
        <v>57.031225021195233</v>
      </c>
      <c r="AL95" s="22">
        <f t="shared" si="58"/>
        <v>505.94745257858148</v>
      </c>
      <c r="AM95" s="62">
        <f t="shared" si="59"/>
        <v>799.28078591191479</v>
      </c>
      <c r="AN95" s="62">
        <f ca="1">AVERAGE(OFFSET($AM$3,0,0,'Données projet'!$E$10+1,1))-AVERAGE(OFFSET($H$3,0,0,'Données projet'!$E$10+1,1))</f>
        <v>199.36309817800088</v>
      </c>
      <c r="AO95" s="62">
        <f t="shared" si="90"/>
        <v>151.91120569748284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-1.7053025658242404E-13</v>
      </c>
      <c r="BE95" s="14">
        <f>BD95*VLOOKUP('Données projet'!$B$11,Paramètres!$A$1:$I$89,3,0)*VLOOKUP('Données projet'!$B$11,Paramètres!$A$1:$I$89,5,0)</f>
        <v>-1.0197709343628959E-13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140.16059323013189</v>
      </c>
      <c r="BJ95" s="62">
        <f t="shared" si="92"/>
        <v>219.0992563594865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3.1629551188326777</v>
      </c>
      <c r="BQ95" s="23">
        <f>EXP(-LN(2)/25)*BQ94+(1-EXP(-LN(2)/25))/(LN(2)/25)*Calculateur!BL95*Calculateur!BN95*VLOOKUP('Données projet'!$B$11,Paramètres!$A$1:$I$89,3,0)*0.475*44/12</f>
        <v>1.6244741596512517</v>
      </c>
      <c r="BR95" s="23">
        <f>EXP(-LN(2)/2)*BR94+(1-EXP(-LN(2)/2))/(LN(2)/2)*BL95*BO95*VLOOKUP('Données projet'!$B$11,Paramètres!$A$1:$I$89,3,0)*0.475*44/12</f>
        <v>5.0377043005969492E-9</v>
      </c>
      <c r="BS95" s="24">
        <f t="shared" si="63"/>
        <v>4.7874292835216341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2">
        <f t="shared" si="86"/>
        <v>19.222689927399379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70">
        <f t="shared" si="56"/>
        <v>445.57292162355361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6.3550942286383367E-14</v>
      </c>
      <c r="P96" s="14">
        <f t="shared" si="87"/>
        <v>1.0064464192543978E-12</v>
      </c>
      <c r="Q96" s="22">
        <f t="shared" si="54"/>
        <v>1.8635787380168604E-12</v>
      </c>
      <c r="R96" s="62">
        <f t="shared" si="55"/>
        <v>293.33333333333519</v>
      </c>
      <c r="S96" s="62">
        <f ca="1">AVERAGE(OFFSET($R$3,0,0,'Données projet'!$E$9+1,1))-AVERAGE(OFFSET($H$3,0,0,'Données projet'!$E$9+1,1))</f>
        <v>262.38865315945856</v>
      </c>
      <c r="T96" s="62">
        <f t="shared" si="88"/>
        <v>268.78503805457069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6.089029393350561</v>
      </c>
      <c r="AA96" s="23">
        <f>EXP(-LN(2)/25)*AA95+(1-EXP(-LN(2)/25))/(LN(2)/25)*Calculateur!V96*Calculateur!X96*VLOOKUP('Données projet'!$B$9,Paramètres!$A$1:$I$89,3,0)*0.475*44/12</f>
        <v>0.35638642149924726</v>
      </c>
      <c r="AB96" s="23">
        <f>EXP(-LN(2)/2)*AB95+(1-EXP(-LN(2)/2))/(LN(2)/2)*V96*Y96*VLOOKUP('Données projet'!$B$9,Paramètres!$A$1:$I$89,3,0)*0.475*44/12</f>
        <v>1.7064041636502971E-9</v>
      </c>
      <c r="AC96" s="24">
        <f t="shared" si="57"/>
        <v>6.4454158165562125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13.046666666666672</v>
      </c>
      <c r="AI96" s="14">
        <f>IF('Données projet'!$A$62&gt;35,AI95+AH96-AQ95,IF(A96&lt;'Données projet'!$A$62,$AF$205^A96,IF(A96='Données projet'!$A$62,'Données projet'!$B$62,AI95+AH96-AQ95)))</f>
        <v>511.90333333333314</v>
      </c>
      <c r="AJ96" s="14">
        <f>AI96*VLOOKUP('Données projet'!$B$10,Paramètres!$A$1:$I$89,3,0)*VLOOKUP('Données projet'!$B$10,Paramètres!$A$1:$I$89,5,0)</f>
        <v>239.57075999999989</v>
      </c>
      <c r="AK96" s="14">
        <f t="shared" si="89"/>
        <v>58.347167785717573</v>
      </c>
      <c r="AL96" s="22">
        <f t="shared" si="58"/>
        <v>518.87372422679118</v>
      </c>
      <c r="AM96" s="62">
        <f t="shared" si="59"/>
        <v>812.20705756012444</v>
      </c>
      <c r="AN96" s="62">
        <f ca="1">AVERAGE(OFFSET($AM$3,0,0,'Données projet'!$E$10+1,1))-AVERAGE(OFFSET($H$3,0,0,'Données projet'!$E$10+1,1))</f>
        <v>199.36309817800088</v>
      </c>
      <c r="AO96" s="62">
        <f t="shared" si="90"/>
        <v>151.91120569748284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-1.7053025658242404E-13</v>
      </c>
      <c r="BE96" s="14">
        <f>BD96*VLOOKUP('Données projet'!$B$11,Paramètres!$A$1:$I$89,3,0)*VLOOKUP('Données projet'!$B$11,Paramètres!$A$1:$I$89,5,0)</f>
        <v>-1.0197709343628959E-13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140.16059323013189</v>
      </c>
      <c r="BJ96" s="62">
        <f t="shared" si="92"/>
        <v>219.0992563594865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3.1009314981644973</v>
      </c>
      <c r="BQ96" s="23">
        <f>EXP(-LN(2)/25)*BQ95+(1-EXP(-LN(2)/25))/(LN(2)/25)*Calculateur!BL96*Calculateur!BN96*VLOOKUP('Données projet'!$B$11,Paramètres!$A$1:$I$89,3,0)*0.475*44/12</f>
        <v>1.5800528283282049</v>
      </c>
      <c r="BR96" s="23">
        <f>EXP(-LN(2)/2)*BR95+(1-EXP(-LN(2)/2))/(LN(2)/2)*BL96*BO96*VLOOKUP('Données projet'!$B$11,Paramètres!$A$1:$I$89,3,0)*0.475*44/12</f>
        <v>3.5621948725647364E-9</v>
      </c>
      <c r="BS96" s="24">
        <f t="shared" si="63"/>
        <v>4.6809843300548968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2">
        <f t="shared" si="86"/>
        <v>19.405212311100474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70">
        <f t="shared" si="56"/>
        <v>447.16780477516636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6.3550942286383367E-14</v>
      </c>
      <c r="P97" s="14">
        <f t="shared" si="87"/>
        <v>1.0064464192543978E-12</v>
      </c>
      <c r="Q97" s="22">
        <f t="shared" si="54"/>
        <v>1.8635787380168604E-12</v>
      </c>
      <c r="R97" s="62">
        <f t="shared" si="55"/>
        <v>293.33333333333519</v>
      </c>
      <c r="S97" s="62">
        <f ca="1">AVERAGE(OFFSET($R$3,0,0,'Données projet'!$E$9+1,1))-AVERAGE(OFFSET($H$3,0,0,'Données projet'!$E$9+1,1))</f>
        <v>262.38865315945856</v>
      </c>
      <c r="T97" s="62">
        <f t="shared" si="88"/>
        <v>268.78503805457069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5.9696272408881654</v>
      </c>
      <c r="AA97" s="23">
        <f>EXP(-LN(2)/25)*AA96+(1-EXP(-LN(2)/25))/(LN(2)/25)*Calculateur!V97*Calculateur!X97*VLOOKUP('Données projet'!$B$9,Paramètres!$A$1:$I$89,3,0)*0.475*44/12</f>
        <v>0.34664101606180298</v>
      </c>
      <c r="AB97" s="23">
        <f>EXP(-LN(2)/2)*AB96+(1-EXP(-LN(2)/2))/(LN(2)/2)*V97*Y97*VLOOKUP('Données projet'!$B$9,Paramètres!$A$1:$I$89,3,0)*0.475*44/12</f>
        <v>1.2066099555620843E-9</v>
      </c>
      <c r="AC97" s="24">
        <f t="shared" si="57"/>
        <v>6.3162682581565779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>
        <f>VLOOKUP(A97,'Données projet'!$A$61:$I$81,2,0)</f>
        <v>524.95000000000005</v>
      </c>
      <c r="AG97" s="13">
        <f>VLOOKUP(A97,'Données projet'!$A$61:$I$81,9,0)</f>
        <v>13.046666666666672</v>
      </c>
      <c r="AH97" s="13">
        <f t="array" ref="AH97">INDEX(AG:AG,MIN(IF(ISNUMBER(AG97:AG293),ROW(AG97:AG293),"")))</f>
        <v>13.046666666666672</v>
      </c>
      <c r="AI97" s="14">
        <f>IF('Données projet'!$A$62&gt;35,AI96+AH97-AQ96,IF(A97&lt;'Données projet'!$A$62,$AF$205^A97,IF(A97='Données projet'!$A$62,'Données projet'!$B$62,AI96+AH97-AQ96)))</f>
        <v>524.94999999999982</v>
      </c>
      <c r="AJ97" s="14">
        <f>AI97*VLOOKUP('Données projet'!$B$10,Paramètres!$A$1:$I$89,3,0)*VLOOKUP('Données projet'!$B$10,Paramètres!$A$1:$I$89,5,0)</f>
        <v>245.67659999999989</v>
      </c>
      <c r="AK97" s="14">
        <f t="shared" si="89"/>
        <v>59.659211963131973</v>
      </c>
      <c r="AL97" s="22">
        <f t="shared" si="58"/>
        <v>531.79320583578794</v>
      </c>
      <c r="AM97" s="62">
        <f t="shared" si="59"/>
        <v>825.12653916912132</v>
      </c>
      <c r="AN97" s="62">
        <f ca="1">AVERAGE(OFFSET($AM$3,0,0,'Données projet'!$E$10+1,1))-AVERAGE(OFFSET($H$3,0,0,'Données projet'!$E$10+1,1))</f>
        <v>199.36309817800088</v>
      </c>
      <c r="AO97" s="62">
        <f t="shared" si="90"/>
        <v>151.91120569748284</v>
      </c>
      <c r="AP97" s="16">
        <f>IF(ISNA(VLOOKUP(A97,'Données projet'!$A$61:$I$81,3,0)),0,VLOOKUP(A97,'Données projet'!$A$61:$I$81,3,0))</f>
        <v>17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-1.7053025658242404E-13</v>
      </c>
      <c r="BE97" s="14">
        <f>BD97*VLOOKUP('Données projet'!$B$11,Paramètres!$A$1:$I$89,3,0)*VLOOKUP('Données projet'!$B$11,Paramètres!$A$1:$I$89,5,0)</f>
        <v>-1.0197709343628959E-13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140.16059323013189</v>
      </c>
      <c r="BJ97" s="62">
        <f t="shared" si="92"/>
        <v>219.0992563594865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3.0401241228669469</v>
      </c>
      <c r="BQ97" s="23">
        <f>EXP(-LN(2)/25)*BQ96+(1-EXP(-LN(2)/25))/(LN(2)/25)*Calculateur!BL97*Calculateur!BN97*VLOOKUP('Données projet'!$B$11,Paramètres!$A$1:$I$89,3,0)*0.475*44/12</f>
        <v>1.5368462006462031</v>
      </c>
      <c r="BR97" s="23">
        <f>EXP(-LN(2)/2)*BR96+(1-EXP(-LN(2)/2))/(LN(2)/2)*BL97*BO97*VLOOKUP('Données projet'!$B$11,Paramètres!$A$1:$I$89,3,0)*0.475*44/12</f>
        <v>2.5188521502984746E-9</v>
      </c>
      <c r="BS97" s="24">
        <f t="shared" si="63"/>
        <v>4.5769703260320016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2">
        <f t="shared" si="86"/>
        <v>19.58750881309674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70">
        <f t="shared" si="56"/>
        <v>448.76229451614319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6.3550942286383367E-14</v>
      </c>
      <c r="P98" s="14">
        <f t="shared" si="87"/>
        <v>1.0064464192543978E-12</v>
      </c>
      <c r="Q98" s="22">
        <f t="shared" si="54"/>
        <v>1.8635787380168604E-12</v>
      </c>
      <c r="R98" s="62">
        <f t="shared" si="55"/>
        <v>293.33333333333519</v>
      </c>
      <c r="S98" s="62">
        <f ca="1">AVERAGE(OFFSET($R$3,0,0,'Données projet'!$E$9+1,1))-AVERAGE(OFFSET($H$3,0,0,'Données projet'!$E$9+1,1))</f>
        <v>262.38865315945856</v>
      </c>
      <c r="T98" s="62">
        <f t="shared" si="88"/>
        <v>268.78503805457069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5.8525664918074352</v>
      </c>
      <c r="AA98" s="23">
        <f>EXP(-LN(2)/25)*AA97+(1-EXP(-LN(2)/25))/(LN(2)/25)*Calculateur!V98*Calculateur!X98*VLOOKUP('Données projet'!$B$9,Paramètres!$A$1:$I$89,3,0)*0.475*44/12</f>
        <v>0.33716209924853419</v>
      </c>
      <c r="AB98" s="23">
        <f>EXP(-LN(2)/2)*AB97+(1-EXP(-LN(2)/2))/(LN(2)/2)*V98*Y98*VLOOKUP('Données projet'!$B$9,Paramètres!$A$1:$I$89,3,0)*0.475*44/12</f>
        <v>8.5320208182514856E-10</v>
      </c>
      <c r="AC98" s="24">
        <f t="shared" si="57"/>
        <v>6.1897285919091711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538.28</v>
      </c>
      <c r="AG98" s="13">
        <f>VLOOKUP(A98,'Données projet'!$A$61:$I$81,9,0)</f>
        <v>13.329999999999927</v>
      </c>
      <c r="AH98" s="13">
        <f t="array" ref="AH98">INDEX(AG:AG,MIN(IF(ISNUMBER(AG98:AG294),ROW(AG98:AG294),"")))</f>
        <v>13.329999999999927</v>
      </c>
      <c r="AI98" s="14">
        <f>IF('Données projet'!$A$62&gt;35,AI97+AH98-AQ97,IF(A98&lt;'Données projet'!$A$62,$AF$205^A98,IF(A98='Données projet'!$A$62,'Données projet'!$B$62,AI97+AH98-AQ97)))</f>
        <v>538.27999999999975</v>
      </c>
      <c r="AJ98" s="14">
        <f>AI98*VLOOKUP('Données projet'!$B$10,Paramètres!$A$1:$I$89,3,0)*VLOOKUP('Données projet'!$B$10,Paramètres!$A$1:$I$89,5,0)</f>
        <v>251.91503999999989</v>
      </c>
      <c r="AK98" s="14">
        <f t="shared" si="89"/>
        <v>60.995835543729605</v>
      </c>
      <c r="AL98" s="22">
        <f t="shared" si="58"/>
        <v>544.98644157199544</v>
      </c>
      <c r="AM98" s="62">
        <f t="shared" si="59"/>
        <v>838.31977490532881</v>
      </c>
      <c r="AN98" s="62">
        <f ca="1">AVERAGE(OFFSET($AM$3,0,0,'Données projet'!$E$10+1,1))-AVERAGE(OFFSET($H$3,0,0,'Données projet'!$E$10+1,1))</f>
        <v>199.36309817800088</v>
      </c>
      <c r="AO98" s="62">
        <f t="shared" si="90"/>
        <v>151.91120569748284</v>
      </c>
      <c r="AP98" s="16">
        <f>IF(ISNA(VLOOKUP(A98,'Données projet'!$A$61:$I$81,3,0)),0,VLOOKUP(A98,'Données projet'!$A$61:$I$81,3,0))</f>
        <v>18</v>
      </c>
      <c r="AQ98" s="16">
        <f>IF(ISNA(VLOOKUP(A98,'Données projet'!$A$61:$I$81,4,0)),0,VLOOKUP(A98,'Données projet'!$A$61:$I$81,4,0))</f>
        <v>268.81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-1.7053025658242404E-13</v>
      </c>
      <c r="BE98" s="14">
        <f>BD98*VLOOKUP('Données projet'!$B$11,Paramètres!$A$1:$I$89,3,0)*VLOOKUP('Données projet'!$B$11,Paramètres!$A$1:$I$89,5,0)</f>
        <v>-1.0197709343628959E-13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140.16059323013189</v>
      </c>
      <c r="BJ98" s="62">
        <f t="shared" si="92"/>
        <v>219.0992563594865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2.9805091431101447</v>
      </c>
      <c r="BQ98" s="23">
        <f>EXP(-LN(2)/25)*BQ97+(1-EXP(-LN(2)/25))/(LN(2)/25)*Calculateur!BL98*Calculateur!BN98*VLOOKUP('Données projet'!$B$11,Paramètres!$A$1:$I$89,3,0)*0.475*44/12</f>
        <v>1.4948210604703036</v>
      </c>
      <c r="BR98" s="23">
        <f>EXP(-LN(2)/2)*BR97+(1-EXP(-LN(2)/2))/(LN(2)/2)*BL98*BO98*VLOOKUP('Données projet'!$B$11,Paramètres!$A$1:$I$89,3,0)*0.475*44/12</f>
        <v>1.7810974362823682E-9</v>
      </c>
      <c r="BS98" s="24">
        <f t="shared" si="63"/>
        <v>4.4753302053615451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2">
        <f t="shared" si="86"/>
        <v>19.769582086327762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70">
        <f t="shared" si="56"/>
        <v>450.35639546702049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6.3550942286383367E-14</v>
      </c>
      <c r="P99" s="14">
        <f t="shared" si="87"/>
        <v>1.0064464192543978E-12</v>
      </c>
      <c r="Q99" s="22">
        <f t="shared" ref="Q99:Q130" si="107">(O99+P99)*0.475*44/12</f>
        <v>1.8635787380168604E-12</v>
      </c>
      <c r="R99" s="62">
        <f t="shared" si="55"/>
        <v>293.33333333333519</v>
      </c>
      <c r="S99" s="62">
        <f ca="1">AVERAGE(OFFSET($R$3,0,0,'Données projet'!$E$9+1,1))-AVERAGE(OFFSET($H$3,0,0,'Données projet'!$E$9+1,1))</f>
        <v>262.38865315945856</v>
      </c>
      <c r="T99" s="62">
        <f t="shared" si="88"/>
        <v>268.78503805457069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5.7378012326161718</v>
      </c>
      <c r="AA99" s="23">
        <f>EXP(-LN(2)/25)*AA98+(1-EXP(-LN(2)/25))/(LN(2)/25)*Calculateur!V99*Calculateur!X99*VLOOKUP('Données projet'!$B$9,Paramètres!$A$1:$I$89,3,0)*0.475*44/12</f>
        <v>0.32794238391399883</v>
      </c>
      <c r="AB99" s="23">
        <f>EXP(-LN(2)/2)*AB98+(1-EXP(-LN(2)/2))/(LN(2)/2)*V99*Y99*VLOOKUP('Données projet'!$B$9,Paramètres!$A$1:$I$89,3,0)*0.475*44/12</f>
        <v>6.0330497778104213E-10</v>
      </c>
      <c r="AC99" s="24">
        <f t="shared" si="57"/>
        <v>6.0657436171334753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>
        <f>VLOOKUP(A99,'Données projet'!$A$61:$I$81,2,0)</f>
        <v>280.02999999999997</v>
      </c>
      <c r="AG99" s="13">
        <f>VLOOKUP(A99,'Données projet'!$A$61:$I$81,9,0)</f>
        <v>10.560000000000002</v>
      </c>
      <c r="AH99" s="13">
        <f t="array" ref="AH99">INDEX(AG:AG,MIN(IF(ISNUMBER(AG99:AG295),ROW(AG99:AG295),"")))</f>
        <v>10.560000000000002</v>
      </c>
      <c r="AI99" s="14">
        <f>IF('Données projet'!$A$62&gt;35,AI98+AH99-AQ98,IF(A99&lt;'Données projet'!$A$62,$AF$205^A99,IF(A99='Données projet'!$A$62,'Données projet'!$B$62,AI98+AH99-AQ98)))</f>
        <v>280.02999999999969</v>
      </c>
      <c r="AJ99" s="14">
        <f>AI99*VLOOKUP('Données projet'!$B$10,Paramètres!$A$1:$I$89,3,0)*VLOOKUP('Données projet'!$B$10,Paramètres!$A$1:$I$89,5,0)</f>
        <v>131.05403999999984</v>
      </c>
      <c r="AK99" s="14">
        <f t="shared" si="89"/>
        <v>34.239802442901187</v>
      </c>
      <c r="AL99" s="22">
        <f t="shared" si="58"/>
        <v>287.88677558805261</v>
      </c>
      <c r="AM99" s="62">
        <f t="shared" si="59"/>
        <v>581.22010892138587</v>
      </c>
      <c r="AN99" s="62">
        <f ca="1">AVERAGE(OFFSET($AM$3,0,0,'Données projet'!$E$10+1,1))-AVERAGE(OFFSET($H$3,0,0,'Données projet'!$E$10+1,1))</f>
        <v>199.36309817800088</v>
      </c>
      <c r="AO99" s="62">
        <f t="shared" si="90"/>
        <v>151.91120569748284</v>
      </c>
      <c r="AP99" s="16">
        <f>IF(ISNA(VLOOKUP(A99,'Données projet'!$A$61:$I$81,3,0)),0,VLOOKUP(A99,'Données projet'!$A$61:$I$81,3,0))</f>
        <v>19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-1.7053025658242404E-13</v>
      </c>
      <c r="BE99" s="14">
        <f>BD99*VLOOKUP('Données projet'!$B$11,Paramètres!$A$1:$I$89,3,0)*VLOOKUP('Données projet'!$B$11,Paramètres!$A$1:$I$89,5,0)</f>
        <v>-1.0197709343628959E-13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140.16059323013189</v>
      </c>
      <c r="BJ99" s="62">
        <f t="shared" si="92"/>
        <v>219.0992563594865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2.9220631767448264</v>
      </c>
      <c r="BQ99" s="23">
        <f>EXP(-LN(2)/25)*BQ98+(1-EXP(-LN(2)/25))/(LN(2)/25)*Calculateur!BL99*Calculateur!BN99*VLOOKUP('Données projet'!$B$11,Paramètres!$A$1:$I$89,3,0)*0.475*44/12</f>
        <v>1.4539450999625201</v>
      </c>
      <c r="BR99" s="23">
        <f>EXP(-LN(2)/2)*BR98+(1-EXP(-LN(2)/2))/(LN(2)/2)*BL99*BO99*VLOOKUP('Données projet'!$B$11,Paramètres!$A$1:$I$89,3,0)*0.475*44/12</f>
        <v>1.2594260751492373E-9</v>
      </c>
      <c r="BS99" s="24">
        <f t="shared" si="63"/>
        <v>4.3760082779667728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2">
        <f t="shared" si="86"/>
        <v>19.951434725279164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70">
        <f t="shared" si="56"/>
        <v>451.95011214652754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6.3550942286383367E-14</v>
      </c>
      <c r="P100" s="14">
        <f t="shared" si="87"/>
        <v>1.0064464192543978E-12</v>
      </c>
      <c r="Q100" s="22">
        <f t="shared" si="107"/>
        <v>1.8635787380168604E-12</v>
      </c>
      <c r="R100" s="62">
        <f t="shared" si="55"/>
        <v>293.33333333333519</v>
      </c>
      <c r="S100" s="62">
        <f ca="1">AVERAGE(OFFSET($R$3,0,0,'Données projet'!$E$9+1,1))-AVERAGE(OFFSET($H$3,0,0,'Données projet'!$E$9+1,1))</f>
        <v>262.38865315945856</v>
      </c>
      <c r="T100" s="62">
        <f t="shared" si="88"/>
        <v>268.78503805457069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5.6252864501577529</v>
      </c>
      <c r="AA100" s="23">
        <f>EXP(-LN(2)/25)*AA99+(1-EXP(-LN(2)/25))/(LN(2)/25)*Calculateur!V100*Calculateur!X100*VLOOKUP('Données projet'!$B$9,Paramètres!$A$1:$I$89,3,0)*0.475*44/12</f>
        <v>0.31897478218013009</v>
      </c>
      <c r="AB100" s="23">
        <f>EXP(-LN(2)/2)*AB99+(1-EXP(-LN(2)/2))/(LN(2)/2)*V100*Y100*VLOOKUP('Données projet'!$B$9,Paramètres!$A$1:$I$89,3,0)*0.475*44/12</f>
        <v>4.2660104091257428E-10</v>
      </c>
      <c r="AC100" s="24">
        <f t="shared" si="57"/>
        <v>5.9442612327644841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8.516666666666671</v>
      </c>
      <c r="AI100" s="14">
        <f>IF('Données projet'!$A$62&gt;35,AI99+AH100-AQ99,IF(A100&lt;'Données projet'!$A$62,$AF$205^A100,IF(A100='Données projet'!$A$62,'Données projet'!$B$62,AI99+AH100-AQ99)))</f>
        <v>288.54666666666634</v>
      </c>
      <c r="AJ100" s="14">
        <f>AI100*VLOOKUP('Données projet'!$B$10,Paramètres!$A$1:$I$89,3,0)*VLOOKUP('Données projet'!$B$10,Paramètres!$A$1:$I$89,5,0)</f>
        <v>135.03983999999986</v>
      </c>
      <c r="AK100" s="14">
        <f t="shared" si="89"/>
        <v>35.158327939856818</v>
      </c>
      <c r="AL100" s="22">
        <f t="shared" si="58"/>
        <v>296.42847582858366</v>
      </c>
      <c r="AM100" s="62">
        <f t="shared" si="59"/>
        <v>589.76180916191697</v>
      </c>
      <c r="AN100" s="62">
        <f ca="1">AVERAGE(OFFSET($AM$3,0,0,'Données projet'!$E$10+1,1))-AVERAGE(OFFSET($H$3,0,0,'Données projet'!$E$10+1,1))</f>
        <v>199.36309817800088</v>
      </c>
      <c r="AO100" s="62">
        <f t="shared" si="90"/>
        <v>151.91120569748284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-1.7053025658242404E-13</v>
      </c>
      <c r="BE100" s="14">
        <f>BD100*VLOOKUP('Données projet'!$B$11,Paramètres!$A$1:$I$89,3,0)*VLOOKUP('Données projet'!$B$11,Paramètres!$A$1:$I$89,5,0)</f>
        <v>-1.0197709343628959E-13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140.16059323013189</v>
      </c>
      <c r="BJ100" s="62">
        <f t="shared" si="92"/>
        <v>219.0992563594865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2.8647633001314126</v>
      </c>
      <c r="BQ100" s="23">
        <f>EXP(-LN(2)/25)*BQ99+(1-EXP(-LN(2)/25))/(LN(2)/25)*Calculateur!BL100*Calculateur!BN100*VLOOKUP('Données projet'!$B$11,Paramètres!$A$1:$I$89,3,0)*0.475*44/12</f>
        <v>1.4141868947443952</v>
      </c>
      <c r="BR100" s="23">
        <f>EXP(-LN(2)/2)*BR99+(1-EXP(-LN(2)/2))/(LN(2)/2)*BL100*BO100*VLOOKUP('Données projet'!$B$11,Paramètres!$A$1:$I$89,3,0)*0.475*44/12</f>
        <v>8.905487181411841E-10</v>
      </c>
      <c r="BS100" s="24">
        <f t="shared" si="63"/>
        <v>4.2789501957663569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2">
        <f t="shared" si="86"/>
        <v>20.133069267859618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70">
        <f t="shared" si="56"/>
        <v>453.54344897485515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6.3550942286383367E-14</v>
      </c>
      <c r="P101" s="14">
        <f t="shared" si="87"/>
        <v>1.0064464192543978E-12</v>
      </c>
      <c r="Q101" s="22">
        <f t="shared" si="107"/>
        <v>1.8635787380168604E-12</v>
      </c>
      <c r="R101" s="62">
        <f t="shared" si="55"/>
        <v>293.33333333333519</v>
      </c>
      <c r="S101" s="62">
        <f ca="1">AVERAGE(OFFSET($R$3,0,0,'Données projet'!$E$9+1,1))-AVERAGE(OFFSET($H$3,0,0,'Données projet'!$E$9+1,1))</f>
        <v>262.38865315945856</v>
      </c>
      <c r="T101" s="62">
        <f t="shared" si="88"/>
        <v>268.78503805457069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5.5149780139561022</v>
      </c>
      <c r="AA101" s="23">
        <f>EXP(-LN(2)/25)*AA100+(1-EXP(-LN(2)/25))/(LN(2)/25)*Calculateur!V101*Calculateur!X101*VLOOKUP('Données projet'!$B$9,Paramètres!$A$1:$I$89,3,0)*0.475*44/12</f>
        <v>0.31025239998725967</v>
      </c>
      <c r="AB101" s="23">
        <f>EXP(-LN(2)/2)*AB100+(1-EXP(-LN(2)/2))/(LN(2)/2)*V101*Y101*VLOOKUP('Données projet'!$B$9,Paramètres!$A$1:$I$89,3,0)*0.475*44/12</f>
        <v>3.0165248889052106E-10</v>
      </c>
      <c r="AC101" s="24">
        <f t="shared" si="57"/>
        <v>5.8252304142450146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8.516666666666671</v>
      </c>
      <c r="AI101" s="14">
        <f>IF('Données projet'!$A$62&gt;35,AI100+AH101-AQ100,IF(A101&lt;'Données projet'!$A$62,$AF$205^A101,IF(A101='Données projet'!$A$62,'Données projet'!$B$62,AI100+AH101-AQ100)))</f>
        <v>297.06333333333299</v>
      </c>
      <c r="AJ101" s="14">
        <f>AI101*VLOOKUP('Données projet'!$B$10,Paramètres!$A$1:$I$89,3,0)*VLOOKUP('Données projet'!$B$10,Paramètres!$A$1:$I$89,5,0)</f>
        <v>139.02563999999984</v>
      </c>
      <c r="AK101" s="14">
        <f t="shared" si="89"/>
        <v>36.073702653091566</v>
      </c>
      <c r="AL101" s="22">
        <f t="shared" si="58"/>
        <v>304.9646884541342</v>
      </c>
      <c r="AM101" s="62">
        <f t="shared" si="59"/>
        <v>598.29802178746752</v>
      </c>
      <c r="AN101" s="62">
        <f ca="1">AVERAGE(OFFSET($AM$3,0,0,'Données projet'!$E$10+1,1))-AVERAGE(OFFSET($H$3,0,0,'Données projet'!$E$10+1,1))</f>
        <v>199.36309817800088</v>
      </c>
      <c r="AO101" s="62">
        <f t="shared" si="90"/>
        <v>151.91120569748284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-1.7053025658242404E-13</v>
      </c>
      <c r="BE101" s="14">
        <f>BD101*VLOOKUP('Données projet'!$B$11,Paramètres!$A$1:$I$89,3,0)*VLOOKUP('Données projet'!$B$11,Paramètres!$A$1:$I$89,5,0)</f>
        <v>-1.0197709343628959E-13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140.16059323013189</v>
      </c>
      <c r="BJ101" s="62">
        <f t="shared" si="92"/>
        <v>219.0992563594865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2.8085870391489136</v>
      </c>
      <c r="BQ101" s="23">
        <f>EXP(-LN(2)/25)*BQ100+(1-EXP(-LN(2)/25))/(LN(2)/25)*Calculateur!BL101*Calculateur!BN101*VLOOKUP('Données projet'!$B$11,Paramètres!$A$1:$I$89,3,0)*0.475*44/12</f>
        <v>1.375515879738753</v>
      </c>
      <c r="BR101" s="23">
        <f>EXP(-LN(2)/2)*BR100+(1-EXP(-LN(2)/2))/(LN(2)/2)*BL101*BO101*VLOOKUP('Données projet'!$B$11,Paramètres!$A$1:$I$89,3,0)*0.475*44/12</f>
        <v>6.2971303757461865E-10</v>
      </c>
      <c r="BS101" s="24">
        <f t="shared" si="63"/>
        <v>4.1841029195173798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2">
        <f t="shared" si="86"/>
        <v>20.314488197199012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70">
        <f t="shared" si="56"/>
        <v>455.13641027678796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6.3550942286383367E-14</v>
      </c>
      <c r="P102" s="14">
        <f t="shared" si="87"/>
        <v>1.0064464192543978E-12</v>
      </c>
      <c r="Q102" s="22">
        <f t="shared" si="107"/>
        <v>1.8635787380168604E-12</v>
      </c>
      <c r="R102" s="62">
        <f t="shared" si="55"/>
        <v>293.33333333333519</v>
      </c>
      <c r="S102" s="62">
        <f ca="1">AVERAGE(OFFSET($R$3,0,0,'Données projet'!$E$9+1,1))-AVERAGE(OFFSET($H$3,0,0,'Données projet'!$E$9+1,1))</f>
        <v>262.38865315945856</v>
      </c>
      <c r="T102" s="62">
        <f t="shared" si="88"/>
        <v>268.78503805457069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5.4068326589068638</v>
      </c>
      <c r="AA102" s="23">
        <f>EXP(-LN(2)/25)*AA101+(1-EXP(-LN(2)/25))/(LN(2)/25)*Calculateur!V102*Calculateur!X102*VLOOKUP('Données projet'!$B$9,Paramètres!$A$1:$I$89,3,0)*0.475*44/12</f>
        <v>0.30176853179414342</v>
      </c>
      <c r="AB102" s="23">
        <f>EXP(-LN(2)/2)*AB101+(1-EXP(-LN(2)/2))/(LN(2)/2)*V102*Y102*VLOOKUP('Données projet'!$B$9,Paramètres!$A$1:$I$89,3,0)*0.475*44/12</f>
        <v>2.1330052045628714E-10</v>
      </c>
      <c r="AC102" s="24">
        <f t="shared" si="57"/>
        <v>5.7086011909143073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8.516666666666671</v>
      </c>
      <c r="AI102" s="14">
        <f>IF('Données projet'!$A$62&gt;35,AI101+AH102-AQ101,IF(A102&lt;'Données projet'!$A$62,$AF$205^A102,IF(A102='Données projet'!$A$62,'Données projet'!$B$62,AI101+AH102-AQ101)))</f>
        <v>305.57999999999964</v>
      </c>
      <c r="AJ102" s="14">
        <f>AI102*VLOOKUP('Données projet'!$B$10,Paramètres!$A$1:$I$89,3,0)*VLOOKUP('Données projet'!$B$10,Paramètres!$A$1:$I$89,5,0)</f>
        <v>143.01143999999982</v>
      </c>
      <c r="AK102" s="14">
        <f t="shared" si="89"/>
        <v>36.986027288561935</v>
      </c>
      <c r="AL102" s="22">
        <f t="shared" si="58"/>
        <v>313.49558886091171</v>
      </c>
      <c r="AM102" s="62">
        <f t="shared" si="59"/>
        <v>606.82892219424502</v>
      </c>
      <c r="AN102" s="62">
        <f ca="1">AVERAGE(OFFSET($AM$3,0,0,'Données projet'!$E$10+1,1))-AVERAGE(OFFSET($H$3,0,0,'Données projet'!$E$10+1,1))</f>
        <v>199.36309817800088</v>
      </c>
      <c r="AO102" s="62">
        <f t="shared" si="90"/>
        <v>151.91120569748284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-1.7053025658242404E-13</v>
      </c>
      <c r="BE102" s="14">
        <f>BD102*VLOOKUP('Données projet'!$B$11,Paramètres!$A$1:$I$89,3,0)*VLOOKUP('Données projet'!$B$11,Paramètres!$A$1:$I$89,5,0)</f>
        <v>-1.0197709343628959E-13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140.16059323013189</v>
      </c>
      <c r="BJ102" s="62">
        <f t="shared" si="92"/>
        <v>219.0992563594865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2.7535123603801459</v>
      </c>
      <c r="BQ102" s="23">
        <f>EXP(-LN(2)/25)*BQ101+(1-EXP(-LN(2)/25))/(LN(2)/25)*Calculateur!BL102*Calculateur!BN102*VLOOKUP('Données projet'!$B$11,Paramètres!$A$1:$I$89,3,0)*0.475*44/12</f>
        <v>1.3379023256720606</v>
      </c>
      <c r="BR102" s="23">
        <f>EXP(-LN(2)/2)*BR101+(1-EXP(-LN(2)/2))/(LN(2)/2)*BL102*BO102*VLOOKUP('Données projet'!$B$11,Paramètres!$A$1:$I$89,3,0)*0.475*44/12</f>
        <v>4.4527435907059205E-10</v>
      </c>
      <c r="BS102" s="24">
        <f t="shared" si="63"/>
        <v>4.0914146864974805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2">
        <f t="shared" si="86"/>
        <v>20.495693943372022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70">
        <f t="shared" si="56"/>
        <v>456.72900028470588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6.3550942286383367E-14</v>
      </c>
      <c r="P103" s="14">
        <f t="shared" si="87"/>
        <v>1.0064464192543978E-12</v>
      </c>
      <c r="Q103" s="22">
        <f t="shared" si="107"/>
        <v>1.8635787380168604E-12</v>
      </c>
      <c r="R103" s="62">
        <f t="shared" si="55"/>
        <v>293.33333333333519</v>
      </c>
      <c r="S103" s="62">
        <f ca="1">AVERAGE(OFFSET($R$3,0,0,'Données projet'!$E$9+1,1))-AVERAGE(OFFSET($H$3,0,0,'Données projet'!$E$9+1,1))</f>
        <v>262.38865315945856</v>
      </c>
      <c r="T103" s="62">
        <f t="shared" si="88"/>
        <v>268.78503805457069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5.3008079683079874</v>
      </c>
      <c r="AA103" s="23">
        <f>EXP(-LN(2)/25)*AA102+(1-EXP(-LN(2)/25))/(LN(2)/25)*Calculateur!V103*Calculateur!X103*VLOOKUP('Données projet'!$B$9,Paramètres!$A$1:$I$89,3,0)*0.475*44/12</f>
        <v>0.29351665542291516</v>
      </c>
      <c r="AB103" s="23">
        <f>EXP(-LN(2)/2)*AB102+(1-EXP(-LN(2)/2))/(LN(2)/2)*V103*Y103*VLOOKUP('Données projet'!$B$9,Paramètres!$A$1:$I$89,3,0)*0.475*44/12</f>
        <v>1.5082624444526053E-10</v>
      </c>
      <c r="AC103" s="24">
        <f t="shared" si="57"/>
        <v>5.5943246238817288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8.516666666666671</v>
      </c>
      <c r="AI103" s="14">
        <f>IF('Données projet'!$A$62&gt;35,AI102+AH103-AQ102,IF(A103&lt;'Données projet'!$A$62,$AF$205^A103,IF(A103='Données projet'!$A$62,'Données projet'!$B$62,AI102+AH103-AQ102)))</f>
        <v>314.09666666666629</v>
      </c>
      <c r="AJ103" s="14">
        <f>AI103*VLOOKUP('Données projet'!$B$10,Paramètres!$A$1:$I$89,3,0)*VLOOKUP('Données projet'!$B$10,Paramètres!$A$1:$I$89,5,0)</f>
        <v>146.99723999999983</v>
      </c>
      <c r="AK103" s="14">
        <f t="shared" si="89"/>
        <v>37.895396619373926</v>
      </c>
      <c r="AL103" s="22">
        <f t="shared" si="58"/>
        <v>322.02134211207596</v>
      </c>
      <c r="AM103" s="62">
        <f t="shared" si="59"/>
        <v>615.35467544540927</v>
      </c>
      <c r="AN103" s="62">
        <f ca="1">AVERAGE(OFFSET($AM$3,0,0,'Données projet'!$E$10+1,1))-AVERAGE(OFFSET($H$3,0,0,'Données projet'!$E$10+1,1))</f>
        <v>199.36309817800088</v>
      </c>
      <c r="AO103" s="62">
        <f t="shared" si="90"/>
        <v>151.91120569748284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-1.7053025658242404E-13</v>
      </c>
      <c r="BE103" s="14">
        <f>BD103*VLOOKUP('Données projet'!$B$11,Paramètres!$A$1:$I$89,3,0)*VLOOKUP('Données projet'!$B$11,Paramètres!$A$1:$I$89,5,0)</f>
        <v>-1.0197709343628959E-13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140.16059323013189</v>
      </c>
      <c r="BJ103" s="62">
        <f t="shared" si="92"/>
        <v>219.0992563594865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2.6995176624697965</v>
      </c>
      <c r="BQ103" s="23">
        <f>EXP(-LN(2)/25)*BQ102+(1-EXP(-LN(2)/25))/(LN(2)/25)*Calculateur!BL103*Calculateur!BN103*VLOOKUP('Données projet'!$B$11,Paramètres!$A$1:$I$89,3,0)*0.475*44/12</f>
        <v>1.3013173162193326</v>
      </c>
      <c r="BR103" s="23">
        <f>EXP(-LN(2)/2)*BR102+(1-EXP(-LN(2)/2))/(LN(2)/2)*BL103*BO103*VLOOKUP('Données projet'!$B$11,Paramètres!$A$1:$I$89,3,0)*0.475*44/12</f>
        <v>3.1485651878730932E-10</v>
      </c>
      <c r="BS103" s="24">
        <f t="shared" si="63"/>
        <v>4.0008349790039857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2">
        <f t="shared" si="86"/>
        <v>20.676688885050506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70">
        <f t="shared" si="56"/>
        <v>458.32122314146261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6.3550942286383367E-14</v>
      </c>
      <c r="P104" s="14">
        <f t="shared" si="87"/>
        <v>1.0064464192543978E-12</v>
      </c>
      <c r="Q104" s="22">
        <f t="shared" si="107"/>
        <v>1.8635787380168604E-12</v>
      </c>
      <c r="R104" s="62">
        <f t="shared" si="55"/>
        <v>293.33333333333519</v>
      </c>
      <c r="S104" s="62">
        <f ca="1">AVERAGE(OFFSET($R$3,0,0,'Données projet'!$E$9+1,1))-AVERAGE(OFFSET($H$3,0,0,'Données projet'!$E$9+1,1))</f>
        <v>262.38865315945856</v>
      </c>
      <c r="T104" s="62">
        <f t="shared" si="88"/>
        <v>268.78503805457069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5.196862357223079</v>
      </c>
      <c r="AA104" s="23">
        <f>EXP(-LN(2)/25)*AA103+(1-EXP(-LN(2)/25))/(LN(2)/25)*Calculateur!V104*Calculateur!X104*VLOOKUP('Données projet'!$B$9,Paramètres!$A$1:$I$89,3,0)*0.475*44/12</f>
        <v>0.28549042704500549</v>
      </c>
      <c r="AB104" s="23">
        <f>EXP(-LN(2)/2)*AB103+(1-EXP(-LN(2)/2))/(LN(2)/2)*V104*Y104*VLOOKUP('Données projet'!$B$9,Paramètres!$A$1:$I$89,3,0)*0.475*44/12</f>
        <v>1.0665026022814357E-10</v>
      </c>
      <c r="AC104" s="24">
        <f t="shared" si="57"/>
        <v>5.4823527843747355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8.516666666666671</v>
      </c>
      <c r="AI104" s="14">
        <f>IF('Données projet'!$A$62&gt;35,AI103+AH104-AQ103,IF(A104&lt;'Données projet'!$A$62,$AF$205^A104,IF(A104='Données projet'!$A$62,'Données projet'!$B$62,AI103+AH104-AQ103)))</f>
        <v>322.61333333333295</v>
      </c>
      <c r="AJ104" s="14">
        <f>AI104*VLOOKUP('Données projet'!$B$10,Paramètres!$A$1:$I$89,3,0)*VLOOKUP('Données projet'!$B$10,Paramètres!$A$1:$I$89,5,0)</f>
        <v>150.98303999999982</v>
      </c>
      <c r="AK104" s="14">
        <f t="shared" si="89"/>
        <v>38.801899986570255</v>
      </c>
      <c r="AL104" s="22">
        <f t="shared" si="58"/>
        <v>330.54210380994283</v>
      </c>
      <c r="AM104" s="62">
        <f t="shared" si="59"/>
        <v>623.87543714327614</v>
      </c>
      <c r="AN104" s="62">
        <f ca="1">AVERAGE(OFFSET($AM$3,0,0,'Données projet'!$E$10+1,1))-AVERAGE(OFFSET($H$3,0,0,'Données projet'!$E$10+1,1))</f>
        <v>199.36309817800088</v>
      </c>
      <c r="AO104" s="62">
        <f t="shared" si="90"/>
        <v>151.91120569748284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-1.7053025658242404E-13</v>
      </c>
      <c r="BE104" s="14">
        <f>BD104*VLOOKUP('Données projet'!$B$11,Paramètres!$A$1:$I$89,3,0)*VLOOKUP('Données projet'!$B$11,Paramètres!$A$1:$I$89,5,0)</f>
        <v>-1.0197709343628959E-13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140.16059323013189</v>
      </c>
      <c r="BJ104" s="62">
        <f t="shared" si="92"/>
        <v>219.0992563594865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2.6465817676519552</v>
      </c>
      <c r="BQ104" s="23">
        <f>EXP(-LN(2)/25)*BQ103+(1-EXP(-LN(2)/25))/(LN(2)/25)*Calculateur!BL104*Calculateur!BN104*VLOOKUP('Données projet'!$B$11,Paramètres!$A$1:$I$89,3,0)*0.475*44/12</f>
        <v>1.2657327257740114</v>
      </c>
      <c r="BR104" s="23">
        <f>EXP(-LN(2)/2)*BR103+(1-EXP(-LN(2)/2))/(LN(2)/2)*BL104*BO104*VLOOKUP('Données projet'!$B$11,Paramètres!$A$1:$I$89,3,0)*0.475*44/12</f>
        <v>2.2263717953529603E-10</v>
      </c>
      <c r="BS104" s="24">
        <f t="shared" si="63"/>
        <v>3.9123144936486036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2">
        <f t="shared" si="86"/>
        <v>20.857475351088922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70">
        <f t="shared" si="56"/>
        <v>459.91308290314612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6.3550942286383367E-14</v>
      </c>
      <c r="P105" s="14">
        <f t="shared" si="87"/>
        <v>1.0064464192543978E-12</v>
      </c>
      <c r="Q105" s="22">
        <f t="shared" si="107"/>
        <v>1.8635787380168604E-12</v>
      </c>
      <c r="R105" s="62">
        <f t="shared" si="55"/>
        <v>293.33333333333519</v>
      </c>
      <c r="S105" s="62">
        <f ca="1">AVERAGE(OFFSET($R$3,0,0,'Données projet'!$E$9+1,1))-AVERAGE(OFFSET($H$3,0,0,'Données projet'!$E$9+1,1))</f>
        <v>262.38865315945856</v>
      </c>
      <c r="T105" s="62">
        <f t="shared" si="88"/>
        <v>268.78503805457069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5.0949550561709831</v>
      </c>
      <c r="AA105" s="23">
        <f>EXP(-LN(2)/25)*AA104+(1-EXP(-LN(2)/25))/(LN(2)/25)*Calculateur!V105*Calculateur!X105*VLOOKUP('Données projet'!$B$9,Paramètres!$A$1:$I$89,3,0)*0.475*44/12</f>
        <v>0.27768367630417073</v>
      </c>
      <c r="AB105" s="23">
        <f>EXP(-LN(2)/2)*AB104+(1-EXP(-LN(2)/2))/(LN(2)/2)*V105*Y105*VLOOKUP('Données projet'!$B$9,Paramètres!$A$1:$I$89,3,0)*0.475*44/12</f>
        <v>7.5413122222630266E-11</v>
      </c>
      <c r="AC105" s="24">
        <f t="shared" si="57"/>
        <v>5.3726387325505671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8.516666666666671</v>
      </c>
      <c r="AI105" s="14">
        <f>IF('Données projet'!$A$62&gt;35,AI104+AH105-AQ104,IF(A105&lt;'Données projet'!$A$62,$AF$205^A105,IF(A105='Données projet'!$A$62,'Données projet'!$B$62,AI104+AH105-AQ104)))</f>
        <v>331.1299999999996</v>
      </c>
      <c r="AJ105" s="14">
        <f>AI105*VLOOKUP('Données projet'!$B$10,Paramètres!$A$1:$I$89,3,0)*VLOOKUP('Données projet'!$B$10,Paramètres!$A$1:$I$89,5,0)</f>
        <v>154.9688399999998</v>
      </c>
      <c r="AK105" s="14">
        <f t="shared" si="89"/>
        <v>39.70562174554874</v>
      </c>
      <c r="AL105" s="22">
        <f t="shared" si="58"/>
        <v>339.05802087349701</v>
      </c>
      <c r="AM105" s="62">
        <f t="shared" si="59"/>
        <v>632.39135420683033</v>
      </c>
      <c r="AN105" s="62">
        <f ca="1">AVERAGE(OFFSET($AM$3,0,0,'Données projet'!$E$10+1,1))-AVERAGE(OFFSET($H$3,0,0,'Données projet'!$E$10+1,1))</f>
        <v>199.36309817800088</v>
      </c>
      <c r="AO105" s="62">
        <f t="shared" si="90"/>
        <v>151.91120569748284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-1.7053025658242404E-13</v>
      </c>
      <c r="BE105" s="14">
        <f>BD105*VLOOKUP('Données projet'!$B$11,Paramètres!$A$1:$I$89,3,0)*VLOOKUP('Données projet'!$B$11,Paramètres!$A$1:$I$89,5,0)</f>
        <v>-1.0197709343628959E-13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140.16059323013189</v>
      </c>
      <c r="BJ105" s="62">
        <f t="shared" si="92"/>
        <v>219.0992563594865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2.594683913443784</v>
      </c>
      <c r="BQ105" s="23">
        <f>EXP(-LN(2)/25)*BQ104+(1-EXP(-LN(2)/25))/(LN(2)/25)*Calculateur!BL105*Calculateur!BN105*VLOOKUP('Données projet'!$B$11,Paramètres!$A$1:$I$89,3,0)*0.475*44/12</f>
        <v>1.2311211978257299</v>
      </c>
      <c r="BR105" s="23">
        <f>EXP(-LN(2)/2)*BR104+(1-EXP(-LN(2)/2))/(LN(2)/2)*BL105*BO105*VLOOKUP('Données projet'!$B$11,Paramètres!$A$1:$I$89,3,0)*0.475*44/12</f>
        <v>1.5742825939365466E-10</v>
      </c>
      <c r="BS105" s="24">
        <f t="shared" si="63"/>
        <v>3.8258051114269422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2">
        <f t="shared" si="86"/>
        <v>21.038055622045484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70">
        <f t="shared" si="56"/>
        <v>461.50458354172883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6.3550942286383367E-14</v>
      </c>
      <c r="P106" s="14">
        <f t="shared" si="87"/>
        <v>1.0064464192543978E-12</v>
      </c>
      <c r="Q106" s="22">
        <f t="shared" si="107"/>
        <v>1.8635787380168604E-12</v>
      </c>
      <c r="R106" s="62">
        <f t="shared" si="55"/>
        <v>293.33333333333519</v>
      </c>
      <c r="S106" s="62">
        <f ca="1">AVERAGE(OFFSET($R$3,0,0,'Données projet'!$E$9+1,1))-AVERAGE(OFFSET($H$3,0,0,'Données projet'!$E$9+1,1))</f>
        <v>262.38865315945856</v>
      </c>
      <c r="T106" s="62">
        <f t="shared" si="88"/>
        <v>268.78503805457069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4.9950460951352031</v>
      </c>
      <c r="AA106" s="23">
        <f>EXP(-LN(2)/25)*AA105+(1-EXP(-LN(2)/25))/(LN(2)/25)*Calculateur!V106*Calculateur!X106*VLOOKUP('Données projet'!$B$9,Paramètres!$A$1:$I$89,3,0)*0.475*44/12</f>
        <v>0.27009040157288328</v>
      </c>
      <c r="AB106" s="23">
        <f>EXP(-LN(2)/2)*AB105+(1-EXP(-LN(2)/2))/(LN(2)/2)*V106*Y106*VLOOKUP('Données projet'!$B$9,Paramètres!$A$1:$I$89,3,0)*0.475*44/12</f>
        <v>5.3325130114071785E-11</v>
      </c>
      <c r="AC106" s="24">
        <f t="shared" si="57"/>
        <v>5.2651364967614116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8.516666666666671</v>
      </c>
      <c r="AI106" s="14">
        <f>IF('Données projet'!$A$62&gt;35,AI105+AH106-AQ105,IF(A106&lt;'Données projet'!$A$62,$AF$205^A106,IF(A106='Données projet'!$A$62,'Données projet'!$B$62,AI105+AH106-AQ105)))</f>
        <v>339.64666666666625</v>
      </c>
      <c r="AJ106" s="14">
        <f>AI106*VLOOKUP('Données projet'!$B$10,Paramètres!$A$1:$I$89,3,0)*VLOOKUP('Données projet'!$B$10,Paramètres!$A$1:$I$89,5,0)</f>
        <v>158.95463999999981</v>
      </c>
      <c r="AK106" s="14">
        <f t="shared" si="89"/>
        <v>40.606641665261066</v>
      </c>
      <c r="AL106" s="22">
        <f t="shared" si="58"/>
        <v>347.56923223366266</v>
      </c>
      <c r="AM106" s="62">
        <f t="shared" si="59"/>
        <v>640.90256556699592</v>
      </c>
      <c r="AN106" s="62">
        <f ca="1">AVERAGE(OFFSET($AM$3,0,0,'Données projet'!$E$10+1,1))-AVERAGE(OFFSET($H$3,0,0,'Données projet'!$E$10+1,1))</f>
        <v>199.36309817800088</v>
      </c>
      <c r="AO106" s="62">
        <f t="shared" si="90"/>
        <v>151.91120569748284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-1.7053025658242404E-13</v>
      </c>
      <c r="BE106" s="14">
        <f>BD106*VLOOKUP('Données projet'!$B$11,Paramètres!$A$1:$I$89,3,0)*VLOOKUP('Données projet'!$B$11,Paramètres!$A$1:$I$89,5,0)</f>
        <v>-1.0197709343628959E-13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140.16059323013189</v>
      </c>
      <c r="BJ106" s="62">
        <f t="shared" si="92"/>
        <v>219.0992563594865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2.5438037445020698</v>
      </c>
      <c r="BQ106" s="23">
        <f>EXP(-LN(2)/25)*BQ105+(1-EXP(-LN(2)/25))/(LN(2)/25)*Calculateur!BL106*Calculateur!BN106*VLOOKUP('Données projet'!$B$11,Paramètres!$A$1:$I$89,3,0)*0.475*44/12</f>
        <v>1.1974561239293353</v>
      </c>
      <c r="BR106" s="23">
        <f>EXP(-LN(2)/2)*BR105+(1-EXP(-LN(2)/2))/(LN(2)/2)*BL106*BO106*VLOOKUP('Données projet'!$B$11,Paramètres!$A$1:$I$89,3,0)*0.475*44/12</f>
        <v>1.1131858976764801E-10</v>
      </c>
      <c r="BS106" s="24">
        <f t="shared" si="63"/>
        <v>3.7412598685427239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2">
        <f t="shared" si="86"/>
        <v>21.21843193164279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70">
        <f t="shared" si="56"/>
        <v>463.09572894761084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6.3550942286383367E-14</v>
      </c>
      <c r="P107" s="14">
        <f t="shared" si="87"/>
        <v>1.0064464192543978E-12</v>
      </c>
      <c r="Q107" s="22">
        <f t="shared" si="107"/>
        <v>1.8635787380168604E-12</v>
      </c>
      <c r="R107" s="62">
        <f t="shared" si="55"/>
        <v>293.33333333333519</v>
      </c>
      <c r="S107" s="62">
        <f ca="1">AVERAGE(OFFSET($R$3,0,0,'Données projet'!$E$9+1,1))-AVERAGE(OFFSET($H$3,0,0,'Données projet'!$E$9+1,1))</f>
        <v>262.38865315945856</v>
      </c>
      <c r="T107" s="62">
        <f t="shared" si="88"/>
        <v>268.78503805457069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4.8970962878868853</v>
      </c>
      <c r="AA107" s="23">
        <f>EXP(-LN(2)/25)*AA106+(1-EXP(-LN(2)/25))/(LN(2)/25)*Calculateur!V107*Calculateur!X107*VLOOKUP('Données projet'!$B$9,Paramètres!$A$1:$I$89,3,0)*0.475*44/12</f>
        <v>0.26270476533843584</v>
      </c>
      <c r="AB107" s="23">
        <f>EXP(-LN(2)/2)*AB106+(1-EXP(-LN(2)/2))/(LN(2)/2)*V107*Y107*VLOOKUP('Données projet'!$B$9,Paramètres!$A$1:$I$89,3,0)*0.475*44/12</f>
        <v>3.7706561111315133E-11</v>
      </c>
      <c r="AC107" s="24">
        <f t="shared" si="57"/>
        <v>5.1598010532630276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8.516666666666671</v>
      </c>
      <c r="AI107" s="14">
        <f>IF('Données projet'!$A$62&gt;35,AI106+AH107-AQ106,IF(A107&lt;'Données projet'!$A$62,$AF$205^A107,IF(A107='Données projet'!$A$62,'Données projet'!$B$62,AI106+AH107-AQ106)))</f>
        <v>348.1633333333329</v>
      </c>
      <c r="AJ107" s="14">
        <f>AI107*VLOOKUP('Données projet'!$B$10,Paramètres!$A$1:$I$89,3,0)*VLOOKUP('Données projet'!$B$10,Paramètres!$A$1:$I$89,5,0)</f>
        <v>162.9404399999998</v>
      </c>
      <c r="AK107" s="14">
        <f t="shared" si="89"/>
        <v>41.505035286244862</v>
      </c>
      <c r="AL107" s="22">
        <f t="shared" si="58"/>
        <v>356.07586945687609</v>
      </c>
      <c r="AM107" s="62">
        <f t="shared" si="59"/>
        <v>649.40920279020941</v>
      </c>
      <c r="AN107" s="62">
        <f ca="1">AVERAGE(OFFSET($AM$3,0,0,'Données projet'!$E$10+1,1))-AVERAGE(OFFSET($H$3,0,0,'Données projet'!$E$10+1,1))</f>
        <v>199.36309817800088</v>
      </c>
      <c r="AO107" s="62">
        <f t="shared" si="90"/>
        <v>151.91120569748284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-1.7053025658242404E-13</v>
      </c>
      <c r="BE107" s="14">
        <f>BD107*VLOOKUP('Données projet'!$B$11,Paramètres!$A$1:$I$89,3,0)*VLOOKUP('Données projet'!$B$11,Paramètres!$A$1:$I$89,5,0)</f>
        <v>-1.0197709343628959E-13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140.16059323013189</v>
      </c>
      <c r="BJ107" s="62">
        <f t="shared" si="92"/>
        <v>219.0992563594865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2.4939213046394637</v>
      </c>
      <c r="BQ107" s="23">
        <f>EXP(-LN(2)/25)*BQ106+(1-EXP(-LN(2)/25))/(LN(2)/25)*Calculateur!BL107*Calculateur!BN107*VLOOKUP('Données projet'!$B$11,Paramètres!$A$1:$I$89,3,0)*0.475*44/12</f>
        <v>1.1647116232490069</v>
      </c>
      <c r="BR107" s="23">
        <f>EXP(-LN(2)/2)*BR106+(1-EXP(-LN(2)/2))/(LN(2)/2)*BL107*BO107*VLOOKUP('Données projet'!$B$11,Paramètres!$A$1:$I$89,3,0)*0.475*44/12</f>
        <v>7.8714129696827331E-11</v>
      </c>
      <c r="BS107" s="24">
        <f t="shared" si="63"/>
        <v>3.6586329279671848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2">
        <f t="shared" si="86"/>
        <v>21.398606468170534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70">
        <f t="shared" si="56"/>
        <v>464.68652293206327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6.3550942286383367E-14</v>
      </c>
      <c r="P108" s="14">
        <f t="shared" si="87"/>
        <v>1.0064464192543978E-12</v>
      </c>
      <c r="Q108" s="22">
        <f t="shared" si="107"/>
        <v>1.8635787380168604E-12</v>
      </c>
      <c r="R108" s="62">
        <f t="shared" si="55"/>
        <v>293.33333333333519</v>
      </c>
      <c r="S108" s="62">
        <f ca="1">AVERAGE(OFFSET($R$3,0,0,'Données projet'!$E$9+1,1))-AVERAGE(OFFSET($H$3,0,0,'Données projet'!$E$9+1,1))</f>
        <v>262.38865315945856</v>
      </c>
      <c r="T108" s="62">
        <f t="shared" si="88"/>
        <v>268.78503805457069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4.8010672166152242</v>
      </c>
      <c r="AA108" s="23">
        <f>EXP(-LN(2)/25)*AA107+(1-EXP(-LN(2)/25))/(LN(2)/25)*Calculateur!V108*Calculateur!X108*VLOOKUP('Données projet'!$B$9,Paramètres!$A$1:$I$89,3,0)*0.475*44/12</f>
        <v>0.25552108971521315</v>
      </c>
      <c r="AB108" s="23">
        <f>EXP(-LN(2)/2)*AB107+(1-EXP(-LN(2)/2))/(LN(2)/2)*V108*Y108*VLOOKUP('Données projet'!$B$9,Paramètres!$A$1:$I$89,3,0)*0.475*44/12</f>
        <v>2.6662565057035892E-11</v>
      </c>
      <c r="AC108" s="24">
        <f t="shared" si="57"/>
        <v>5.0565883063570993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356.68</v>
      </c>
      <c r="AG108" s="13">
        <f>VLOOKUP(A108,'Données projet'!$A$61:$I$81,9,0)</f>
        <v>8.516666666666671</v>
      </c>
      <c r="AH108" s="13">
        <f t="array" ref="AH108">INDEX(AG:AG,MIN(IF(ISNUMBER(AG108:AG304),ROW(AG108:AG304),"")))</f>
        <v>8.516666666666671</v>
      </c>
      <c r="AI108" s="14">
        <f>IF('Données projet'!$A$62&gt;35,AI107+AH108-AQ107,IF(A108&lt;'Données projet'!$A$62,$AF$205^A108,IF(A108='Données projet'!$A$62,'Données projet'!$B$62,AI107+AH108-AQ107)))</f>
        <v>356.67999999999955</v>
      </c>
      <c r="AJ108" s="14">
        <f>AI108*VLOOKUP('Données projet'!$B$10,Paramètres!$A$1:$I$89,3,0)*VLOOKUP('Données projet'!$B$10,Paramètres!$A$1:$I$89,5,0)</f>
        <v>166.92623999999978</v>
      </c>
      <c r="AK108" s="14">
        <f t="shared" si="89"/>
        <v>42.400874242636554</v>
      </c>
      <c r="AL108" s="22">
        <f t="shared" si="58"/>
        <v>364.57805730592491</v>
      </c>
      <c r="AM108" s="62">
        <f t="shared" si="59"/>
        <v>657.91139063925823</v>
      </c>
      <c r="AN108" s="62">
        <f ca="1">AVERAGE(OFFSET($AM$3,0,0,'Données projet'!$E$10+1,1))-AVERAGE(OFFSET($H$3,0,0,'Données projet'!$E$10+1,1))</f>
        <v>199.36309817800088</v>
      </c>
      <c r="AO108" s="62">
        <f t="shared" si="90"/>
        <v>151.91120569748284</v>
      </c>
      <c r="AP108" s="16">
        <f>IF(ISNA(VLOOKUP(A108,'Données projet'!$A$61:$I$81,3,0)),0,VLOOKUP(A108,'Données projet'!$A$61:$I$81,3,0))</f>
        <v>20</v>
      </c>
      <c r="AQ108" s="16">
        <f>IF(ISNA(VLOOKUP(A108,'Données projet'!$A$61:$I$81,4,0)),0,VLOOKUP(A108,'Données projet'!$A$61:$I$81,4,0))</f>
        <v>356.68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-1.7053025658242404E-13</v>
      </c>
      <c r="BE108" s="14">
        <f>BD108*VLOOKUP('Données projet'!$B$11,Paramètres!$A$1:$I$89,3,0)*VLOOKUP('Données projet'!$B$11,Paramètres!$A$1:$I$89,5,0)</f>
        <v>-1.0197709343628959E-13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140.16059323013189</v>
      </c>
      <c r="BJ108" s="62">
        <f t="shared" si="92"/>
        <v>219.0992563594865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2.4450170289972792</v>
      </c>
      <c r="BQ108" s="23">
        <f>EXP(-LN(2)/25)*BQ107+(1-EXP(-LN(2)/25))/(LN(2)/25)*Calculateur!BL108*Calculateur!BN108*VLOOKUP('Données projet'!$B$11,Paramètres!$A$1:$I$89,3,0)*0.475*44/12</f>
        <v>1.1328625226617406</v>
      </c>
      <c r="BR108" s="23">
        <f>EXP(-LN(2)/2)*BR107+(1-EXP(-LN(2)/2))/(LN(2)/2)*BL108*BO108*VLOOKUP('Données projet'!$B$11,Paramètres!$A$1:$I$89,3,0)*0.475*44/12</f>
        <v>5.5659294883824007E-11</v>
      </c>
      <c r="BS108" s="24">
        <f t="shared" si="63"/>
        <v>3.5778795517146795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2">
        <f t="shared" si="86"/>
        <v>21.578581375833281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70">
        <f t="shared" si="56"/>
        <v>466.27696922957591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6.3550942286383367E-14</v>
      </c>
      <c r="P109" s="14">
        <f t="shared" si="87"/>
        <v>1.0064464192543978E-12</v>
      </c>
      <c r="Q109" s="22">
        <f t="shared" si="107"/>
        <v>1.8635787380168604E-12</v>
      </c>
      <c r="R109" s="62">
        <f t="shared" si="55"/>
        <v>293.33333333333519</v>
      </c>
      <c r="S109" s="62">
        <f ca="1">AVERAGE(OFFSET($R$3,0,0,'Données projet'!$E$9+1,1))-AVERAGE(OFFSET($H$3,0,0,'Données projet'!$E$9+1,1))</f>
        <v>262.38865315945856</v>
      </c>
      <c r="T109" s="62">
        <f t="shared" si="88"/>
        <v>268.78503805457069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4.70692121685925</v>
      </c>
      <c r="AA109" s="23">
        <f>EXP(-LN(2)/25)*AA108+(1-EXP(-LN(2)/25))/(LN(2)/25)*Calculateur!V109*Calculateur!X109*VLOOKUP('Données projet'!$B$9,Paramètres!$A$1:$I$89,3,0)*0.475*44/12</f>
        <v>0.24853385207968054</v>
      </c>
      <c r="AB109" s="23">
        <f>EXP(-LN(2)/2)*AB108+(1-EXP(-LN(2)/2))/(LN(2)/2)*V109*Y109*VLOOKUP('Données projet'!$B$9,Paramètres!$A$1:$I$89,3,0)*0.475*44/12</f>
        <v>1.8853280555657567E-11</v>
      </c>
      <c r="AC109" s="24">
        <f t="shared" si="57"/>
        <v>4.9554550689577841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-4.5474735088646412E-13</v>
      </c>
      <c r="AJ109" s="14">
        <f>AI109*VLOOKUP('Données projet'!$B$10,Paramètres!$A$1:$I$89,3,0)*VLOOKUP('Données projet'!$B$10,Paramètres!$A$1:$I$89,5,0)</f>
        <v>-2.1282176021486519E-13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199.36309817800088</v>
      </c>
      <c r="AO109" s="62">
        <f t="shared" si="90"/>
        <v>151.91120569748284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-1.7053025658242404E-13</v>
      </c>
      <c r="BE109" s="14">
        <f>BD109*VLOOKUP('Données projet'!$B$11,Paramètres!$A$1:$I$89,3,0)*VLOOKUP('Données projet'!$B$11,Paramètres!$A$1:$I$89,5,0)</f>
        <v>-1.0197709343628959E-13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140.16059323013189</v>
      </c>
      <c r="BJ109" s="62">
        <f t="shared" si="92"/>
        <v>219.0992563594865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2.3970717363717755</v>
      </c>
      <c r="BQ109" s="23">
        <f>EXP(-LN(2)/25)*BQ108+(1-EXP(-LN(2)/25))/(LN(2)/25)*Calculateur!BL109*Calculateur!BN109*VLOOKUP('Données projet'!$B$11,Paramètres!$A$1:$I$89,3,0)*0.475*44/12</f>
        <v>1.1018843374049043</v>
      </c>
      <c r="BR109" s="23">
        <f>EXP(-LN(2)/2)*BR108+(1-EXP(-LN(2)/2))/(LN(2)/2)*BL109*BO109*VLOOKUP('Données projet'!$B$11,Paramètres!$A$1:$I$89,3,0)*0.475*44/12</f>
        <v>3.9357064848413665E-11</v>
      </c>
      <c r="BS109" s="24">
        <f t="shared" si="63"/>
        <v>3.4989560738160366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2">
        <f t="shared" si="86"/>
        <v>21.758358756045919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70">
        <f t="shared" si="56"/>
        <v>467.86707150011296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6.3550942286383367E-14</v>
      </c>
      <c r="P110" s="14">
        <f t="shared" si="87"/>
        <v>1.0064464192543978E-12</v>
      </c>
      <c r="Q110" s="22">
        <f t="shared" si="107"/>
        <v>1.8635787380168604E-12</v>
      </c>
      <c r="R110" s="62">
        <f t="shared" si="55"/>
        <v>293.33333333333519</v>
      </c>
      <c r="S110" s="62">
        <f ca="1">AVERAGE(OFFSET($R$3,0,0,'Données projet'!$E$9+1,1))-AVERAGE(OFFSET($H$3,0,0,'Données projet'!$E$9+1,1))</f>
        <v>262.38865315945856</v>
      </c>
      <c r="T110" s="62">
        <f t="shared" si="88"/>
        <v>268.78503805457069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4.6146213627351012</v>
      </c>
      <c r="AA110" s="23">
        <f>EXP(-LN(2)/25)*AA109+(1-EXP(-LN(2)/25))/(LN(2)/25)*Calculateur!V110*Calculateur!X110*VLOOKUP('Données projet'!$B$9,Paramètres!$A$1:$I$89,3,0)*0.475*44/12</f>
        <v>0.24173768082473443</v>
      </c>
      <c r="AB110" s="23">
        <f>EXP(-LN(2)/2)*AB109+(1-EXP(-LN(2)/2))/(LN(2)/2)*V110*Y110*VLOOKUP('Données projet'!$B$9,Paramètres!$A$1:$I$89,3,0)*0.475*44/12</f>
        <v>1.3331282528517946E-11</v>
      </c>
      <c r="AC110" s="24">
        <f t="shared" si="57"/>
        <v>4.8563590435731667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-4.5474735088646412E-13</v>
      </c>
      <c r="AJ110" s="14">
        <f>AI110*VLOOKUP('Données projet'!$B$10,Paramètres!$A$1:$I$89,3,0)*VLOOKUP('Données projet'!$B$10,Paramètres!$A$1:$I$89,5,0)</f>
        <v>-2.1282176021486519E-13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199.36309817800088</v>
      </c>
      <c r="AO110" s="62">
        <f t="shared" si="90"/>
        <v>151.91120569748284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-1.7053025658242404E-13</v>
      </c>
      <c r="BE110" s="14">
        <f>BD110*VLOOKUP('Données projet'!$B$11,Paramètres!$A$1:$I$89,3,0)*VLOOKUP('Données projet'!$B$11,Paramètres!$A$1:$I$89,5,0)</f>
        <v>-1.0197709343628959E-13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140.16059323013189</v>
      </c>
      <c r="BJ110" s="62">
        <f t="shared" si="92"/>
        <v>219.0992563594865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2.350066621690917</v>
      </c>
      <c r="BQ110" s="23">
        <f>EXP(-LN(2)/25)*BQ109+(1-EXP(-LN(2)/25))/(LN(2)/25)*Calculateur!BL110*Calculateur!BN110*VLOOKUP('Données projet'!$B$11,Paramètres!$A$1:$I$89,3,0)*0.475*44/12</f>
        <v>1.0717532522529882</v>
      </c>
      <c r="BR110" s="23">
        <f>EXP(-LN(2)/2)*BR109+(1-EXP(-LN(2)/2))/(LN(2)/2)*BL110*BO110*VLOOKUP('Données projet'!$B$11,Paramètres!$A$1:$I$89,3,0)*0.475*44/12</f>
        <v>2.7829647441912003E-11</v>
      </c>
      <c r="BS110" s="24">
        <f t="shared" si="63"/>
        <v>3.4218198739717347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2">
        <f t="shared" si="86"/>
        <v>21.937940668679364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70">
        <f t="shared" si="56"/>
        <v>469.45683333128278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6.3550942286383367E-14</v>
      </c>
      <c r="P111" s="14">
        <f t="shared" si="87"/>
        <v>1.0064464192543978E-12</v>
      </c>
      <c r="Q111" s="22">
        <f t="shared" si="107"/>
        <v>1.8635787380168604E-12</v>
      </c>
      <c r="R111" s="62">
        <f t="shared" si="55"/>
        <v>293.33333333333519</v>
      </c>
      <c r="S111" s="62">
        <f ca="1">AVERAGE(OFFSET($R$3,0,0,'Données projet'!$E$9+1,1))-AVERAGE(OFFSET($H$3,0,0,'Données projet'!$E$9+1,1))</f>
        <v>262.38865315945856</v>
      </c>
      <c r="T111" s="62">
        <f t="shared" si="88"/>
        <v>268.78503805457069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4.5241314524529743</v>
      </c>
      <c r="AA111" s="23">
        <f>EXP(-LN(2)/25)*AA110+(1-EXP(-LN(2)/25))/(LN(2)/25)*Calculateur!V111*Calculateur!X111*VLOOKUP('Données projet'!$B$9,Paramètres!$A$1:$I$89,3,0)*0.475*44/12</f>
        <v>0.23512735123014994</v>
      </c>
      <c r="AB111" s="23">
        <f>EXP(-LN(2)/2)*AB110+(1-EXP(-LN(2)/2))/(LN(2)/2)*V111*Y111*VLOOKUP('Données projet'!$B$9,Paramètres!$A$1:$I$89,3,0)*0.475*44/12</f>
        <v>9.4266402778287833E-12</v>
      </c>
      <c r="AC111" s="24">
        <f t="shared" si="57"/>
        <v>4.7592588036925507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-4.5474735088646412E-13</v>
      </c>
      <c r="AJ111" s="14">
        <f>AI111*VLOOKUP('Données projet'!$B$10,Paramètres!$A$1:$I$89,3,0)*VLOOKUP('Données projet'!$B$10,Paramètres!$A$1:$I$89,5,0)</f>
        <v>-2.1282176021486519E-13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199.36309817800088</v>
      </c>
      <c r="AO111" s="62">
        <f t="shared" si="90"/>
        <v>151.91120569748284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-1.7053025658242404E-13</v>
      </c>
      <c r="BE111" s="14">
        <f>BD111*VLOOKUP('Données projet'!$B$11,Paramètres!$A$1:$I$89,3,0)*VLOOKUP('Données projet'!$B$11,Paramètres!$A$1:$I$89,5,0)</f>
        <v>-1.0197709343628959E-13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140.16059323013189</v>
      </c>
      <c r="BJ111" s="62">
        <f t="shared" si="92"/>
        <v>219.0992563594865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2.3039832486386609</v>
      </c>
      <c r="BQ111" s="23">
        <f>EXP(-LN(2)/25)*BQ110+(1-EXP(-LN(2)/25))/(LN(2)/25)*Calculateur!BL111*Calculateur!BN111*VLOOKUP('Données projet'!$B$11,Paramètres!$A$1:$I$89,3,0)*0.475*44/12</f>
        <v>1.0424461032090762</v>
      </c>
      <c r="BR111" s="23">
        <f>EXP(-LN(2)/2)*BR110+(1-EXP(-LN(2)/2))/(LN(2)/2)*BL111*BO111*VLOOKUP('Données projet'!$B$11,Paramètres!$A$1:$I$89,3,0)*0.475*44/12</f>
        <v>1.9678532424206833E-11</v>
      </c>
      <c r="BS111" s="24">
        <f t="shared" si="63"/>
        <v>3.3464293518674157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2">
        <f t="shared" si="86"/>
        <v>22.117329133258693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70">
        <f t="shared" si="56"/>
        <v>471.04625824042512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6.3550942286383367E-14</v>
      </c>
      <c r="P112" s="14">
        <f t="shared" si="87"/>
        <v>1.0064464192543978E-12</v>
      </c>
      <c r="Q112" s="22">
        <f t="shared" si="107"/>
        <v>1.8635787380168604E-12</v>
      </c>
      <c r="R112" s="62">
        <f t="shared" si="55"/>
        <v>293.33333333333519</v>
      </c>
      <c r="S112" s="62">
        <f ca="1">AVERAGE(OFFSET($R$3,0,0,'Données projet'!$E$9+1,1))-AVERAGE(OFFSET($H$3,0,0,'Données projet'!$E$9+1,1))</f>
        <v>262.38865315945856</v>
      </c>
      <c r="T112" s="62">
        <f t="shared" si="88"/>
        <v>268.78503805457069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4.4354159941180846</v>
      </c>
      <c r="AA112" s="23">
        <f>EXP(-LN(2)/25)*AA111+(1-EXP(-LN(2)/25))/(LN(2)/25)*Calculateur!V112*Calculateur!X112*VLOOKUP('Données projet'!$B$9,Paramètres!$A$1:$I$89,3,0)*0.475*44/12</f>
        <v>0.22869778144595149</v>
      </c>
      <c r="AB112" s="23">
        <f>EXP(-LN(2)/2)*AB111+(1-EXP(-LN(2)/2))/(LN(2)/2)*V112*Y112*VLOOKUP('Données projet'!$B$9,Paramètres!$A$1:$I$89,3,0)*0.475*44/12</f>
        <v>6.6656412642589731E-12</v>
      </c>
      <c r="AC112" s="24">
        <f t="shared" si="57"/>
        <v>4.6641137755707023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-4.5474735088646412E-13</v>
      </c>
      <c r="AJ112" s="14">
        <f>AI112*VLOOKUP('Données projet'!$B$10,Paramètres!$A$1:$I$89,3,0)*VLOOKUP('Données projet'!$B$10,Paramètres!$A$1:$I$89,5,0)</f>
        <v>-2.1282176021486519E-13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199.36309817800088</v>
      </c>
      <c r="AO112" s="62">
        <f t="shared" si="90"/>
        <v>151.91120569748284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-1.7053025658242404E-13</v>
      </c>
      <c r="BE112" s="14">
        <f>BD112*VLOOKUP('Données projet'!$B$11,Paramètres!$A$1:$I$89,3,0)*VLOOKUP('Données projet'!$B$11,Paramètres!$A$1:$I$89,5,0)</f>
        <v>-1.0197709343628959E-13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140.16059323013189</v>
      </c>
      <c r="BJ112" s="62">
        <f t="shared" si="92"/>
        <v>219.0992563594865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2.2588035424238773</v>
      </c>
      <c r="BQ112" s="23">
        <f>EXP(-LN(2)/25)*BQ111+(1-EXP(-LN(2)/25))/(LN(2)/25)*Calculateur!BL112*Calculateur!BN112*VLOOKUP('Données projet'!$B$11,Paramètres!$A$1:$I$89,3,0)*0.475*44/12</f>
        <v>1.0139403596969661</v>
      </c>
      <c r="BR112" s="23">
        <f>EXP(-LN(2)/2)*BR111+(1-EXP(-LN(2)/2))/(LN(2)/2)*BL112*BO112*VLOOKUP('Données projet'!$B$11,Paramètres!$A$1:$I$89,3,0)*0.475*44/12</f>
        <v>1.3914823720956002E-11</v>
      </c>
      <c r="BS112" s="24">
        <f t="shared" si="63"/>
        <v>3.2727439021347577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2">
        <f t="shared" si="86"/>
        <v>22.296526130116188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70">
        <f t="shared" si="56"/>
        <v>472.6353496766186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6.3550942286383367E-14</v>
      </c>
      <c r="P113" s="14">
        <f t="shared" si="87"/>
        <v>1.0064464192543978E-12</v>
      </c>
      <c r="Q113" s="22">
        <f t="shared" si="107"/>
        <v>1.8635787380168604E-12</v>
      </c>
      <c r="R113" s="62">
        <f t="shared" si="55"/>
        <v>293.33333333333519</v>
      </c>
      <c r="S113" s="62">
        <f ca="1">AVERAGE(OFFSET($R$3,0,0,'Données projet'!$E$9+1,1))-AVERAGE(OFFSET($H$3,0,0,'Données projet'!$E$9+1,1))</f>
        <v>262.38865315945856</v>
      </c>
      <c r="T113" s="62">
        <f t="shared" si="88"/>
        <v>268.78503805457069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4.3484401918100559</v>
      </c>
      <c r="AA113" s="23">
        <f>EXP(-LN(2)/25)*AA112+(1-EXP(-LN(2)/25))/(LN(2)/25)*Calculateur!V113*Calculateur!X113*VLOOKUP('Données projet'!$B$9,Paramètres!$A$1:$I$89,3,0)*0.475*44/12</f>
        <v>0.22244402858561832</v>
      </c>
      <c r="AB113" s="23">
        <f>EXP(-LN(2)/2)*AB112+(1-EXP(-LN(2)/2))/(LN(2)/2)*V113*Y113*VLOOKUP('Données projet'!$B$9,Paramètres!$A$1:$I$89,3,0)*0.475*44/12</f>
        <v>4.7133201389143916E-12</v>
      </c>
      <c r="AC113" s="24">
        <f t="shared" si="57"/>
        <v>4.5708842204003881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-4.5474735088646412E-13</v>
      </c>
      <c r="AJ113" s="14">
        <f>AI113*VLOOKUP('Données projet'!$B$10,Paramètres!$A$1:$I$89,3,0)*VLOOKUP('Données projet'!$B$10,Paramètres!$A$1:$I$89,5,0)</f>
        <v>-2.1282176021486519E-13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199.36309817800088</v>
      </c>
      <c r="AO113" s="62">
        <f t="shared" si="90"/>
        <v>151.91120569748284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-1.7053025658242404E-13</v>
      </c>
      <c r="BE113" s="14">
        <f>BD113*VLOOKUP('Données projet'!$B$11,Paramètres!$A$1:$I$89,3,0)*VLOOKUP('Données projet'!$B$11,Paramètres!$A$1:$I$89,5,0)</f>
        <v>-1.0197709343628959E-13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140.16059323013189</v>
      </c>
      <c r="BJ113" s="62">
        <f t="shared" si="92"/>
        <v>219.0992563594865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2.2145097826910658</v>
      </c>
      <c r="BQ113" s="23">
        <f>EXP(-LN(2)/25)*BQ112+(1-EXP(-LN(2)/25))/(LN(2)/25)*Calculateur!BL113*Calculateur!BN113*VLOOKUP('Données projet'!$B$11,Paramètres!$A$1:$I$89,3,0)*0.475*44/12</f>
        <v>0.98621410724024638</v>
      </c>
      <c r="BR113" s="23">
        <f>EXP(-LN(2)/2)*BR112+(1-EXP(-LN(2)/2))/(LN(2)/2)*BL113*BO113*VLOOKUP('Données projet'!$B$11,Paramètres!$A$1:$I$89,3,0)*0.475*44/12</f>
        <v>9.8392662121034163E-12</v>
      </c>
      <c r="BS113" s="24">
        <f t="shared" si="63"/>
        <v>3.2007238899411514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2">
        <f t="shared" si="86"/>
        <v>22.475533601501073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70">
        <f t="shared" si="56"/>
        <v>474.2241110226139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6.3550942286383367E-14</v>
      </c>
      <c r="P114" s="14">
        <f t="shared" si="87"/>
        <v>1.0064464192543978E-12</v>
      </c>
      <c r="Q114" s="22">
        <f t="shared" si="107"/>
        <v>1.8635787380168604E-12</v>
      </c>
      <c r="R114" s="62">
        <f t="shared" si="55"/>
        <v>293.33333333333519</v>
      </c>
      <c r="S114" s="62">
        <f ca="1">AVERAGE(OFFSET($R$3,0,0,'Données projet'!$E$9+1,1))-AVERAGE(OFFSET($H$3,0,0,'Données projet'!$E$9+1,1))</f>
        <v>262.38865315945856</v>
      </c>
      <c r="T114" s="62">
        <f t="shared" si="88"/>
        <v>268.78503805457069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4.2631699319352858</v>
      </c>
      <c r="AA114" s="23">
        <f>EXP(-LN(2)/25)*AA113+(1-EXP(-LN(2)/25))/(LN(2)/25)*Calculateur!V114*Calculateur!X114*VLOOKUP('Données projet'!$B$9,Paramètres!$A$1:$I$89,3,0)*0.475*44/12</f>
        <v>0.21636128492612153</v>
      </c>
      <c r="AB114" s="23">
        <f>EXP(-LN(2)/2)*AB113+(1-EXP(-LN(2)/2))/(LN(2)/2)*V114*Y114*VLOOKUP('Données projet'!$B$9,Paramètres!$A$1:$I$89,3,0)*0.475*44/12</f>
        <v>3.3328206321294865E-12</v>
      </c>
      <c r="AC114" s="24">
        <f t="shared" si="57"/>
        <v>4.4795312168647401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-4.5474735088646412E-13</v>
      </c>
      <c r="AJ114" s="14">
        <f>AI114*VLOOKUP('Données projet'!$B$10,Paramètres!$A$1:$I$89,3,0)*VLOOKUP('Données projet'!$B$10,Paramètres!$A$1:$I$89,5,0)</f>
        <v>-2.1282176021486519E-13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199.36309817800088</v>
      </c>
      <c r="AO114" s="62">
        <f t="shared" si="90"/>
        <v>151.91120569748284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-1.7053025658242404E-13</v>
      </c>
      <c r="BE114" s="14">
        <f>BD114*VLOOKUP('Données projet'!$B$11,Paramètres!$A$1:$I$89,3,0)*VLOOKUP('Données projet'!$B$11,Paramètres!$A$1:$I$89,5,0)</f>
        <v>-1.0197709343628959E-13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140.16059323013189</v>
      </c>
      <c r="BJ114" s="62">
        <f t="shared" si="92"/>
        <v>219.0992563594865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2.1710845965700893</v>
      </c>
      <c r="BQ114" s="23">
        <f>EXP(-LN(2)/25)*BQ113+(1-EXP(-LN(2)/25))/(LN(2)/25)*Calculateur!BL114*Calculateur!BN114*VLOOKUP('Données projet'!$B$11,Paramètres!$A$1:$I$89,3,0)*0.475*44/12</f>
        <v>0.95924603061501601</v>
      </c>
      <c r="BR114" s="23">
        <f>EXP(-LN(2)/2)*BR113+(1-EXP(-LN(2)/2))/(LN(2)/2)*BL114*BO114*VLOOKUP('Données projet'!$B$11,Paramètres!$A$1:$I$89,3,0)*0.475*44/12</f>
        <v>6.9574118604780008E-12</v>
      </c>
      <c r="BS114" s="24">
        <f t="shared" si="63"/>
        <v>3.130330627192063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2">
        <f t="shared" si="86"/>
        <v>22.654353452648337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70">
        <f t="shared" si="56"/>
        <v>475.81254559669543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6.3550942286383367E-14</v>
      </c>
      <c r="P115" s="14">
        <f t="shared" si="87"/>
        <v>1.0064464192543978E-12</v>
      </c>
      <c r="Q115" s="22">
        <f t="shared" si="107"/>
        <v>1.8635787380168604E-12</v>
      </c>
      <c r="R115" s="62">
        <f t="shared" si="55"/>
        <v>293.33333333333519</v>
      </c>
      <c r="S115" s="62">
        <f ca="1">AVERAGE(OFFSET($R$3,0,0,'Données projet'!$E$9+1,1))-AVERAGE(OFFSET($H$3,0,0,'Données projet'!$E$9+1,1))</f>
        <v>262.38865315945856</v>
      </c>
      <c r="T115" s="62">
        <f t="shared" si="88"/>
        <v>268.78503805457069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4.1795717698469375</v>
      </c>
      <c r="AA115" s="23">
        <f>EXP(-LN(2)/25)*AA114+(1-EXP(-LN(2)/25))/(LN(2)/25)*Calculateur!V115*Calculateur!X115*VLOOKUP('Données projet'!$B$9,Paramètres!$A$1:$I$89,3,0)*0.475*44/12</f>
        <v>0.21044487421187125</v>
      </c>
      <c r="AB115" s="23">
        <f>EXP(-LN(2)/2)*AB114+(1-EXP(-LN(2)/2))/(LN(2)/2)*V115*Y115*VLOOKUP('Données projet'!$B$9,Paramètres!$A$1:$I$89,3,0)*0.475*44/12</f>
        <v>2.3566600694571958E-12</v>
      </c>
      <c r="AC115" s="24">
        <f t="shared" si="57"/>
        <v>4.3900166440611654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-4.5474735088646412E-13</v>
      </c>
      <c r="AJ115" s="14">
        <f>AI115*VLOOKUP('Données projet'!$B$10,Paramètres!$A$1:$I$89,3,0)*VLOOKUP('Données projet'!$B$10,Paramètres!$A$1:$I$89,5,0)</f>
        <v>-2.1282176021486519E-13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199.36309817800088</v>
      </c>
      <c r="AO115" s="62">
        <f t="shared" si="90"/>
        <v>151.91120569748284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-1.7053025658242404E-13</v>
      </c>
      <c r="BE115" s="14">
        <f>BD115*VLOOKUP('Données projet'!$B$11,Paramètres!$A$1:$I$89,3,0)*VLOOKUP('Données projet'!$B$11,Paramètres!$A$1:$I$89,5,0)</f>
        <v>-1.0197709343628959E-13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140.16059323013189</v>
      </c>
      <c r="BJ115" s="62">
        <f t="shared" si="92"/>
        <v>219.0992563594865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2.128510951862197</v>
      </c>
      <c r="BQ115" s="23">
        <f>EXP(-LN(2)/25)*BQ114+(1-EXP(-LN(2)/25))/(LN(2)/25)*Calculateur!BL115*Calculateur!BN115*VLOOKUP('Données projet'!$B$11,Paramètres!$A$1:$I$89,3,0)*0.475*44/12</f>
        <v>0.93301539746329198</v>
      </c>
      <c r="BR115" s="23">
        <f>EXP(-LN(2)/2)*BR114+(1-EXP(-LN(2)/2))/(LN(2)/2)*BL115*BO115*VLOOKUP('Données projet'!$B$11,Paramètres!$A$1:$I$89,3,0)*0.475*44/12</f>
        <v>4.9196331060517082E-12</v>
      </c>
      <c r="BS115" s="24">
        <f t="shared" si="63"/>
        <v>3.0615263493304088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2">
        <f t="shared" si="86"/>
        <v>22.832987552808103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70">
        <f t="shared" si="56"/>
        <v>477.40065665447366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6.3550942286383367E-14</v>
      </c>
      <c r="P116" s="14">
        <f t="shared" si="87"/>
        <v>1.0064464192543978E-12</v>
      </c>
      <c r="Q116" s="22">
        <f t="shared" si="107"/>
        <v>1.8635787380168604E-12</v>
      </c>
      <c r="R116" s="62">
        <f t="shared" si="55"/>
        <v>293.33333333333519</v>
      </c>
      <c r="S116" s="62">
        <f ca="1">AVERAGE(OFFSET($R$3,0,0,'Données projet'!$E$9+1,1))-AVERAGE(OFFSET($H$3,0,0,'Données projet'!$E$9+1,1))</f>
        <v>262.38865315945856</v>
      </c>
      <c r="T116" s="62">
        <f t="shared" si="88"/>
        <v>268.78503805457069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4.0976129167272974</v>
      </c>
      <c r="AA116" s="23">
        <f>EXP(-LN(2)/25)*AA115+(1-EXP(-LN(2)/25))/(LN(2)/25)*Calculateur!V116*Calculateur!X116*VLOOKUP('Données projet'!$B$9,Paramètres!$A$1:$I$89,3,0)*0.475*44/12</f>
        <v>0.20469024805973268</v>
      </c>
      <c r="AB116" s="23">
        <f>EXP(-LN(2)/2)*AB115+(1-EXP(-LN(2)/2))/(LN(2)/2)*V116*Y116*VLOOKUP('Données projet'!$B$9,Paramètres!$A$1:$I$89,3,0)*0.475*44/12</f>
        <v>1.6664103160647433E-12</v>
      </c>
      <c r="AC116" s="24">
        <f t="shared" si="57"/>
        <v>4.3023031647886967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-4.5474735088646412E-13</v>
      </c>
      <c r="AJ116" s="14">
        <f>AI116*VLOOKUP('Données projet'!$B$10,Paramètres!$A$1:$I$89,3,0)*VLOOKUP('Données projet'!$B$10,Paramètres!$A$1:$I$89,5,0)</f>
        <v>-2.1282176021486519E-13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199.36309817800088</v>
      </c>
      <c r="AO116" s="62">
        <f t="shared" si="90"/>
        <v>151.91120569748284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-1.7053025658242404E-13</v>
      </c>
      <c r="BE116" s="14">
        <f>BD116*VLOOKUP('Données projet'!$B$11,Paramètres!$A$1:$I$89,3,0)*VLOOKUP('Données projet'!$B$11,Paramètres!$A$1:$I$89,5,0)</f>
        <v>-1.0197709343628959E-13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140.16059323013189</v>
      </c>
      <c r="BJ116" s="62">
        <f t="shared" si="92"/>
        <v>219.0992563594865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2.0867721503596672</v>
      </c>
      <c r="BQ116" s="23">
        <f>EXP(-LN(2)/25)*BQ115+(1-EXP(-LN(2)/25))/(LN(2)/25)*Calculateur!BL116*Calculateur!BN116*VLOOKUP('Données projet'!$B$11,Paramètres!$A$1:$I$89,3,0)*0.475*44/12</f>
        <v>0.90750204235451093</v>
      </c>
      <c r="BR116" s="23">
        <f>EXP(-LN(2)/2)*BR115+(1-EXP(-LN(2)/2))/(LN(2)/2)*BL116*BO116*VLOOKUP('Données projet'!$B$11,Paramètres!$A$1:$I$89,3,0)*0.475*44/12</f>
        <v>3.4787059302390004E-12</v>
      </c>
      <c r="BS116" s="24">
        <f t="shared" si="63"/>
        <v>2.9942741927176568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2">
        <f t="shared" si="86"/>
        <v>23.011437736237557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70">
        <f t="shared" si="56"/>
        <v>478.98844739061326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6.3550942286383367E-14</v>
      </c>
      <c r="P117" s="14">
        <f t="shared" si="87"/>
        <v>1.0064464192543978E-12</v>
      </c>
      <c r="Q117" s="22">
        <f t="shared" si="107"/>
        <v>1.8635787380168604E-12</v>
      </c>
      <c r="R117" s="62">
        <f t="shared" si="55"/>
        <v>293.33333333333519</v>
      </c>
      <c r="S117" s="62">
        <f ca="1">AVERAGE(OFFSET($R$3,0,0,'Données projet'!$E$9+1,1))-AVERAGE(OFFSET($H$3,0,0,'Données projet'!$E$9+1,1))</f>
        <v>262.38865315945856</v>
      </c>
      <c r="T117" s="62">
        <f t="shared" si="88"/>
        <v>268.78503805457069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4.0172612267273689</v>
      </c>
      <c r="AA117" s="23">
        <f>EXP(-LN(2)/25)*AA116+(1-EXP(-LN(2)/25))/(LN(2)/25)*Calculateur!V117*Calculateur!X117*VLOOKUP('Données projet'!$B$9,Paramètres!$A$1:$I$89,3,0)*0.475*44/12</f>
        <v>0.19909298246234697</v>
      </c>
      <c r="AB117" s="23">
        <f>EXP(-LN(2)/2)*AB116+(1-EXP(-LN(2)/2))/(LN(2)/2)*V117*Y117*VLOOKUP('Données projet'!$B$9,Paramètres!$A$1:$I$89,3,0)*0.475*44/12</f>
        <v>1.1783300347285979E-12</v>
      </c>
      <c r="AC117" s="24">
        <f t="shared" si="57"/>
        <v>4.2163542091908948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-4.5474735088646412E-13</v>
      </c>
      <c r="AJ117" s="14">
        <f>AI117*VLOOKUP('Données projet'!$B$10,Paramètres!$A$1:$I$89,3,0)*VLOOKUP('Données projet'!$B$10,Paramètres!$A$1:$I$89,5,0)</f>
        <v>-2.1282176021486519E-13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199.36309817800088</v>
      </c>
      <c r="AO117" s="62">
        <f t="shared" si="90"/>
        <v>151.91120569748284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-1.7053025658242404E-13</v>
      </c>
      <c r="BE117" s="14">
        <f>BD117*VLOOKUP('Données projet'!$B$11,Paramètres!$A$1:$I$89,3,0)*VLOOKUP('Données projet'!$B$11,Paramètres!$A$1:$I$89,5,0)</f>
        <v>-1.0197709343628959E-13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140.16059323013189</v>
      </c>
      <c r="BJ117" s="62">
        <f t="shared" si="92"/>
        <v>219.0992563594865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2.0458518212964467</v>
      </c>
      <c r="BQ117" s="23">
        <f>EXP(-LN(2)/25)*BQ116+(1-EXP(-LN(2)/25))/(LN(2)/25)*Calculateur!BL117*Calculateur!BN117*VLOOKUP('Données projet'!$B$11,Paramètres!$A$1:$I$89,3,0)*0.475*44/12</f>
        <v>0.88268635128286854</v>
      </c>
      <c r="BR117" s="23">
        <f>EXP(-LN(2)/2)*BR116+(1-EXP(-LN(2)/2))/(LN(2)/2)*BL117*BO117*VLOOKUP('Données projet'!$B$11,Paramètres!$A$1:$I$89,3,0)*0.475*44/12</f>
        <v>2.4598165530258541E-12</v>
      </c>
      <c r="BS117" s="24">
        <f t="shared" si="63"/>
        <v>2.9285381725817752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2">
        <f t="shared" si="86"/>
        <v>23.189705803157189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70">
        <f t="shared" si="56"/>
        <v>480.57592094049829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6.3550942286383367E-14</v>
      </c>
      <c r="P118" s="14">
        <f t="shared" si="87"/>
        <v>1.0064464192543978E-12</v>
      </c>
      <c r="Q118" s="22">
        <f t="shared" si="107"/>
        <v>1.8635787380168604E-12</v>
      </c>
      <c r="R118" s="62">
        <f t="shared" si="55"/>
        <v>293.33333333333519</v>
      </c>
      <c r="S118" s="62">
        <f ca="1">AVERAGE(OFFSET($R$3,0,0,'Données projet'!$E$9+1,1))-AVERAGE(OFFSET($H$3,0,0,'Données projet'!$E$9+1,1))</f>
        <v>262.38865315945856</v>
      </c>
      <c r="T118" s="62">
        <f t="shared" si="88"/>
        <v>268.78503805457069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3.9384851843586475</v>
      </c>
      <c r="AA118" s="23">
        <f>EXP(-LN(2)/25)*AA117+(1-EXP(-LN(2)/25))/(LN(2)/25)*Calculateur!V118*Calculateur!X118*VLOOKUP('Données projet'!$B$9,Paramètres!$A$1:$I$89,3,0)*0.475*44/12</f>
        <v>0.19364877438706918</v>
      </c>
      <c r="AB118" s="23">
        <f>EXP(-LN(2)/2)*AB117+(1-EXP(-LN(2)/2))/(LN(2)/2)*V118*Y118*VLOOKUP('Données projet'!$B$9,Paramètres!$A$1:$I$89,3,0)*0.475*44/12</f>
        <v>8.3320515803237164E-13</v>
      </c>
      <c r="AC118" s="24">
        <f t="shared" si="57"/>
        <v>4.1321339587465502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-4.5474735088646412E-13</v>
      </c>
      <c r="AJ118" s="14">
        <f>AI118*VLOOKUP('Données projet'!$B$10,Paramètres!$A$1:$I$89,3,0)*VLOOKUP('Données projet'!$B$10,Paramètres!$A$1:$I$89,5,0)</f>
        <v>-2.1282176021486519E-13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199.36309817800088</v>
      </c>
      <c r="AO118" s="62">
        <f t="shared" si="90"/>
        <v>151.91120569748284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-1.7053025658242404E-13</v>
      </c>
      <c r="BE118" s="14">
        <f>BD118*VLOOKUP('Données projet'!$B$11,Paramètres!$A$1:$I$89,3,0)*VLOOKUP('Données projet'!$B$11,Paramètres!$A$1:$I$89,5,0)</f>
        <v>-1.0197709343628959E-13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140.16059323013189</v>
      </c>
      <c r="BJ118" s="62">
        <f t="shared" si="92"/>
        <v>219.0992563594865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2.00573391492722</v>
      </c>
      <c r="BQ118" s="23">
        <f>EXP(-LN(2)/25)*BQ117+(1-EXP(-LN(2)/25))/(LN(2)/25)*Calculateur!BL118*Calculateur!BN118*VLOOKUP('Données projet'!$B$11,Paramètres!$A$1:$I$89,3,0)*0.475*44/12</f>
        <v>0.85854924658858067</v>
      </c>
      <c r="BR118" s="23">
        <f>EXP(-LN(2)/2)*BR117+(1-EXP(-LN(2)/2))/(LN(2)/2)*BL118*BO118*VLOOKUP('Données projet'!$B$11,Paramètres!$A$1:$I$89,3,0)*0.475*44/12</f>
        <v>1.7393529651195002E-12</v>
      </c>
      <c r="BS118" s="24">
        <f t="shared" si="63"/>
        <v>2.8642831615175401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2">
        <f t="shared" si="86"/>
        <v>23.367793520672667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70">
        <f t="shared" si="56"/>
        <v>482.16308038183774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6.3550942286383367E-14</v>
      </c>
      <c r="P119" s="14">
        <f t="shared" si="87"/>
        <v>1.0064464192543978E-12</v>
      </c>
      <c r="Q119" s="22">
        <f t="shared" si="107"/>
        <v>1.8635787380168604E-12</v>
      </c>
      <c r="R119" s="62">
        <f t="shared" si="55"/>
        <v>293.33333333333519</v>
      </c>
      <c r="S119" s="62">
        <f ca="1">AVERAGE(OFFSET($R$3,0,0,'Données projet'!$E$9+1,1))-AVERAGE(OFFSET($H$3,0,0,'Données projet'!$E$9+1,1))</f>
        <v>262.38865315945856</v>
      </c>
      <c r="T119" s="62">
        <f t="shared" si="88"/>
        <v>268.78503805457069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3.8612538921321353</v>
      </c>
      <c r="AA119" s="23">
        <f>EXP(-LN(2)/25)*AA118+(1-EXP(-LN(2)/25))/(LN(2)/25)*Calculateur!V119*Calculateur!X119*VLOOKUP('Données projet'!$B$9,Paramètres!$A$1:$I$89,3,0)*0.475*44/12</f>
        <v>0.18835343846790831</v>
      </c>
      <c r="AB119" s="23">
        <f>EXP(-LN(2)/2)*AB118+(1-EXP(-LN(2)/2))/(LN(2)/2)*V119*Y119*VLOOKUP('Données projet'!$B$9,Paramètres!$A$1:$I$89,3,0)*0.475*44/12</f>
        <v>5.8916501736429895E-13</v>
      </c>
      <c r="AC119" s="24">
        <f t="shared" si="57"/>
        <v>4.0496073306006322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-4.5474735088646412E-13</v>
      </c>
      <c r="AJ119" s="14">
        <f>AI119*VLOOKUP('Données projet'!$B$10,Paramètres!$A$1:$I$89,3,0)*VLOOKUP('Données projet'!$B$10,Paramètres!$A$1:$I$89,5,0)</f>
        <v>-2.1282176021486519E-13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199.36309817800088</v>
      </c>
      <c r="AO119" s="62">
        <f t="shared" si="90"/>
        <v>151.91120569748284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-1.7053025658242404E-13</v>
      </c>
      <c r="BE119" s="14">
        <f>BD119*VLOOKUP('Données projet'!$B$11,Paramètres!$A$1:$I$89,3,0)*VLOOKUP('Données projet'!$B$11,Paramètres!$A$1:$I$89,5,0)</f>
        <v>-1.0197709343628959E-13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140.16059323013189</v>
      </c>
      <c r="BJ119" s="62">
        <f t="shared" si="92"/>
        <v>219.0992563594865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1.9664026962323868</v>
      </c>
      <c r="BQ119" s="23">
        <f>EXP(-LN(2)/25)*BQ118+(1-EXP(-LN(2)/25))/(LN(2)/25)*Calculateur!BL119*Calculateur!BN119*VLOOKUP('Données projet'!$B$11,Paramètres!$A$1:$I$89,3,0)*0.475*44/12</f>
        <v>0.83507217229147335</v>
      </c>
      <c r="BR119" s="23">
        <f>EXP(-LN(2)/2)*BR118+(1-EXP(-LN(2)/2))/(LN(2)/2)*BL119*BO119*VLOOKUP('Données projet'!$B$11,Paramètres!$A$1:$I$89,3,0)*0.475*44/12</f>
        <v>1.229908276512927E-12</v>
      </c>
      <c r="BS119" s="24">
        <f t="shared" si="63"/>
        <v>2.8014748685250903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2">
        <f t="shared" si="86"/>
        <v>23.545702623664145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70">
        <f t="shared" si="56"/>
        <v>483.7499287362146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6.3550942286383367E-14</v>
      </c>
      <c r="P120" s="14">
        <f t="shared" si="87"/>
        <v>1.0064464192543978E-12</v>
      </c>
      <c r="Q120" s="22">
        <f t="shared" si="107"/>
        <v>1.8635787380168604E-12</v>
      </c>
      <c r="R120" s="62">
        <f t="shared" si="55"/>
        <v>293.33333333333519</v>
      </c>
      <c r="S120" s="62">
        <f ca="1">AVERAGE(OFFSET($R$3,0,0,'Données projet'!$E$9+1,1))-AVERAGE(OFFSET($H$3,0,0,'Données projet'!$E$9+1,1))</f>
        <v>262.38865315945856</v>
      </c>
      <c r="T120" s="62">
        <f t="shared" si="88"/>
        <v>268.78503805457069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3.7855370584397483</v>
      </c>
      <c r="AA120" s="23">
        <f>EXP(-LN(2)/25)*AA119+(1-EXP(-LN(2)/25))/(LN(2)/25)*Calculateur!V120*Calculateur!X120*VLOOKUP('Données projet'!$B$9,Paramètres!$A$1:$I$89,3,0)*0.475*44/12</f>
        <v>0.1832029037879265</v>
      </c>
      <c r="AB120" s="23">
        <f>EXP(-LN(2)/2)*AB119+(1-EXP(-LN(2)/2))/(LN(2)/2)*V120*Y120*VLOOKUP('Données projet'!$B$9,Paramètres!$A$1:$I$89,3,0)*0.475*44/12</f>
        <v>4.1660257901618582E-13</v>
      </c>
      <c r="AC120" s="24">
        <f t="shared" si="57"/>
        <v>3.9687399622280912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-4.5474735088646412E-13</v>
      </c>
      <c r="AJ120" s="14">
        <f>AI120*VLOOKUP('Données projet'!$B$10,Paramètres!$A$1:$I$89,3,0)*VLOOKUP('Données projet'!$B$10,Paramètres!$A$1:$I$89,5,0)</f>
        <v>-2.1282176021486519E-13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199.36309817800088</v>
      </c>
      <c r="AO120" s="62">
        <f t="shared" si="90"/>
        <v>151.91120569748284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-1.7053025658242404E-13</v>
      </c>
      <c r="BE120" s="14">
        <f>BD120*VLOOKUP('Données projet'!$B$11,Paramètres!$A$1:$I$89,3,0)*VLOOKUP('Données projet'!$B$11,Paramètres!$A$1:$I$89,5,0)</f>
        <v>-1.0197709343628959E-13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140.16059323013189</v>
      </c>
      <c r="BJ120" s="62">
        <f t="shared" si="92"/>
        <v>219.0992563594865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1.9278427387464847</v>
      </c>
      <c r="BQ120" s="23">
        <f>EXP(-LN(2)/25)*BQ119+(1-EXP(-LN(2)/25))/(LN(2)/25)*Calculateur!BL120*Calculateur!BN120*VLOOKUP('Données projet'!$B$11,Paramètres!$A$1:$I$89,3,0)*0.475*44/12</f>
        <v>0.8122370798256261</v>
      </c>
      <c r="BR120" s="23">
        <f>EXP(-LN(2)/2)*BR119+(1-EXP(-LN(2)/2))/(LN(2)/2)*BL120*BO120*VLOOKUP('Données projet'!$B$11,Paramètres!$A$1:$I$89,3,0)*0.475*44/12</f>
        <v>8.696764825597501E-13</v>
      </c>
      <c r="BS120" s="24">
        <f t="shared" si="63"/>
        <v>2.7400798185729802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2">
        <f t="shared" si="86"/>
        <v>23.72343481564414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70">
        <f t="shared" si="56"/>
        <v>485.33646897057974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6.3550942286383367E-14</v>
      </c>
      <c r="P121" s="14">
        <f t="shared" si="87"/>
        <v>1.0064464192543978E-12</v>
      </c>
      <c r="Q121" s="22">
        <f t="shared" si="107"/>
        <v>1.8635787380168604E-12</v>
      </c>
      <c r="R121" s="62">
        <f t="shared" si="55"/>
        <v>293.33333333333519</v>
      </c>
      <c r="S121" s="62">
        <f ca="1">AVERAGE(OFFSET($R$3,0,0,'Données projet'!$E$9+1,1))-AVERAGE(OFFSET($H$3,0,0,'Données projet'!$E$9+1,1))</f>
        <v>262.38865315945856</v>
      </c>
      <c r="T121" s="62">
        <f t="shared" si="88"/>
        <v>268.78503805457069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3.7113049856733609</v>
      </c>
      <c r="AA121" s="23">
        <f>EXP(-LN(2)/25)*AA120+(1-EXP(-LN(2)/25))/(LN(2)/25)*Calculateur!V121*Calculateur!X121*VLOOKUP('Données projet'!$B$9,Paramètres!$A$1:$I$89,3,0)*0.475*44/12</f>
        <v>0.17819321074962366</v>
      </c>
      <c r="AB121" s="23">
        <f>EXP(-LN(2)/2)*AB120+(1-EXP(-LN(2)/2))/(LN(2)/2)*V121*Y121*VLOOKUP('Données projet'!$B$9,Paramètres!$A$1:$I$89,3,0)*0.475*44/12</f>
        <v>2.9458250868214948E-13</v>
      </c>
      <c r="AC121" s="24">
        <f t="shared" si="57"/>
        <v>3.8894981964232791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-4.5474735088646412E-13</v>
      </c>
      <c r="AJ121" s="14">
        <f>AI121*VLOOKUP('Données projet'!$B$10,Paramètres!$A$1:$I$89,3,0)*VLOOKUP('Données projet'!$B$10,Paramètres!$A$1:$I$89,5,0)</f>
        <v>-2.1282176021486519E-13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199.36309817800088</v>
      </c>
      <c r="AO121" s="62">
        <f t="shared" si="90"/>
        <v>151.91120569748284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-1.7053025658242404E-13</v>
      </c>
      <c r="BE121" s="14">
        <f>BD121*VLOOKUP('Données projet'!$B$11,Paramètres!$A$1:$I$89,3,0)*VLOOKUP('Données projet'!$B$11,Paramètres!$A$1:$I$89,5,0)</f>
        <v>-1.0197709343628959E-13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140.16059323013189</v>
      </c>
      <c r="BJ121" s="62">
        <f t="shared" si="92"/>
        <v>219.0992563594865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1.8900389185076294</v>
      </c>
      <c r="BQ121" s="23">
        <f>EXP(-LN(2)/25)*BQ120+(1-EXP(-LN(2)/25))/(LN(2)/25)*Calculateur!BL121*Calculateur!BN121*VLOOKUP('Données projet'!$B$11,Paramètres!$A$1:$I$89,3,0)*0.475*44/12</f>
        <v>0.79002641416410269</v>
      </c>
      <c r="BR121" s="23">
        <f>EXP(-LN(2)/2)*BR120+(1-EXP(-LN(2)/2))/(LN(2)/2)*BL121*BO121*VLOOKUP('Données projet'!$B$11,Paramètres!$A$1:$I$89,3,0)*0.475*44/12</f>
        <v>6.1495413825646352E-13</v>
      </c>
      <c r="BS121" s="24">
        <f t="shared" si="63"/>
        <v>2.6800653326723469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2">
        <f t="shared" si="86"/>
        <v>23.900991769585712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70">
        <f t="shared" si="56"/>
        <v>486.92270399869466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6.3550942286383367E-14</v>
      </c>
      <c r="P122" s="14">
        <f t="shared" si="87"/>
        <v>1.0064464192543978E-12</v>
      </c>
      <c r="Q122" s="22">
        <f t="shared" si="107"/>
        <v>1.8635787380168604E-12</v>
      </c>
      <c r="R122" s="62">
        <f t="shared" si="55"/>
        <v>293.33333333333519</v>
      </c>
      <c r="S122" s="62">
        <f ca="1">AVERAGE(OFFSET($R$3,0,0,'Données projet'!$E$9+1,1))-AVERAGE(OFFSET($H$3,0,0,'Données projet'!$E$9+1,1))</f>
        <v>262.38865315945856</v>
      </c>
      <c r="T122" s="62">
        <f t="shared" si="88"/>
        <v>268.78503805457069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3.6385285585768283</v>
      </c>
      <c r="AA122" s="23">
        <f>EXP(-LN(2)/25)*AA121+(1-EXP(-LN(2)/25))/(LN(2)/25)*Calculateur!V122*Calculateur!X122*VLOOKUP('Données projet'!$B$9,Paramètres!$A$1:$I$89,3,0)*0.475*44/12</f>
        <v>0.17332050803090152</v>
      </c>
      <c r="AB122" s="23">
        <f>EXP(-LN(2)/2)*AB121+(1-EXP(-LN(2)/2))/(LN(2)/2)*V122*Y122*VLOOKUP('Données projet'!$B$9,Paramètres!$A$1:$I$89,3,0)*0.475*44/12</f>
        <v>2.0830128950809291E-13</v>
      </c>
      <c r="AC122" s="24">
        <f t="shared" si="57"/>
        <v>3.8118490666079383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-4.5474735088646412E-13</v>
      </c>
      <c r="AJ122" s="14">
        <f>AI122*VLOOKUP('Données projet'!$B$10,Paramètres!$A$1:$I$89,3,0)*VLOOKUP('Données projet'!$B$10,Paramètres!$A$1:$I$89,5,0)</f>
        <v>-2.1282176021486519E-13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199.36309817800088</v>
      </c>
      <c r="AO122" s="62">
        <f t="shared" si="90"/>
        <v>151.91120569748284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-1.7053025658242404E-13</v>
      </c>
      <c r="BE122" s="14">
        <f>BD122*VLOOKUP('Données projet'!$B$11,Paramètres!$A$1:$I$89,3,0)*VLOOKUP('Données projet'!$B$11,Paramètres!$A$1:$I$89,5,0)</f>
        <v>-1.0197709343628959E-13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140.16059323013189</v>
      </c>
      <c r="BJ122" s="62">
        <f t="shared" si="92"/>
        <v>219.0992563594865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1.8529764081256046</v>
      </c>
      <c r="BQ122" s="23">
        <f>EXP(-LN(2)/25)*BQ121+(1-EXP(-LN(2)/25))/(LN(2)/25)*Calculateur!BL122*Calculateur!BN122*VLOOKUP('Données projet'!$B$11,Paramètres!$A$1:$I$89,3,0)*0.475*44/12</f>
        <v>0.76842310032310179</v>
      </c>
      <c r="BR122" s="23">
        <f>EXP(-LN(2)/2)*BR121+(1-EXP(-LN(2)/2))/(LN(2)/2)*BL122*BO122*VLOOKUP('Données projet'!$B$11,Paramètres!$A$1:$I$89,3,0)*0.475*44/12</f>
        <v>4.3483824127987505E-13</v>
      </c>
      <c r="BS122" s="24">
        <f t="shared" si="63"/>
        <v>2.6213995084491413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2">
        <f t="shared" si="86"/>
        <v>24.078375128721721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70">
        <f t="shared" si="56"/>
        <v>488.50863668252316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6.3550942286383367E-14</v>
      </c>
      <c r="P123" s="14">
        <f t="shared" si="87"/>
        <v>1.0064464192543978E-12</v>
      </c>
      <c r="Q123" s="22">
        <f t="shared" si="107"/>
        <v>1.8635787380168604E-12</v>
      </c>
      <c r="R123" s="62">
        <f t="shared" si="55"/>
        <v>293.33333333333519</v>
      </c>
      <c r="S123" s="62">
        <f ca="1">AVERAGE(OFFSET($R$3,0,0,'Données projet'!$E$9+1,1))-AVERAGE(OFFSET($H$3,0,0,'Données projet'!$E$9+1,1))</f>
        <v>262.38865315945856</v>
      </c>
      <c r="T123" s="62">
        <f t="shared" si="88"/>
        <v>268.78503805457069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3.5671792328264216</v>
      </c>
      <c r="AA123" s="23">
        <f>EXP(-LN(2)/25)*AA122+(1-EXP(-LN(2)/25))/(LN(2)/25)*Calculateur!V123*Calculateur!X123*VLOOKUP('Données projet'!$B$9,Paramètres!$A$1:$I$89,3,0)*0.475*44/12</f>
        <v>0.16858104962426712</v>
      </c>
      <c r="AB123" s="23">
        <f>EXP(-LN(2)/2)*AB122+(1-EXP(-LN(2)/2))/(LN(2)/2)*V123*Y123*VLOOKUP('Données projet'!$B$9,Paramètres!$A$1:$I$89,3,0)*0.475*44/12</f>
        <v>1.4729125434107474E-13</v>
      </c>
      <c r="AC123" s="24">
        <f t="shared" si="57"/>
        <v>3.735760282450836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-4.5474735088646412E-13</v>
      </c>
      <c r="AJ123" s="14">
        <f>AI123*VLOOKUP('Données projet'!$B$10,Paramètres!$A$1:$I$89,3,0)*VLOOKUP('Données projet'!$B$10,Paramètres!$A$1:$I$89,5,0)</f>
        <v>-2.1282176021486519E-13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199.36309817800088</v>
      </c>
      <c r="AO123" s="62">
        <f t="shared" si="90"/>
        <v>151.91120569748284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-1.7053025658242404E-13</v>
      </c>
      <c r="BE123" s="14">
        <f>BD123*VLOOKUP('Données projet'!$B$11,Paramètres!$A$1:$I$89,3,0)*VLOOKUP('Données projet'!$B$11,Paramètres!$A$1:$I$89,5,0)</f>
        <v>-1.0197709343628959E-13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140.16059323013189</v>
      </c>
      <c r="BJ123" s="62">
        <f t="shared" si="92"/>
        <v>219.0992563594865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1.8166406709662721</v>
      </c>
      <c r="BQ123" s="23">
        <f>EXP(-LN(2)/25)*BQ122+(1-EXP(-LN(2)/25))/(LN(2)/25)*Calculateur!BL123*Calculateur!BN123*VLOOKUP('Données projet'!$B$11,Paramètres!$A$1:$I$89,3,0)*0.475*44/12</f>
        <v>0.74741053023515203</v>
      </c>
      <c r="BR123" s="23">
        <f>EXP(-LN(2)/2)*BR122+(1-EXP(-LN(2)/2))/(LN(2)/2)*BL123*BO123*VLOOKUP('Données projet'!$B$11,Paramètres!$A$1:$I$89,3,0)*0.475*44/12</f>
        <v>3.0747706912823176E-13</v>
      </c>
      <c r="BS123" s="24">
        <f t="shared" si="63"/>
        <v>2.5640512012017314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2">
        <f t="shared" si="86"/>
        <v>24.255586507317027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70">
        <f t="shared" si="56"/>
        <v>490.09426983357662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6.3550942286383367E-14</v>
      </c>
      <c r="P124" s="14">
        <f t="shared" si="87"/>
        <v>1.0064464192543978E-12</v>
      </c>
      <c r="Q124" s="22">
        <f t="shared" si="107"/>
        <v>1.8635787380168604E-12</v>
      </c>
      <c r="R124" s="62">
        <f t="shared" si="55"/>
        <v>293.33333333333519</v>
      </c>
      <c r="S124" s="62">
        <f ca="1">AVERAGE(OFFSET($R$3,0,0,'Données projet'!$E$9+1,1))-AVERAGE(OFFSET($H$3,0,0,'Données projet'!$E$9+1,1))</f>
        <v>262.38865315945856</v>
      </c>
      <c r="T124" s="62">
        <f t="shared" si="88"/>
        <v>268.78503805457069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3.4972290238351884</v>
      </c>
      <c r="AA124" s="23">
        <f>EXP(-LN(2)/25)*AA123+(1-EXP(-LN(2)/25))/(LN(2)/25)*Calculateur!V124*Calculateur!X124*VLOOKUP('Données projet'!$B$9,Paramètres!$A$1:$I$89,3,0)*0.475*44/12</f>
        <v>0.16397119195699944</v>
      </c>
      <c r="AB124" s="23">
        <f>EXP(-LN(2)/2)*AB123+(1-EXP(-LN(2)/2))/(LN(2)/2)*V124*Y124*VLOOKUP('Données projet'!$B$9,Paramètres!$A$1:$I$89,3,0)*0.475*44/12</f>
        <v>1.0415064475404645E-13</v>
      </c>
      <c r="AC124" s="24">
        <f t="shared" si="57"/>
        <v>3.661200215792292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-4.5474735088646412E-13</v>
      </c>
      <c r="AJ124" s="14">
        <f>AI124*VLOOKUP('Données projet'!$B$10,Paramètres!$A$1:$I$89,3,0)*VLOOKUP('Données projet'!$B$10,Paramètres!$A$1:$I$89,5,0)</f>
        <v>-2.1282176021486519E-13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199.36309817800088</v>
      </c>
      <c r="AO124" s="62">
        <f t="shared" si="90"/>
        <v>151.91120569748284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-1.7053025658242404E-13</v>
      </c>
      <c r="BE124" s="14">
        <f>BD124*VLOOKUP('Données projet'!$B$11,Paramètres!$A$1:$I$89,3,0)*VLOOKUP('Données projet'!$B$11,Paramètres!$A$1:$I$89,5,0)</f>
        <v>-1.0197709343628959E-13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140.16059323013189</v>
      </c>
      <c r="BJ124" s="62">
        <f t="shared" si="92"/>
        <v>219.0992563594865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1.7810174554500229</v>
      </c>
      <c r="BQ124" s="23">
        <f>EXP(-LN(2)/25)*BQ123+(1-EXP(-LN(2)/25))/(LN(2)/25)*Calculateur!BL124*Calculateur!BN124*VLOOKUP('Données projet'!$B$11,Paramètres!$A$1:$I$89,3,0)*0.475*44/12</f>
        <v>0.72697254998126026</v>
      </c>
      <c r="BR124" s="23">
        <f>EXP(-LN(2)/2)*BR123+(1-EXP(-LN(2)/2))/(LN(2)/2)*BL124*BO124*VLOOKUP('Données projet'!$B$11,Paramètres!$A$1:$I$89,3,0)*0.475*44/12</f>
        <v>2.1741912063993753E-13</v>
      </c>
      <c r="BS124" s="24">
        <f t="shared" si="63"/>
        <v>2.507990005431501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2">
        <f t="shared" si="86"/>
        <v>24.432627491414117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70">
        <f t="shared" si="56"/>
        <v>491.67960621421241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6.3550942286383367E-14</v>
      </c>
      <c r="P125" s="14">
        <f t="shared" si="87"/>
        <v>1.0064464192543978E-12</v>
      </c>
      <c r="Q125" s="22">
        <f t="shared" si="107"/>
        <v>1.8635787380168604E-12</v>
      </c>
      <c r="R125" s="62">
        <f t="shared" si="55"/>
        <v>293.33333333333519</v>
      </c>
      <c r="S125" s="62">
        <f ca="1">AVERAGE(OFFSET($R$3,0,0,'Données projet'!$E$9+1,1))-AVERAGE(OFFSET($H$3,0,0,'Données projet'!$E$9+1,1))</f>
        <v>262.38865315945856</v>
      </c>
      <c r="T125" s="62">
        <f t="shared" si="88"/>
        <v>268.78503805457069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3.4286504957768589</v>
      </c>
      <c r="AA125" s="23">
        <f>EXP(-LN(2)/25)*AA124+(1-EXP(-LN(2)/25))/(LN(2)/25)*Calculateur!V125*Calculateur!X125*VLOOKUP('Données projet'!$B$9,Paramètres!$A$1:$I$89,3,0)*0.475*44/12</f>
        <v>0.15948739109006507</v>
      </c>
      <c r="AB125" s="23">
        <f>EXP(-LN(2)/2)*AB124+(1-EXP(-LN(2)/2))/(LN(2)/2)*V125*Y125*VLOOKUP('Données projet'!$B$9,Paramètres!$A$1:$I$89,3,0)*0.475*44/12</f>
        <v>7.3645627170537369E-14</v>
      </c>
      <c r="AC125" s="24">
        <f t="shared" si="57"/>
        <v>3.5881378868669977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-4.5474735088646412E-13</v>
      </c>
      <c r="AJ125" s="14">
        <f>AI125*VLOOKUP('Données projet'!$B$10,Paramètres!$A$1:$I$89,3,0)*VLOOKUP('Données projet'!$B$10,Paramètres!$A$1:$I$89,5,0)</f>
        <v>-2.1282176021486519E-13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199.36309817800088</v>
      </c>
      <c r="AO125" s="62">
        <f t="shared" si="90"/>
        <v>151.91120569748284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-1.7053025658242404E-13</v>
      </c>
      <c r="BE125" s="14">
        <f>BD125*VLOOKUP('Données projet'!$B$11,Paramètres!$A$1:$I$89,3,0)*VLOOKUP('Données projet'!$B$11,Paramètres!$A$1:$I$89,5,0)</f>
        <v>-1.0197709343628959E-13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140.16059323013189</v>
      </c>
      <c r="BJ125" s="62">
        <f t="shared" si="92"/>
        <v>219.0992563594865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1.7460927894620313</v>
      </c>
      <c r="BQ125" s="23">
        <f>EXP(-LN(2)/25)*BQ124+(1-EXP(-LN(2)/25))/(LN(2)/25)*Calculateur!BL125*Calculateur!BN125*VLOOKUP('Données projet'!$B$11,Paramètres!$A$1:$I$89,3,0)*0.475*44/12</f>
        <v>0.70709344737219781</v>
      </c>
      <c r="BR125" s="23">
        <f>EXP(-LN(2)/2)*BR124+(1-EXP(-LN(2)/2))/(LN(2)/2)*BL125*BO125*VLOOKUP('Données projet'!$B$11,Paramètres!$A$1:$I$89,3,0)*0.475*44/12</f>
        <v>1.5373853456411588E-13</v>
      </c>
      <c r="BS125" s="24">
        <f t="shared" si="63"/>
        <v>2.4531862368343829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2">
        <f t="shared" si="86"/>
        <v>24.609499639553714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70">
        <f t="shared" si="56"/>
        <v>493.26464853888888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6.3550942286383367E-14</v>
      </c>
      <c r="P126" s="14">
        <f t="shared" si="87"/>
        <v>1.0064464192543978E-12</v>
      </c>
      <c r="Q126" s="22">
        <f t="shared" si="107"/>
        <v>1.8635787380168604E-12</v>
      </c>
      <c r="R126" s="62">
        <f t="shared" si="55"/>
        <v>293.33333333333519</v>
      </c>
      <c r="S126" s="62">
        <f ca="1">AVERAGE(OFFSET($R$3,0,0,'Données projet'!$E$9+1,1))-AVERAGE(OFFSET($H$3,0,0,'Données projet'!$E$9+1,1))</f>
        <v>262.38865315945856</v>
      </c>
      <c r="T126" s="62">
        <f t="shared" si="88"/>
        <v>268.78503805457069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3.3614167508249815</v>
      </c>
      <c r="AA126" s="23">
        <f>EXP(-LN(2)/25)*AA125+(1-EXP(-LN(2)/25))/(LN(2)/25)*Calculateur!V126*Calculateur!X126*VLOOKUP('Données projet'!$B$9,Paramètres!$A$1:$I$89,3,0)*0.475*44/12</f>
        <v>0.15512619999362987</v>
      </c>
      <c r="AB126" s="23">
        <f>EXP(-LN(2)/2)*AB125+(1-EXP(-LN(2)/2))/(LN(2)/2)*V126*Y126*VLOOKUP('Données projet'!$B$9,Paramètres!$A$1:$I$89,3,0)*0.475*44/12</f>
        <v>5.2075322377023227E-14</v>
      </c>
      <c r="AC126" s="24">
        <f t="shared" si="57"/>
        <v>3.5165429508186632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-4.5474735088646412E-13</v>
      </c>
      <c r="AJ126" s="14">
        <f>AI126*VLOOKUP('Données projet'!$B$10,Paramètres!$A$1:$I$89,3,0)*VLOOKUP('Données projet'!$B$10,Paramètres!$A$1:$I$89,5,0)</f>
        <v>-2.1282176021486519E-13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199.36309817800088</v>
      </c>
      <c r="AO126" s="62">
        <f t="shared" si="90"/>
        <v>151.91120569748284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-1.7053025658242404E-13</v>
      </c>
      <c r="BE126" s="14">
        <f>BD126*VLOOKUP('Données projet'!$B$11,Paramètres!$A$1:$I$89,3,0)*VLOOKUP('Données projet'!$B$11,Paramètres!$A$1:$I$89,5,0)</f>
        <v>-1.0197709343628959E-13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140.16059323013189</v>
      </c>
      <c r="BJ126" s="62">
        <f t="shared" si="92"/>
        <v>219.0992563594865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1.7118529748721212</v>
      </c>
      <c r="BQ126" s="23">
        <f>EXP(-LN(2)/25)*BQ125+(1-EXP(-LN(2)/25))/(LN(2)/25)*Calculateur!BL126*Calculateur!BN126*VLOOKUP('Données projet'!$B$11,Paramètres!$A$1:$I$89,3,0)*0.475*44/12</f>
        <v>0.68775793986937672</v>
      </c>
      <c r="BR126" s="23">
        <f>EXP(-LN(2)/2)*BR125+(1-EXP(-LN(2)/2))/(LN(2)/2)*BL126*BO126*VLOOKUP('Données projet'!$B$11,Paramètres!$A$1:$I$89,3,0)*0.475*44/12</f>
        <v>1.0870956031996876E-13</v>
      </c>
      <c r="BS126" s="24">
        <f t="shared" si="63"/>
        <v>2.3996109147416065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2">
        <f t="shared" si="86"/>
        <v>24.786204483471373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70">
        <f t="shared" si="56"/>
        <v>494.84939947537879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6.3550942286383367E-14</v>
      </c>
      <c r="P127" s="14">
        <f t="shared" si="87"/>
        <v>1.0064464192543978E-12</v>
      </c>
      <c r="Q127" s="22">
        <f t="shared" si="107"/>
        <v>1.8635787380168604E-12</v>
      </c>
      <c r="R127" s="62">
        <f t="shared" si="55"/>
        <v>293.33333333333519</v>
      </c>
      <c r="S127" s="62">
        <f ca="1">AVERAGE(OFFSET($R$3,0,0,'Données projet'!$E$9+1,1))-AVERAGE(OFFSET($H$3,0,0,'Données projet'!$E$9+1,1))</f>
        <v>262.38865315945856</v>
      </c>
      <c r="T127" s="62">
        <f t="shared" si="88"/>
        <v>268.78503805457069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3.2955014186030751</v>
      </c>
      <c r="AA127" s="23">
        <f>EXP(-LN(2)/25)*AA126+(1-EXP(-LN(2)/25))/(LN(2)/25)*Calculateur!V127*Calculateur!X127*VLOOKUP('Données projet'!$B$9,Paramètres!$A$1:$I$89,3,0)*0.475*44/12</f>
        <v>0.15088426589707174</v>
      </c>
      <c r="AB127" s="23">
        <f>EXP(-LN(2)/2)*AB126+(1-EXP(-LN(2)/2))/(LN(2)/2)*V127*Y127*VLOOKUP('Données projet'!$B$9,Paramètres!$A$1:$I$89,3,0)*0.475*44/12</f>
        <v>3.6822813585268685E-14</v>
      </c>
      <c r="AC127" s="24">
        <f t="shared" si="57"/>
        <v>3.4463856845001839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-4.5474735088646412E-13</v>
      </c>
      <c r="AJ127" s="14">
        <f>AI127*VLOOKUP('Données projet'!$B$10,Paramètres!$A$1:$I$89,3,0)*VLOOKUP('Données projet'!$B$10,Paramètres!$A$1:$I$89,5,0)</f>
        <v>-2.1282176021486519E-13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199.36309817800088</v>
      </c>
      <c r="AO127" s="62">
        <f t="shared" si="90"/>
        <v>151.91120569748284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-1.7053025658242404E-13</v>
      </c>
      <c r="BE127" s="14">
        <f>BD127*VLOOKUP('Données projet'!$B$11,Paramètres!$A$1:$I$89,3,0)*VLOOKUP('Données projet'!$B$11,Paramètres!$A$1:$I$89,5,0)</f>
        <v>-1.0197709343628959E-13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140.16059323013189</v>
      </c>
      <c r="BJ127" s="62">
        <f t="shared" si="92"/>
        <v>219.0992563594865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1.6782845821620946</v>
      </c>
      <c r="BQ127" s="23">
        <f>EXP(-LN(2)/25)*BQ126+(1-EXP(-LN(2)/25))/(LN(2)/25)*Calculateur!BL127*Calculateur!BN127*VLOOKUP('Données projet'!$B$11,Paramètres!$A$1:$I$89,3,0)*0.475*44/12</f>
        <v>0.6689511628360304</v>
      </c>
      <c r="BR127" s="23">
        <f>EXP(-LN(2)/2)*BR126+(1-EXP(-LN(2)/2))/(LN(2)/2)*BL127*BO127*VLOOKUP('Données projet'!$B$11,Paramètres!$A$1:$I$89,3,0)*0.475*44/12</f>
        <v>7.686926728205794E-14</v>
      </c>
      <c r="BS127" s="24">
        <f t="shared" si="63"/>
        <v>2.3472357449982018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2">
        <f t="shared" si="86"/>
        <v>24.96274352877078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70">
        <f t="shared" si="56"/>
        <v>496.43386164594193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6.3550942286383367E-14</v>
      </c>
      <c r="P128" s="14">
        <f t="shared" si="87"/>
        <v>1.0064464192543978E-12</v>
      </c>
      <c r="Q128" s="22">
        <f t="shared" si="107"/>
        <v>1.8635787380168604E-12</v>
      </c>
      <c r="R128" s="62">
        <f t="shared" si="55"/>
        <v>293.33333333333519</v>
      </c>
      <c r="S128" s="62">
        <f ca="1">AVERAGE(OFFSET($R$3,0,0,'Données projet'!$E$9+1,1))-AVERAGE(OFFSET($H$3,0,0,'Données projet'!$E$9+1,1))</f>
        <v>262.38865315945856</v>
      </c>
      <c r="T128" s="62">
        <f t="shared" si="88"/>
        <v>268.78503805457069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3.2308786458416576</v>
      </c>
      <c r="AA128" s="23">
        <f>EXP(-LN(2)/25)*AA127+(1-EXP(-LN(2)/25))/(LN(2)/25)*Calculateur!V128*Calculateur!X128*VLOOKUP('Données projet'!$B$9,Paramètres!$A$1:$I$89,3,0)*0.475*44/12</f>
        <v>0.14675832771145761</v>
      </c>
      <c r="AB128" s="23">
        <f>EXP(-LN(2)/2)*AB127+(1-EXP(-LN(2)/2))/(LN(2)/2)*V128*Y128*VLOOKUP('Données projet'!$B$9,Paramètres!$A$1:$I$89,3,0)*0.475*44/12</f>
        <v>2.6037661188511614E-14</v>
      </c>
      <c r="AC128" s="24">
        <f t="shared" si="57"/>
        <v>3.3776369735531415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-4.5474735088646412E-13</v>
      </c>
      <c r="AJ128" s="14">
        <f>AI128*VLOOKUP('Données projet'!$B$10,Paramètres!$A$1:$I$89,3,0)*VLOOKUP('Données projet'!$B$10,Paramètres!$A$1:$I$89,5,0)</f>
        <v>-2.1282176021486519E-13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199.36309817800088</v>
      </c>
      <c r="AO128" s="62">
        <f t="shared" si="90"/>
        <v>151.91120569748284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-1.7053025658242404E-13</v>
      </c>
      <c r="BE128" s="14">
        <f>BD128*VLOOKUP('Données projet'!$B$11,Paramètres!$A$1:$I$89,3,0)*VLOOKUP('Données projet'!$B$11,Paramètres!$A$1:$I$89,5,0)</f>
        <v>-1.0197709343628959E-13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140.16059323013189</v>
      </c>
      <c r="BJ128" s="62">
        <f t="shared" si="92"/>
        <v>219.0992563594865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1.6453744451584138</v>
      </c>
      <c r="BQ128" s="23">
        <f>EXP(-LN(2)/25)*BQ127+(1-EXP(-LN(2)/25))/(LN(2)/25)*Calculateur!BL128*Calculateur!BN128*VLOOKUP('Données projet'!$B$11,Paramètres!$A$1:$I$89,3,0)*0.475*44/12</f>
        <v>0.65065865810966639</v>
      </c>
      <c r="BR128" s="23">
        <f>EXP(-LN(2)/2)*BR127+(1-EXP(-LN(2)/2))/(LN(2)/2)*BL128*BO128*VLOOKUP('Données projet'!$B$11,Paramètres!$A$1:$I$89,3,0)*0.475*44/12</f>
        <v>5.4354780159984381E-14</v>
      </c>
      <c r="BS128" s="24">
        <f t="shared" si="63"/>
        <v>2.2960331032681345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2">
        <f t="shared" si="86"/>
        <v>25.139118255575003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70">
        <f t="shared" si="56"/>
        <v>498.0180376284593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6.3550942286383367E-14</v>
      </c>
      <c r="P129" s="14">
        <f t="shared" si="87"/>
        <v>1.0064464192543978E-12</v>
      </c>
      <c r="Q129" s="22">
        <f t="shared" si="107"/>
        <v>1.8635787380168604E-12</v>
      </c>
      <c r="R129" s="62">
        <f t="shared" si="55"/>
        <v>293.33333333333519</v>
      </c>
      <c r="S129" s="62">
        <f ca="1">AVERAGE(OFFSET($R$3,0,0,'Données projet'!$E$9+1,1))-AVERAGE(OFFSET($H$3,0,0,'Données projet'!$E$9+1,1))</f>
        <v>262.38865315945856</v>
      </c>
      <c r="T129" s="62">
        <f t="shared" si="88"/>
        <v>268.78503805457069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3.1675230862380919</v>
      </c>
      <c r="AA129" s="23">
        <f>EXP(-LN(2)/25)*AA128+(1-EXP(-LN(2)/25))/(LN(2)/25)*Calculateur!V129*Calculateur!X129*VLOOKUP('Données projet'!$B$9,Paramètres!$A$1:$I$89,3,0)*0.475*44/12</f>
        <v>0.14274521352250277</v>
      </c>
      <c r="AB129" s="23">
        <f>EXP(-LN(2)/2)*AB128+(1-EXP(-LN(2)/2))/(LN(2)/2)*V129*Y129*VLOOKUP('Données projet'!$B$9,Paramètres!$A$1:$I$89,3,0)*0.475*44/12</f>
        <v>1.8411406792634342E-14</v>
      </c>
      <c r="AC129" s="24">
        <f t="shared" si="57"/>
        <v>3.310268299760613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-4.5474735088646412E-13</v>
      </c>
      <c r="AJ129" s="14">
        <f>AI129*VLOOKUP('Données projet'!$B$10,Paramètres!$A$1:$I$89,3,0)*VLOOKUP('Données projet'!$B$10,Paramètres!$A$1:$I$89,5,0)</f>
        <v>-2.1282176021486519E-13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199.36309817800088</v>
      </c>
      <c r="AO129" s="62">
        <f t="shared" si="90"/>
        <v>151.91120569748284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-1.7053025658242404E-13</v>
      </c>
      <c r="BE129" s="14">
        <f>BD129*VLOOKUP('Données projet'!$B$11,Paramètres!$A$1:$I$89,3,0)*VLOOKUP('Données projet'!$B$11,Paramètres!$A$1:$I$89,5,0)</f>
        <v>-1.0197709343628959E-13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140.16059323013189</v>
      </c>
      <c r="BJ129" s="62">
        <f t="shared" si="92"/>
        <v>219.0992563594865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1.6131096558681737</v>
      </c>
      <c r="BQ129" s="23">
        <f>EXP(-LN(2)/25)*BQ128+(1-EXP(-LN(2)/25))/(LN(2)/25)*Calculateur!BL129*Calculateur!BN129*VLOOKUP('Données projet'!$B$11,Paramètres!$A$1:$I$89,3,0)*0.475*44/12</f>
        <v>0.63286636288700582</v>
      </c>
      <c r="BR129" s="23">
        <f>EXP(-LN(2)/2)*BR128+(1-EXP(-LN(2)/2))/(LN(2)/2)*BL129*BO129*VLOOKUP('Données projet'!$B$11,Paramètres!$A$1:$I$89,3,0)*0.475*44/12</f>
        <v>3.843463364102897E-14</v>
      </c>
      <c r="BS129" s="24">
        <f t="shared" si="63"/>
        <v>2.245976018755218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2">
        <f t="shared" si="86"/>
        <v>25.31533011915646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70">
        <f t="shared" si="56"/>
        <v>499.60192995753027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6.3550942286383367E-14</v>
      </c>
      <c r="P130" s="14">
        <f t="shared" si="87"/>
        <v>1.0064464192543978E-12</v>
      </c>
      <c r="Q130" s="22">
        <f t="shared" si="107"/>
        <v>1.8635787380168604E-12</v>
      </c>
      <c r="R130" s="62">
        <f t="shared" si="55"/>
        <v>293.33333333333519</v>
      </c>
      <c r="S130" s="62">
        <f ca="1">AVERAGE(OFFSET($R$3,0,0,'Données projet'!$E$9+1,1))-AVERAGE(OFFSET($H$3,0,0,'Données projet'!$E$9+1,1))</f>
        <v>262.38865315945856</v>
      </c>
      <c r="T130" s="62">
        <f t="shared" si="88"/>
        <v>268.78503805457069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3.1054098905152765</v>
      </c>
      <c r="AA130" s="23">
        <f>EXP(-LN(2)/25)*AA129+(1-EXP(-LN(2)/25))/(LN(2)/25)*Calculateur!V130*Calculateur!X130*VLOOKUP('Données projet'!$B$9,Paramètres!$A$1:$I$89,3,0)*0.475*44/12</f>
        <v>0.1388418381520854</v>
      </c>
      <c r="AB130" s="23">
        <f>EXP(-LN(2)/2)*AB129+(1-EXP(-LN(2)/2))/(LN(2)/2)*V130*Y130*VLOOKUP('Données projet'!$B$9,Paramètres!$A$1:$I$89,3,0)*0.475*44/12</f>
        <v>1.3018830594255807E-14</v>
      </c>
      <c r="AC130" s="24">
        <f t="shared" si="57"/>
        <v>3.2442517286673747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-4.5474735088646412E-13</v>
      </c>
      <c r="AJ130" s="14">
        <f>AI130*VLOOKUP('Données projet'!$B$10,Paramètres!$A$1:$I$89,3,0)*VLOOKUP('Données projet'!$B$10,Paramètres!$A$1:$I$89,5,0)</f>
        <v>-2.1282176021486519E-13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199.36309817800088</v>
      </c>
      <c r="AO130" s="62">
        <f t="shared" si="90"/>
        <v>151.91120569748284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-1.7053025658242404E-13</v>
      </c>
      <c r="BE130" s="14">
        <f>BD130*VLOOKUP('Données projet'!$B$11,Paramètres!$A$1:$I$89,3,0)*VLOOKUP('Données projet'!$B$11,Paramètres!$A$1:$I$89,5,0)</f>
        <v>-1.0197709343628959E-13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140.16059323013189</v>
      </c>
      <c r="BJ130" s="62">
        <f t="shared" si="92"/>
        <v>219.0992563594865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1.5814775594163368</v>
      </c>
      <c r="BQ130" s="23">
        <f>EXP(-LN(2)/25)*BQ129+(1-EXP(-LN(2)/25))/(LN(2)/25)*Calculateur!BL130*Calculateur!BN130*VLOOKUP('Données projet'!$B$11,Paramètres!$A$1:$I$89,3,0)*0.475*44/12</f>
        <v>0.61556059891286508</v>
      </c>
      <c r="BR130" s="23">
        <f>EXP(-LN(2)/2)*BR129+(1-EXP(-LN(2)/2))/(LN(2)/2)*BL130*BO130*VLOOKUP('Données projet'!$B$11,Paramètres!$A$1:$I$89,3,0)*0.475*44/12</f>
        <v>2.7177390079992191E-14</v>
      </c>
      <c r="BS130" s="24">
        <f t="shared" si="63"/>
        <v>2.1970381583292289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2">
        <f t="shared" si="86"/>
        <v>25.491380550546399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70">
        <f t="shared" si="56"/>
        <v>501.18554112553443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6.3550942286383367E-14</v>
      </c>
      <c r="P131" s="14">
        <f t="shared" si="87"/>
        <v>1.0064464192543978E-12</v>
      </c>
      <c r="Q131" s="22">
        <f t="shared" ref="Q131:Q153" si="108">(O131+P131)*0.475*44/12</f>
        <v>1.8635787380168604E-12</v>
      </c>
      <c r="R131" s="62">
        <f t="shared" ref="R131:R194" si="109">Q131+(I131+J131)*44/12</f>
        <v>293.33333333333519</v>
      </c>
      <c r="S131" s="62">
        <f ca="1">AVERAGE(OFFSET($R$3,0,0,'Données projet'!$E$9+1,1))-AVERAGE(OFFSET($H$3,0,0,'Données projet'!$E$9+1,1))</f>
        <v>262.38865315945856</v>
      </c>
      <c r="T131" s="62">
        <f t="shared" si="88"/>
        <v>268.78503805457069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3.044514696675277</v>
      </c>
      <c r="AA131" s="23">
        <f>EXP(-LN(2)/25)*AA130+(1-EXP(-LN(2)/25))/(LN(2)/25)*Calculateur!V131*Calculateur!X131*VLOOKUP('Données projet'!$B$9,Paramètres!$A$1:$I$89,3,0)*0.475*44/12</f>
        <v>0.13504520078644167</v>
      </c>
      <c r="AB131" s="23">
        <f>EXP(-LN(2)/2)*AB130+(1-EXP(-LN(2)/2))/(LN(2)/2)*V131*Y131*VLOOKUP('Données projet'!$B$9,Paramètres!$A$1:$I$89,3,0)*0.475*44/12</f>
        <v>9.2057033963171712E-15</v>
      </c>
      <c r="AC131" s="24">
        <f t="shared" si="57"/>
        <v>3.1795598974617278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-4.5474735088646412E-13</v>
      </c>
      <c r="AJ131" s="14">
        <f>AI131*VLOOKUP('Données projet'!$B$10,Paramètres!$A$1:$I$89,3,0)*VLOOKUP('Données projet'!$B$10,Paramètres!$A$1:$I$89,5,0)</f>
        <v>-2.1282176021486519E-13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199.36309817800088</v>
      </c>
      <c r="AO131" s="62">
        <f t="shared" si="90"/>
        <v>151.91120569748284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-1.7053025658242404E-13</v>
      </c>
      <c r="BE131" s="14">
        <f>BD131*VLOOKUP('Données projet'!$B$11,Paramètres!$A$1:$I$89,3,0)*VLOOKUP('Données projet'!$B$11,Paramètres!$A$1:$I$89,5,0)</f>
        <v>-1.0197709343628959E-13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140.16059323013189</v>
      </c>
      <c r="BJ131" s="62">
        <f t="shared" si="92"/>
        <v>219.0992563594865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1.5504657490822469</v>
      </c>
      <c r="BQ131" s="23">
        <f>EXP(-LN(2)/25)*BQ130+(1-EXP(-LN(2)/25))/(LN(2)/25)*Calculateur!BL131*Calculateur!BN131*VLOOKUP('Données projet'!$B$11,Paramètres!$A$1:$I$89,3,0)*0.475*44/12</f>
        <v>0.59872806196466777</v>
      </c>
      <c r="BR131" s="23">
        <f>EXP(-LN(2)/2)*BR130+(1-EXP(-LN(2)/2))/(LN(2)/2)*BL131*BO131*VLOOKUP('Données projet'!$B$11,Paramètres!$A$1:$I$89,3,0)*0.475*44/12</f>
        <v>1.9217316820514485E-14</v>
      </c>
      <c r="BS131" s="24">
        <f t="shared" si="63"/>
        <v>2.1491938110469335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2">
        <f t="shared" si="86"/>
        <v>25.667270957125002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70">
        <f t="shared" ref="H132:H195" si="110">(B132+E132+F132)*44/12+(C132+D132)*0.475*44/12</f>
        <v>502.76887358365883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6.3550942286383367E-14</v>
      </c>
      <c r="P132" s="14">
        <f t="shared" si="87"/>
        <v>1.0064464192543978E-12</v>
      </c>
      <c r="Q132" s="22">
        <f t="shared" si="108"/>
        <v>1.8635787380168604E-12</v>
      </c>
      <c r="R132" s="62">
        <f t="shared" si="109"/>
        <v>293.33333333333519</v>
      </c>
      <c r="S132" s="62">
        <f ca="1">AVERAGE(OFFSET($R$3,0,0,'Données projet'!$E$9+1,1))-AVERAGE(OFFSET($H$3,0,0,'Données projet'!$E$9+1,1))</f>
        <v>262.38865315945856</v>
      </c>
      <c r="T132" s="62">
        <f t="shared" si="88"/>
        <v>268.78503805457069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2.9848136204440792</v>
      </c>
      <c r="AA132" s="23">
        <f>EXP(-LN(2)/25)*AA131+(1-EXP(-LN(2)/25))/(LN(2)/25)*Calculateur!V132*Calculateur!X132*VLOOKUP('Données projet'!$B$9,Paramètres!$A$1:$I$89,3,0)*0.475*44/12</f>
        <v>0.13135238266921795</v>
      </c>
      <c r="AB132" s="23">
        <f>EXP(-LN(2)/2)*AB131+(1-EXP(-LN(2)/2))/(LN(2)/2)*V132*Y132*VLOOKUP('Données projet'!$B$9,Paramètres!$A$1:$I$89,3,0)*0.475*44/12</f>
        <v>6.5094152971279034E-15</v>
      </c>
      <c r="AC132" s="24">
        <f t="shared" ref="AC132:AC153" si="111">SUM(Z132:AB132)</f>
        <v>3.1161660031133036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-4.5474735088646412E-13</v>
      </c>
      <c r="AJ132" s="14">
        <f>AI132*VLOOKUP('Données projet'!$B$10,Paramètres!$A$1:$I$89,3,0)*VLOOKUP('Données projet'!$B$10,Paramètres!$A$1:$I$89,5,0)</f>
        <v>-2.1282176021486519E-13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199.36309817800088</v>
      </c>
      <c r="AO132" s="62">
        <f t="shared" si="90"/>
        <v>151.91120569748284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-1.7053025658242404E-13</v>
      </c>
      <c r="BE132" s="14">
        <f>BD132*VLOOKUP('Données projet'!$B$11,Paramètres!$A$1:$I$89,3,0)*VLOOKUP('Données projet'!$B$11,Paramètres!$A$1:$I$89,5,0)</f>
        <v>-1.0197709343628959E-13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140.16059323013189</v>
      </c>
      <c r="BJ132" s="62">
        <f t="shared" si="92"/>
        <v>219.0992563594865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1.5200620614334717</v>
      </c>
      <c r="BQ132" s="23">
        <f>EXP(-LN(2)/25)*BQ131+(1-EXP(-LN(2)/25))/(LN(2)/25)*Calculateur!BL132*Calculateur!BN132*VLOOKUP('Données projet'!$B$11,Paramètres!$A$1:$I$89,3,0)*0.475*44/12</f>
        <v>0.58235581162450356</v>
      </c>
      <c r="BR132" s="23">
        <f>EXP(-LN(2)/2)*BR131+(1-EXP(-LN(2)/2))/(LN(2)/2)*BL132*BO132*VLOOKUP('Données projet'!$B$11,Paramètres!$A$1:$I$89,3,0)*0.475*44/12</f>
        <v>1.3588695039996095E-14</v>
      </c>
      <c r="BS132" s="24">
        <f t="shared" ref="BS132:BS153" si="117">SUM(BP132:BR132)</f>
        <v>2.102417873057989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2">
        <f t="shared" ref="D133:D196" si="140">IFERROR(EXP(-1.0587+0.8836*LN(C133)+0.284),0)</f>
        <v>25.843002723192335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70">
        <f t="shared" si="110"/>
        <v>504.35192974289276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6.3550942286383367E-14</v>
      </c>
      <c r="P133" s="14">
        <f t="shared" ref="P133:P196" si="141">EXP(-1.0587+0.8836*LN(O133)+0.284)</f>
        <v>1.0064464192543978E-12</v>
      </c>
      <c r="Q133" s="22">
        <f t="shared" si="108"/>
        <v>1.8635787380168604E-12</v>
      </c>
      <c r="R133" s="62">
        <f t="shared" si="109"/>
        <v>293.33333333333519</v>
      </c>
      <c r="S133" s="62">
        <f ca="1">AVERAGE(OFFSET($R$3,0,0,'Données projet'!$E$9+1,1))-AVERAGE(OFFSET($H$3,0,0,'Données projet'!$E$9+1,1))</f>
        <v>262.38865315945856</v>
      </c>
      <c r="T133" s="62">
        <f t="shared" ref="T133:T196" si="142">$T$3</f>
        <v>268.78503805457069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2.926283245903714</v>
      </c>
      <c r="AA133" s="23">
        <f>EXP(-LN(2)/25)*AA132+(1-EXP(-LN(2)/25))/(LN(2)/25)*Calculateur!V133*Calculateur!X133*VLOOKUP('Données projet'!$B$9,Paramètres!$A$1:$I$89,3,0)*0.475*44/12</f>
        <v>0.1277605448576066</v>
      </c>
      <c r="AB133" s="23">
        <f>EXP(-LN(2)/2)*AB132+(1-EXP(-LN(2)/2))/(LN(2)/2)*V133*Y133*VLOOKUP('Données projet'!$B$9,Paramètres!$A$1:$I$89,3,0)*0.475*44/12</f>
        <v>4.6028516981585856E-15</v>
      </c>
      <c r="AC133" s="24">
        <f t="shared" si="111"/>
        <v>3.0540437907613249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-4.5474735088646412E-13</v>
      </c>
      <c r="AJ133" s="14">
        <f>AI133*VLOOKUP('Données projet'!$B$10,Paramètres!$A$1:$I$89,3,0)*VLOOKUP('Données projet'!$B$10,Paramètres!$A$1:$I$89,5,0)</f>
        <v>-2.1282176021486519E-13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199.36309817800088</v>
      </c>
      <c r="AO133" s="62">
        <f t="shared" ref="AO133:AO196" si="144">$AO$3</f>
        <v>151.91120569748284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-1.7053025658242404E-13</v>
      </c>
      <c r="BE133" s="14">
        <f>BD133*VLOOKUP('Données projet'!$B$11,Paramètres!$A$1:$I$89,3,0)*VLOOKUP('Données projet'!$B$11,Paramètres!$A$1:$I$89,5,0)</f>
        <v>-1.0197709343628959E-13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140.16059323013189</v>
      </c>
      <c r="BJ133" s="62">
        <f t="shared" ref="BJ133:BJ196" si="146">$BJ$3</f>
        <v>219.0992563594865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1.4902545715550706</v>
      </c>
      <c r="BQ133" s="23">
        <f>EXP(-LN(2)/25)*BQ132+(1-EXP(-LN(2)/25))/(LN(2)/25)*Calculateur!BL133*Calculateur!BN133*VLOOKUP('Données projet'!$B$11,Paramètres!$A$1:$I$89,3,0)*0.475*44/12</f>
        <v>0.56643126133087041</v>
      </c>
      <c r="BR133" s="23">
        <f>EXP(-LN(2)/2)*BR132+(1-EXP(-LN(2)/2))/(LN(2)/2)*BL133*BO133*VLOOKUP('Données projet'!$B$11,Paramètres!$A$1:$I$89,3,0)*0.475*44/12</f>
        <v>9.6086584102572425E-15</v>
      </c>
      <c r="BS133" s="24">
        <f t="shared" si="117"/>
        <v>2.0566858328859507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2">
        <f t="shared" si="140"/>
        <v>26.018577210521507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70">
        <f t="shared" si="110"/>
        <v>505.93471197499105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6.3550942286383367E-14</v>
      </c>
      <c r="P134" s="14">
        <f t="shared" si="141"/>
        <v>1.0064464192543978E-12</v>
      </c>
      <c r="Q134" s="22">
        <f t="shared" si="108"/>
        <v>1.8635787380168604E-12</v>
      </c>
      <c r="R134" s="62">
        <f t="shared" si="109"/>
        <v>293.33333333333519</v>
      </c>
      <c r="S134" s="62">
        <f ca="1">AVERAGE(OFFSET($R$3,0,0,'Données projet'!$E$9+1,1))-AVERAGE(OFFSET($H$3,0,0,'Données projet'!$E$9+1,1))</f>
        <v>262.38865315945856</v>
      </c>
      <c r="T134" s="62">
        <f t="shared" si="142"/>
        <v>268.78503805457069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2.8689006163080824</v>
      </c>
      <c r="AA134" s="23">
        <f>EXP(-LN(2)/25)*AA133+(1-EXP(-LN(2)/25))/(LN(2)/25)*Calculateur!V134*Calculateur!X134*VLOOKUP('Données projet'!$B$9,Paramètres!$A$1:$I$89,3,0)*0.475*44/12</f>
        <v>0.1242669260398403</v>
      </c>
      <c r="AB134" s="23">
        <f>EXP(-LN(2)/2)*AB133+(1-EXP(-LN(2)/2))/(LN(2)/2)*V134*Y134*VLOOKUP('Données projet'!$B$9,Paramètres!$A$1:$I$89,3,0)*0.475*44/12</f>
        <v>3.2547076485639517E-15</v>
      </c>
      <c r="AC134" s="24">
        <f t="shared" si="111"/>
        <v>2.9931675423479258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-4.5474735088646412E-13</v>
      </c>
      <c r="AJ134" s="14">
        <f>AI134*VLOOKUP('Données projet'!$B$10,Paramètres!$A$1:$I$89,3,0)*VLOOKUP('Données projet'!$B$10,Paramètres!$A$1:$I$89,5,0)</f>
        <v>-2.1282176021486519E-13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199.36309817800088</v>
      </c>
      <c r="AO134" s="62">
        <f t="shared" si="144"/>
        <v>151.91120569748284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-1.7053025658242404E-13</v>
      </c>
      <c r="BE134" s="14">
        <f>BD134*VLOOKUP('Données projet'!$B$11,Paramètres!$A$1:$I$89,3,0)*VLOOKUP('Données projet'!$B$11,Paramètres!$A$1:$I$89,5,0)</f>
        <v>-1.0197709343628959E-13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140.16059323013189</v>
      </c>
      <c r="BJ134" s="62">
        <f t="shared" si="146"/>
        <v>219.0992563594865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1.4610315883724114</v>
      </c>
      <c r="BQ134" s="23">
        <f>EXP(-LN(2)/25)*BQ133+(1-EXP(-LN(2)/25))/(LN(2)/25)*Calculateur!BL134*Calculateur!BN134*VLOOKUP('Données projet'!$B$11,Paramètres!$A$1:$I$89,3,0)*0.475*44/12</f>
        <v>0.55094216870245227</v>
      </c>
      <c r="BR134" s="23">
        <f>EXP(-LN(2)/2)*BR133+(1-EXP(-LN(2)/2))/(LN(2)/2)*BL134*BO134*VLOOKUP('Données projet'!$B$11,Paramètres!$A$1:$I$89,3,0)*0.475*44/12</f>
        <v>6.7943475199980477E-15</v>
      </c>
      <c r="BS134" s="24">
        <f t="shared" si="117"/>
        <v>2.0119737570748701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2">
        <f t="shared" si="140"/>
        <v>26.193995758894371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70">
        <f t="shared" si="110"/>
        <v>507.51722261340717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6.3550942286383367E-14</v>
      </c>
      <c r="P135" s="14">
        <f t="shared" si="141"/>
        <v>1.0064464192543978E-12</v>
      </c>
      <c r="Q135" s="22">
        <f t="shared" si="108"/>
        <v>1.8635787380168604E-12</v>
      </c>
      <c r="R135" s="62">
        <f t="shared" si="109"/>
        <v>293.33333333333519</v>
      </c>
      <c r="S135" s="62">
        <f ca="1">AVERAGE(OFFSET($R$3,0,0,'Données projet'!$E$9+1,1))-AVERAGE(OFFSET($H$3,0,0,'Données projet'!$E$9+1,1))</f>
        <v>262.38865315945856</v>
      </c>
      <c r="T135" s="62">
        <f t="shared" si="142"/>
        <v>268.78503805457069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2.8126432250788729</v>
      </c>
      <c r="AA135" s="23">
        <f>EXP(-LN(2)/25)*AA134+(1-EXP(-LN(2)/25))/(LN(2)/25)*Calculateur!V135*Calculateur!X135*VLOOKUP('Données projet'!$B$9,Paramètres!$A$1:$I$89,3,0)*0.475*44/12</f>
        <v>0.12086884041236724</v>
      </c>
      <c r="AB135" s="23">
        <f>EXP(-LN(2)/2)*AB134+(1-EXP(-LN(2)/2))/(LN(2)/2)*V135*Y135*VLOOKUP('Données projet'!$B$9,Paramètres!$A$1:$I$89,3,0)*0.475*44/12</f>
        <v>2.3014258490792928E-15</v>
      </c>
      <c r="AC135" s="24">
        <f t="shared" si="111"/>
        <v>2.9335120654912425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-4.5474735088646412E-13</v>
      </c>
      <c r="AJ135" s="14">
        <f>AI135*VLOOKUP('Données projet'!$B$10,Paramètres!$A$1:$I$89,3,0)*VLOOKUP('Données projet'!$B$10,Paramètres!$A$1:$I$89,5,0)</f>
        <v>-2.1282176021486519E-13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199.36309817800088</v>
      </c>
      <c r="AO135" s="62">
        <f t="shared" si="144"/>
        <v>151.91120569748284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-1.7053025658242404E-13</v>
      </c>
      <c r="BE135" s="14">
        <f>BD135*VLOOKUP('Données projet'!$B$11,Paramètres!$A$1:$I$89,3,0)*VLOOKUP('Données projet'!$B$11,Paramètres!$A$1:$I$89,5,0)</f>
        <v>-1.0197709343628959E-13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140.16059323013189</v>
      </c>
      <c r="BJ135" s="62">
        <f t="shared" si="146"/>
        <v>219.0992563594865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1.4323816500657045</v>
      </c>
      <c r="BQ135" s="23">
        <f>EXP(-LN(2)/25)*BQ134+(1-EXP(-LN(2)/25))/(LN(2)/25)*Calculateur!BL135*Calculateur!BN135*VLOOKUP('Données projet'!$B$11,Paramètres!$A$1:$I$89,3,0)*0.475*44/12</f>
        <v>0.53587662612649423</v>
      </c>
      <c r="BR135" s="23">
        <f>EXP(-LN(2)/2)*BR134+(1-EXP(-LN(2)/2))/(LN(2)/2)*BL135*BO135*VLOOKUP('Données projet'!$B$11,Paramètres!$A$1:$I$89,3,0)*0.475*44/12</f>
        <v>4.8043292051286213E-15</v>
      </c>
      <c r="BS135" s="24">
        <f t="shared" si="117"/>
        <v>1.9682582761922036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2">
        <f t="shared" si="140"/>
        <v>26.369259686620403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70">
        <f t="shared" si="110"/>
        <v>509.09946395419666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6.3550942286383367E-14</v>
      </c>
      <c r="P136" s="14">
        <f t="shared" si="141"/>
        <v>1.0064464192543978E-12</v>
      </c>
      <c r="Q136" s="22">
        <f t="shared" si="108"/>
        <v>1.8635787380168604E-12</v>
      </c>
      <c r="R136" s="62">
        <f t="shared" si="109"/>
        <v>293.33333333333519</v>
      </c>
      <c r="S136" s="62">
        <f ca="1">AVERAGE(OFFSET($R$3,0,0,'Données projet'!$E$9+1,1))-AVERAGE(OFFSET($H$3,0,0,'Données projet'!$E$9+1,1))</f>
        <v>262.38865315945856</v>
      </c>
      <c r="T136" s="62">
        <f t="shared" si="142"/>
        <v>268.78503805457069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2.7574890069780476</v>
      </c>
      <c r="AA136" s="23">
        <f>EXP(-LN(2)/25)*AA135+(1-EXP(-LN(2)/25))/(LN(2)/25)*Calculateur!V136*Calculateur!X136*VLOOKUP('Données projet'!$B$9,Paramètres!$A$1:$I$89,3,0)*0.475*44/12</f>
        <v>0.117563675615075</v>
      </c>
      <c r="AB136" s="23">
        <f>EXP(-LN(2)/2)*AB135+(1-EXP(-LN(2)/2))/(LN(2)/2)*V136*Y136*VLOOKUP('Données projet'!$B$9,Paramètres!$A$1:$I$89,3,0)*0.475*44/12</f>
        <v>1.6273538242819759E-15</v>
      </c>
      <c r="AC136" s="24">
        <f t="shared" si="111"/>
        <v>2.8750526825931244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-4.5474735088646412E-13</v>
      </c>
      <c r="AJ136" s="14">
        <f>AI136*VLOOKUP('Données projet'!$B$10,Paramètres!$A$1:$I$89,3,0)*VLOOKUP('Données projet'!$B$10,Paramètres!$A$1:$I$89,5,0)</f>
        <v>-2.1282176021486519E-13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199.36309817800088</v>
      </c>
      <c r="AO136" s="62">
        <f t="shared" si="144"/>
        <v>151.91120569748284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-1.7053025658242404E-13</v>
      </c>
      <c r="BE136" s="14">
        <f>BD136*VLOOKUP('Données projet'!$B$11,Paramètres!$A$1:$I$89,3,0)*VLOOKUP('Données projet'!$B$11,Paramètres!$A$1:$I$89,5,0)</f>
        <v>-1.0197709343628959E-13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140.16059323013189</v>
      </c>
      <c r="BJ136" s="62">
        <f t="shared" si="146"/>
        <v>219.0992563594865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1.4042935195744553</v>
      </c>
      <c r="BQ136" s="23">
        <f>EXP(-LN(2)/25)*BQ135+(1-EXP(-LN(2)/25))/(LN(2)/25)*Calculateur!BL136*Calculateur!BN136*VLOOKUP('Données projet'!$B$11,Paramètres!$A$1:$I$89,3,0)*0.475*44/12</f>
        <v>0.52122305160453819</v>
      </c>
      <c r="BR136" s="23">
        <f>EXP(-LN(2)/2)*BR135+(1-EXP(-LN(2)/2))/(LN(2)/2)*BL136*BO136*VLOOKUP('Données projet'!$B$11,Paramètres!$A$1:$I$89,3,0)*0.475*44/12</f>
        <v>3.3971737599990238E-15</v>
      </c>
      <c r="BS136" s="24">
        <f t="shared" si="117"/>
        <v>1.9255165711789968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2">
        <f t="shared" si="140"/>
        <v>26.544370291039762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70">
        <f t="shared" si="110"/>
        <v>510.68143825689367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6.3550942286383367E-14</v>
      </c>
      <c r="P137" s="14">
        <f t="shared" si="141"/>
        <v>1.0064464192543978E-12</v>
      </c>
      <c r="Q137" s="22">
        <f t="shared" si="108"/>
        <v>1.8635787380168604E-12</v>
      </c>
      <c r="R137" s="62">
        <f t="shared" si="109"/>
        <v>293.33333333333519</v>
      </c>
      <c r="S137" s="62">
        <f ca="1">AVERAGE(OFFSET($R$3,0,0,'Données projet'!$E$9+1,1))-AVERAGE(OFFSET($H$3,0,0,'Données projet'!$E$9+1,1))</f>
        <v>262.38865315945856</v>
      </c>
      <c r="T137" s="62">
        <f t="shared" si="142"/>
        <v>268.78503805457069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2.7034163294534284</v>
      </c>
      <c r="AA137" s="23">
        <f>EXP(-LN(2)/25)*AA136+(1-EXP(-LN(2)/25))/(LN(2)/25)*Calculateur!V137*Calculateur!X137*VLOOKUP('Données projet'!$B$9,Paramètres!$A$1:$I$89,3,0)*0.475*44/12</f>
        <v>0.11434889072297577</v>
      </c>
      <c r="AB137" s="23">
        <f>EXP(-LN(2)/2)*AB136+(1-EXP(-LN(2)/2))/(LN(2)/2)*V137*Y137*VLOOKUP('Données projet'!$B$9,Paramètres!$A$1:$I$89,3,0)*0.475*44/12</f>
        <v>1.1507129245396464E-15</v>
      </c>
      <c r="AC137" s="24">
        <f t="shared" si="111"/>
        <v>2.8177652201764056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-4.5474735088646412E-13</v>
      </c>
      <c r="AJ137" s="14">
        <f>AI137*VLOOKUP('Données projet'!$B$10,Paramètres!$A$1:$I$89,3,0)*VLOOKUP('Données projet'!$B$10,Paramètres!$A$1:$I$89,5,0)</f>
        <v>-2.1282176021486519E-13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199.36309817800088</v>
      </c>
      <c r="AO137" s="62">
        <f t="shared" si="144"/>
        <v>151.91120569748284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-1.7053025658242404E-13</v>
      </c>
      <c r="BE137" s="14">
        <f>BD137*VLOOKUP('Données projet'!$B$11,Paramètres!$A$1:$I$89,3,0)*VLOOKUP('Données projet'!$B$11,Paramètres!$A$1:$I$89,5,0)</f>
        <v>-1.0197709343628959E-13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140.16059323013189</v>
      </c>
      <c r="BJ137" s="62">
        <f t="shared" si="146"/>
        <v>219.0992563594865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1.3767561801900714</v>
      </c>
      <c r="BQ137" s="23">
        <f>EXP(-LN(2)/25)*BQ136+(1-EXP(-LN(2)/25))/(LN(2)/25)*Calculateur!BL137*Calculateur!BN137*VLOOKUP('Données projet'!$B$11,Paramètres!$A$1:$I$89,3,0)*0.475*44/12</f>
        <v>0.50697017984848303</v>
      </c>
      <c r="BR137" s="23">
        <f>EXP(-LN(2)/2)*BR136+(1-EXP(-LN(2)/2))/(LN(2)/2)*BL137*BO137*VLOOKUP('Données projet'!$B$11,Paramètres!$A$1:$I$89,3,0)*0.475*44/12</f>
        <v>2.4021646025643106E-15</v>
      </c>
      <c r="BS137" s="24">
        <f t="shared" si="117"/>
        <v>1.8837263600385568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2">
        <f t="shared" si="140"/>
        <v>26.719328849010672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70">
        <f t="shared" si="110"/>
        <v>512.26314774535967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6.3550942286383367E-14</v>
      </c>
      <c r="P138" s="14">
        <f t="shared" si="141"/>
        <v>1.0064464192543978E-12</v>
      </c>
      <c r="Q138" s="22">
        <f t="shared" si="108"/>
        <v>1.8635787380168604E-12</v>
      </c>
      <c r="R138" s="62">
        <f t="shared" si="109"/>
        <v>293.33333333333519</v>
      </c>
      <c r="S138" s="62">
        <f ca="1">AVERAGE(OFFSET($R$3,0,0,'Données projet'!$E$9+1,1))-AVERAGE(OFFSET($H$3,0,0,'Données projet'!$E$9+1,1))</f>
        <v>262.38865315945856</v>
      </c>
      <c r="T138" s="62">
        <f t="shared" si="142"/>
        <v>268.78503805457069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2.6504039841539901</v>
      </c>
      <c r="AA138" s="23">
        <f>EXP(-LN(2)/25)*AA137+(1-EXP(-LN(2)/25))/(LN(2)/25)*Calculateur!V138*Calculateur!X138*VLOOKUP('Données projet'!$B$9,Paramètres!$A$1:$I$89,3,0)*0.475*44/12</f>
        <v>0.11122201429280919</v>
      </c>
      <c r="AB138" s="23">
        <f>EXP(-LN(2)/2)*AB137+(1-EXP(-LN(2)/2))/(LN(2)/2)*V138*Y138*VLOOKUP('Données projet'!$B$9,Paramètres!$A$1:$I$89,3,0)*0.475*44/12</f>
        <v>8.1367691214098793E-16</v>
      </c>
      <c r="AC138" s="24">
        <f t="shared" si="111"/>
        <v>2.7616259984468003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-4.5474735088646412E-13</v>
      </c>
      <c r="AJ138" s="14">
        <f>AI138*VLOOKUP('Données projet'!$B$10,Paramètres!$A$1:$I$89,3,0)*VLOOKUP('Données projet'!$B$10,Paramètres!$A$1:$I$89,5,0)</f>
        <v>-2.1282176021486519E-13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199.36309817800088</v>
      </c>
      <c r="AO138" s="62">
        <f t="shared" si="144"/>
        <v>151.91120569748284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-1.7053025658242404E-13</v>
      </c>
      <c r="BE138" s="14">
        <f>BD138*VLOOKUP('Données projet'!$B$11,Paramètres!$A$1:$I$89,3,0)*VLOOKUP('Données projet'!$B$11,Paramètres!$A$1:$I$89,5,0)</f>
        <v>-1.0197709343628959E-13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140.16059323013189</v>
      </c>
      <c r="BJ138" s="62">
        <f t="shared" si="146"/>
        <v>219.0992563594865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1.3497588312348967</v>
      </c>
      <c r="BQ138" s="23">
        <f>EXP(-LN(2)/25)*BQ137+(1-EXP(-LN(2)/25))/(LN(2)/25)*Calculateur!BL138*Calculateur!BN138*VLOOKUP('Données projet'!$B$11,Paramètres!$A$1:$I$89,3,0)*0.475*44/12</f>
        <v>0.49310705362012319</v>
      </c>
      <c r="BR138" s="23">
        <f>EXP(-LN(2)/2)*BR137+(1-EXP(-LN(2)/2))/(LN(2)/2)*BL138*BO138*VLOOKUP('Données projet'!$B$11,Paramètres!$A$1:$I$89,3,0)*0.475*44/12</f>
        <v>1.6985868799995119E-15</v>
      </c>
      <c r="BS138" s="24">
        <f t="shared" si="117"/>
        <v>1.8428658848550217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2">
        <f t="shared" si="140"/>
        <v>26.894136617382109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70">
        <f t="shared" si="110"/>
        <v>513.8445946086066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6.3550942286383367E-14</v>
      </c>
      <c r="P139" s="14">
        <f t="shared" si="141"/>
        <v>1.0064464192543978E-12</v>
      </c>
      <c r="Q139" s="22">
        <f t="shared" si="108"/>
        <v>1.8635787380168604E-12</v>
      </c>
      <c r="R139" s="62">
        <f t="shared" si="109"/>
        <v>293.33333333333519</v>
      </c>
      <c r="S139" s="62">
        <f ca="1">AVERAGE(OFFSET($R$3,0,0,'Données projet'!$E$9+1,1))-AVERAGE(OFFSET($H$3,0,0,'Données projet'!$E$9+1,1))</f>
        <v>262.38865315945856</v>
      </c>
      <c r="T139" s="62">
        <f t="shared" si="142"/>
        <v>268.78503805457069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2.5984311786115359</v>
      </c>
      <c r="AA139" s="23">
        <f>EXP(-LN(2)/25)*AA138+(1-EXP(-LN(2)/25))/(LN(2)/25)*Calculateur!V139*Calculateur!X139*VLOOKUP('Données projet'!$B$9,Paramètres!$A$1:$I$89,3,0)*0.475*44/12</f>
        <v>0.10818064246306079</v>
      </c>
      <c r="AB139" s="23">
        <f>EXP(-LN(2)/2)*AB138+(1-EXP(-LN(2)/2))/(LN(2)/2)*V139*Y139*VLOOKUP('Données projet'!$B$9,Paramètres!$A$1:$I$89,3,0)*0.475*44/12</f>
        <v>5.753564622698232E-16</v>
      </c>
      <c r="AC139" s="24">
        <f t="shared" si="111"/>
        <v>2.7066118210745973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-4.5474735088646412E-13</v>
      </c>
      <c r="AJ139" s="14">
        <f>AI139*VLOOKUP('Données projet'!$B$10,Paramètres!$A$1:$I$89,3,0)*VLOOKUP('Données projet'!$B$10,Paramètres!$A$1:$I$89,5,0)</f>
        <v>-2.1282176021486519E-13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199.36309817800088</v>
      </c>
      <c r="AO139" s="62">
        <f t="shared" si="144"/>
        <v>151.91120569748284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-1.7053025658242404E-13</v>
      </c>
      <c r="BE139" s="14">
        <f>BD139*VLOOKUP('Données projet'!$B$11,Paramètres!$A$1:$I$89,3,0)*VLOOKUP('Données projet'!$B$11,Paramètres!$A$1:$I$89,5,0)</f>
        <v>-1.0197709343628959E-13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140.16059323013189</v>
      </c>
      <c r="BJ139" s="62">
        <f t="shared" si="146"/>
        <v>219.0992563594865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1.323290883825976</v>
      </c>
      <c r="BQ139" s="23">
        <f>EXP(-LN(2)/25)*BQ138+(1-EXP(-LN(2)/25))/(LN(2)/25)*Calculateur!BL139*Calculateur!BN139*VLOOKUP('Données projet'!$B$11,Paramètres!$A$1:$I$89,3,0)*0.475*44/12</f>
        <v>0.479623015307508</v>
      </c>
      <c r="BR139" s="23">
        <f>EXP(-LN(2)/2)*BR138+(1-EXP(-LN(2)/2))/(LN(2)/2)*BL139*BO139*VLOOKUP('Données projet'!$B$11,Paramètres!$A$1:$I$89,3,0)*0.475*44/12</f>
        <v>1.2010823012821553E-15</v>
      </c>
      <c r="BS139" s="24">
        <f t="shared" si="117"/>
        <v>1.8029138991334852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2">
        <f t="shared" si="140"/>
        <v>27.068794833452092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70">
        <f t="shared" si="110"/>
        <v>515.42578100159517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6.3550942286383367E-14</v>
      </c>
      <c r="P140" s="14">
        <f t="shared" si="141"/>
        <v>1.0064464192543978E-12</v>
      </c>
      <c r="Q140" s="22">
        <f t="shared" si="108"/>
        <v>1.8635787380168604E-12</v>
      </c>
      <c r="R140" s="62">
        <f t="shared" si="109"/>
        <v>293.33333333333519</v>
      </c>
      <c r="S140" s="62">
        <f ca="1">AVERAGE(OFFSET($R$3,0,0,'Données projet'!$E$9+1,1))-AVERAGE(OFFSET($H$3,0,0,'Données projet'!$E$9+1,1))</f>
        <v>262.38865315945856</v>
      </c>
      <c r="T140" s="62">
        <f t="shared" si="142"/>
        <v>268.78503805457069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2.547477528085488</v>
      </c>
      <c r="AA140" s="23">
        <f>EXP(-LN(2)/25)*AA139+(1-EXP(-LN(2)/25))/(LN(2)/25)*Calculateur!V140*Calculateur!X140*VLOOKUP('Données projet'!$B$9,Paramètres!$A$1:$I$89,3,0)*0.475*44/12</f>
        <v>0.10522243710593565</v>
      </c>
      <c r="AB140" s="23">
        <f>EXP(-LN(2)/2)*AB139+(1-EXP(-LN(2)/2))/(LN(2)/2)*V140*Y140*VLOOKUP('Données projet'!$B$9,Paramètres!$A$1:$I$89,3,0)*0.475*44/12</f>
        <v>4.0683845607049396E-16</v>
      </c>
      <c r="AC140" s="24">
        <f t="shared" si="111"/>
        <v>2.6526999651914243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-4.5474735088646412E-13</v>
      </c>
      <c r="AJ140" s="14">
        <f>AI140*VLOOKUP('Données projet'!$B$10,Paramètres!$A$1:$I$89,3,0)*VLOOKUP('Données projet'!$B$10,Paramètres!$A$1:$I$89,5,0)</f>
        <v>-2.1282176021486519E-13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199.36309817800088</v>
      </c>
      <c r="AO140" s="62">
        <f t="shared" si="144"/>
        <v>151.91120569748284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-1.7053025658242404E-13</v>
      </c>
      <c r="BE140" s="14">
        <f>BD140*VLOOKUP('Données projet'!$B$11,Paramètres!$A$1:$I$89,3,0)*VLOOKUP('Données projet'!$B$11,Paramètres!$A$1:$I$89,5,0)</f>
        <v>-1.0197709343628959E-13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140.16059323013189</v>
      </c>
      <c r="BJ140" s="62">
        <f t="shared" si="146"/>
        <v>219.0992563594865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1.2973419567218905</v>
      </c>
      <c r="BQ140" s="23">
        <f>EXP(-LN(2)/25)*BQ139+(1-EXP(-LN(2)/25))/(LN(2)/25)*Calculateur!BL140*Calculateur!BN140*VLOOKUP('Données projet'!$B$11,Paramètres!$A$1:$I$89,3,0)*0.475*44/12</f>
        <v>0.46650769873164599</v>
      </c>
      <c r="BR140" s="23">
        <f>EXP(-LN(2)/2)*BR139+(1-EXP(-LN(2)/2))/(LN(2)/2)*BL140*BO140*VLOOKUP('Données projet'!$B$11,Paramètres!$A$1:$I$89,3,0)*0.475*44/12</f>
        <v>8.4929343999975596E-16</v>
      </c>
      <c r="BS140" s="24">
        <f t="shared" si="117"/>
        <v>1.7638496554535372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2">
        <f t="shared" si="140"/>
        <v>27.243304715412286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70">
        <f t="shared" si="110"/>
        <v>517.00670904600918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6.3550942286383367E-14</v>
      </c>
      <c r="P141" s="14">
        <f t="shared" si="141"/>
        <v>1.0064464192543978E-12</v>
      </c>
      <c r="Q141" s="22">
        <f t="shared" si="108"/>
        <v>1.8635787380168604E-12</v>
      </c>
      <c r="R141" s="62">
        <f t="shared" si="109"/>
        <v>293.33333333333519</v>
      </c>
      <c r="S141" s="62">
        <f ca="1">AVERAGE(OFFSET($R$3,0,0,'Données projet'!$E$9+1,1))-AVERAGE(OFFSET($H$3,0,0,'Données projet'!$E$9+1,1))</f>
        <v>262.38865315945856</v>
      </c>
      <c r="T141" s="62">
        <f t="shared" si="142"/>
        <v>268.78503805457069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2.497523047567598</v>
      </c>
      <c r="AA141" s="23">
        <f>EXP(-LN(2)/25)*AA140+(1-EXP(-LN(2)/25))/(LN(2)/25)*Calculateur!V141*Calculateur!X141*VLOOKUP('Données projet'!$B$9,Paramètres!$A$1:$I$89,3,0)*0.475*44/12</f>
        <v>0.10234512402986637</v>
      </c>
      <c r="AB141" s="23">
        <f>EXP(-LN(2)/2)*AB140+(1-EXP(-LN(2)/2))/(LN(2)/2)*V141*Y141*VLOOKUP('Données projet'!$B$9,Paramètres!$A$1:$I$89,3,0)*0.475*44/12</f>
        <v>2.876782311349116E-16</v>
      </c>
      <c r="AC141" s="24">
        <f t="shared" si="111"/>
        <v>2.599868171597465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-4.5474735088646412E-13</v>
      </c>
      <c r="AJ141" s="14">
        <f>AI141*VLOOKUP('Données projet'!$B$10,Paramètres!$A$1:$I$89,3,0)*VLOOKUP('Données projet'!$B$10,Paramètres!$A$1:$I$89,5,0)</f>
        <v>-2.1282176021486519E-13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199.36309817800088</v>
      </c>
      <c r="AO141" s="62">
        <f t="shared" si="144"/>
        <v>151.91120569748284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-1.7053025658242404E-13</v>
      </c>
      <c r="BE141" s="14">
        <f>BD141*VLOOKUP('Données projet'!$B$11,Paramètres!$A$1:$I$89,3,0)*VLOOKUP('Données projet'!$B$11,Paramètres!$A$1:$I$89,5,0)</f>
        <v>-1.0197709343628959E-13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140.16059323013189</v>
      </c>
      <c r="BJ141" s="62">
        <f t="shared" si="146"/>
        <v>219.0992563594865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1.2719018722510333</v>
      </c>
      <c r="BQ141" s="23">
        <f>EXP(-LN(2)/25)*BQ140+(1-EXP(-LN(2)/25))/(LN(2)/25)*Calculateur!BL141*Calculateur!BN141*VLOOKUP('Données projet'!$B$11,Paramètres!$A$1:$I$89,3,0)*0.475*44/12</f>
        <v>0.45375102117725546</v>
      </c>
      <c r="BR141" s="23">
        <f>EXP(-LN(2)/2)*BR140+(1-EXP(-LN(2)/2))/(LN(2)/2)*BL141*BO141*VLOOKUP('Données projet'!$B$11,Paramètres!$A$1:$I$89,3,0)*0.475*44/12</f>
        <v>6.0054115064107766E-16</v>
      </c>
      <c r="BS141" s="24">
        <f t="shared" si="117"/>
        <v>1.7256528934282895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2">
        <f t="shared" si="140"/>
        <v>27.417667462779246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70">
        <f t="shared" si="110"/>
        <v>518.58738083100661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6.3550942286383367E-14</v>
      </c>
      <c r="P142" s="14">
        <f t="shared" si="141"/>
        <v>1.0064464192543978E-12</v>
      </c>
      <c r="Q142" s="22">
        <f t="shared" si="108"/>
        <v>1.8635787380168604E-12</v>
      </c>
      <c r="R142" s="62">
        <f t="shared" si="109"/>
        <v>293.33333333333519</v>
      </c>
      <c r="S142" s="62">
        <f ca="1">AVERAGE(OFFSET($R$3,0,0,'Données projet'!$E$9+1,1))-AVERAGE(OFFSET($H$3,0,0,'Données projet'!$E$9+1,1))</f>
        <v>262.38865315945856</v>
      </c>
      <c r="T142" s="62">
        <f t="shared" si="142"/>
        <v>268.78503805457069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2.4485481439434391</v>
      </c>
      <c r="AA142" s="23">
        <f>EXP(-LN(2)/25)*AA141+(1-EXP(-LN(2)/25))/(LN(2)/25)*Calculateur!V142*Calculateur!X142*VLOOKUP('Données projet'!$B$9,Paramètres!$A$1:$I$89,3,0)*0.475*44/12</f>
        <v>9.9546491231173512E-2</v>
      </c>
      <c r="AB142" s="23">
        <f>EXP(-LN(2)/2)*AB141+(1-EXP(-LN(2)/2))/(LN(2)/2)*V142*Y142*VLOOKUP('Données projet'!$B$9,Paramètres!$A$1:$I$89,3,0)*0.475*44/12</f>
        <v>2.0341922803524698E-16</v>
      </c>
      <c r="AC142" s="24">
        <f t="shared" si="111"/>
        <v>2.5480946351746128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-4.5474735088646412E-13</v>
      </c>
      <c r="AJ142" s="14">
        <f>AI142*VLOOKUP('Données projet'!$B$10,Paramètres!$A$1:$I$89,3,0)*VLOOKUP('Données projet'!$B$10,Paramètres!$A$1:$I$89,5,0)</f>
        <v>-2.1282176021486519E-13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199.36309817800088</v>
      </c>
      <c r="AO142" s="62">
        <f t="shared" si="144"/>
        <v>151.91120569748284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-1.7053025658242404E-13</v>
      </c>
      <c r="BE142" s="14">
        <f>BD142*VLOOKUP('Données projet'!$B$11,Paramètres!$A$1:$I$89,3,0)*VLOOKUP('Données projet'!$B$11,Paramètres!$A$1:$I$89,5,0)</f>
        <v>-1.0197709343628959E-13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140.16059323013189</v>
      </c>
      <c r="BJ142" s="62">
        <f t="shared" si="146"/>
        <v>219.0992563594865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1.2469606523197303</v>
      </c>
      <c r="BQ142" s="23">
        <f>EXP(-LN(2)/25)*BQ141+(1-EXP(-LN(2)/25))/(LN(2)/25)*Calculateur!BL142*Calculateur!BN142*VLOOKUP('Données projet'!$B$11,Paramètres!$A$1:$I$89,3,0)*0.475*44/12</f>
        <v>0.44134317564143427</v>
      </c>
      <c r="BR142" s="23">
        <f>EXP(-LN(2)/2)*BR141+(1-EXP(-LN(2)/2))/(LN(2)/2)*BL142*BO142*VLOOKUP('Données projet'!$B$11,Paramètres!$A$1:$I$89,3,0)*0.475*44/12</f>
        <v>4.2464671999987798E-16</v>
      </c>
      <c r="BS142" s="24">
        <f t="shared" si="117"/>
        <v>1.6883038279611651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2">
        <f t="shared" si="140"/>
        <v>27.591884256812975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70">
        <f t="shared" si="110"/>
        <v>520.16779841394873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6.3550942286383367E-14</v>
      </c>
      <c r="P143" s="14">
        <f t="shared" si="141"/>
        <v>1.0064464192543978E-12</v>
      </c>
      <c r="Q143" s="22">
        <f t="shared" si="108"/>
        <v>1.8635787380168604E-12</v>
      </c>
      <c r="R143" s="62">
        <f t="shared" si="109"/>
        <v>293.33333333333519</v>
      </c>
      <c r="S143" s="62">
        <f ca="1">AVERAGE(OFFSET($R$3,0,0,'Données projet'!$E$9+1,1))-AVERAGE(OFFSET($H$3,0,0,'Données projet'!$E$9+1,1))</f>
        <v>262.38865315945856</v>
      </c>
      <c r="T143" s="62">
        <f t="shared" si="142"/>
        <v>268.78503805457069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2.4005336083076085</v>
      </c>
      <c r="AA143" s="23">
        <f>EXP(-LN(2)/25)*AA142+(1-EXP(-LN(2)/25))/(LN(2)/25)*Calculateur!V143*Calculateur!X143*VLOOKUP('Données projet'!$B$9,Paramètres!$A$1:$I$89,3,0)*0.475*44/12</f>
        <v>9.6824387193534617E-2</v>
      </c>
      <c r="AB143" s="23">
        <f>EXP(-LN(2)/2)*AB142+(1-EXP(-LN(2)/2))/(LN(2)/2)*V143*Y143*VLOOKUP('Données projet'!$B$9,Paramètres!$A$1:$I$89,3,0)*0.475*44/12</f>
        <v>1.438391155674558E-16</v>
      </c>
      <c r="AC143" s="24">
        <f t="shared" si="111"/>
        <v>2.4973579955011433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-4.5474735088646412E-13</v>
      </c>
      <c r="AJ143" s="14">
        <f>AI143*VLOOKUP('Données projet'!$B$10,Paramètres!$A$1:$I$89,3,0)*VLOOKUP('Données projet'!$B$10,Paramètres!$A$1:$I$89,5,0)</f>
        <v>-2.1282176021486519E-13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199.36309817800088</v>
      </c>
      <c r="AO143" s="62">
        <f t="shared" si="144"/>
        <v>151.91120569748284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-1.7053025658242404E-13</v>
      </c>
      <c r="BE143" s="14">
        <f>BD143*VLOOKUP('Données projet'!$B$11,Paramètres!$A$1:$I$89,3,0)*VLOOKUP('Données projet'!$B$11,Paramètres!$A$1:$I$89,5,0)</f>
        <v>-1.0197709343628959E-13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140.16059323013189</v>
      </c>
      <c r="BJ143" s="62">
        <f t="shared" si="146"/>
        <v>219.0992563594865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1.2225085144986381</v>
      </c>
      <c r="BQ143" s="23">
        <f>EXP(-LN(2)/25)*BQ142+(1-EXP(-LN(2)/25))/(LN(2)/25)*Calculateur!BL143*Calculateur!BN143*VLOOKUP('Données projet'!$B$11,Paramètres!$A$1:$I$89,3,0)*0.475*44/12</f>
        <v>0.42927462329429034</v>
      </c>
      <c r="BR143" s="23">
        <f>EXP(-LN(2)/2)*BR142+(1-EXP(-LN(2)/2))/(LN(2)/2)*BL143*BO143*VLOOKUP('Données projet'!$B$11,Paramètres!$A$1:$I$89,3,0)*0.475*44/12</f>
        <v>3.0027057532053883E-16</v>
      </c>
      <c r="BS143" s="24">
        <f t="shared" si="117"/>
        <v>1.6517831377929286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2">
        <f t="shared" si="140"/>
        <v>27.765956260923254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70">
        <f t="shared" si="110"/>
        <v>521.74796382110731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6.3550942286383367E-14</v>
      </c>
      <c r="P144" s="14">
        <f t="shared" si="141"/>
        <v>1.0064464192543978E-12</v>
      </c>
      <c r="Q144" s="22">
        <f t="shared" si="108"/>
        <v>1.8635787380168604E-12</v>
      </c>
      <c r="R144" s="62">
        <f t="shared" si="109"/>
        <v>293.33333333333519</v>
      </c>
      <c r="S144" s="62">
        <f ca="1">AVERAGE(OFFSET($R$3,0,0,'Données projet'!$E$9+1,1))-AVERAGE(OFFSET($H$3,0,0,'Données projet'!$E$9+1,1))</f>
        <v>262.38865315945856</v>
      </c>
      <c r="T144" s="62">
        <f t="shared" si="142"/>
        <v>268.78503805457069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2.3534606084296215</v>
      </c>
      <c r="AA144" s="23">
        <f>EXP(-LN(2)/25)*AA143+(1-EXP(-LN(2)/25))/(LN(2)/25)*Calculateur!V144*Calculateur!X144*VLOOKUP('Données projet'!$B$9,Paramètres!$A$1:$I$89,3,0)*0.475*44/12</f>
        <v>9.4176719233954181E-2</v>
      </c>
      <c r="AB144" s="23">
        <f>EXP(-LN(2)/2)*AB143+(1-EXP(-LN(2)/2))/(LN(2)/2)*V144*Y144*VLOOKUP('Données projet'!$B$9,Paramètres!$A$1:$I$89,3,0)*0.475*44/12</f>
        <v>1.0170961401762349E-16</v>
      </c>
      <c r="AC144" s="24">
        <f t="shared" si="111"/>
        <v>2.4476373276635757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-4.5474735088646412E-13</v>
      </c>
      <c r="AJ144" s="14">
        <f>AI144*VLOOKUP('Données projet'!$B$10,Paramètres!$A$1:$I$89,3,0)*VLOOKUP('Données projet'!$B$10,Paramètres!$A$1:$I$89,5,0)</f>
        <v>-2.1282176021486519E-13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199.36309817800088</v>
      </c>
      <c r="AO144" s="62">
        <f t="shared" si="144"/>
        <v>151.91120569748284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-1.7053025658242404E-13</v>
      </c>
      <c r="BE144" s="14">
        <f>BD144*VLOOKUP('Données projet'!$B$11,Paramètres!$A$1:$I$89,3,0)*VLOOKUP('Données projet'!$B$11,Paramètres!$A$1:$I$89,5,0)</f>
        <v>-1.0197709343628959E-13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140.16059323013189</v>
      </c>
      <c r="BJ144" s="62">
        <f t="shared" si="146"/>
        <v>219.0992563594865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1.1985358681858862</v>
      </c>
      <c r="BQ144" s="23">
        <f>EXP(-LN(2)/25)*BQ143+(1-EXP(-LN(2)/25))/(LN(2)/25)*Calculateur!BL144*Calculateur!BN144*VLOOKUP('Données projet'!$B$11,Paramètres!$A$1:$I$89,3,0)*0.475*44/12</f>
        <v>0.41753608614573667</v>
      </c>
      <c r="BR144" s="23">
        <f>EXP(-LN(2)/2)*BR143+(1-EXP(-LN(2)/2))/(LN(2)/2)*BL144*BO144*VLOOKUP('Données projet'!$B$11,Paramètres!$A$1:$I$89,3,0)*0.475*44/12</f>
        <v>2.1232335999993899E-16</v>
      </c>
      <c r="BS144" s="24">
        <f t="shared" si="117"/>
        <v>1.6160719543316231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2">
        <f t="shared" si="140"/>
        <v>27.939884621063818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70">
        <f t="shared" si="110"/>
        <v>523.3278790483522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6.3550942286383367E-14</v>
      </c>
      <c r="P145" s="14">
        <f t="shared" si="141"/>
        <v>1.0064464192543978E-12</v>
      </c>
      <c r="Q145" s="22">
        <f t="shared" si="108"/>
        <v>1.8635787380168604E-12</v>
      </c>
      <c r="R145" s="62">
        <f t="shared" si="109"/>
        <v>293.33333333333519</v>
      </c>
      <c r="S145" s="62">
        <f ca="1">AVERAGE(OFFSET($R$3,0,0,'Données projet'!$E$9+1,1))-AVERAGE(OFFSET($H$3,0,0,'Données projet'!$E$9+1,1))</f>
        <v>262.38865315945856</v>
      </c>
      <c r="T145" s="62">
        <f t="shared" si="142"/>
        <v>268.78503805457069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2.307310681367547</v>
      </c>
      <c r="AA145" s="23">
        <f>EXP(-LN(2)/25)*AA144+(1-EXP(-LN(2)/25))/(LN(2)/25)*Calculateur!V145*Calculateur!X145*VLOOKUP('Données projet'!$B$9,Paramètres!$A$1:$I$89,3,0)*0.475*44/12</f>
        <v>9.1601451893963279E-2</v>
      </c>
      <c r="AB145" s="23">
        <f>EXP(-LN(2)/2)*AB144+(1-EXP(-LN(2)/2))/(LN(2)/2)*V145*Y145*VLOOKUP('Données projet'!$B$9,Paramètres!$A$1:$I$89,3,0)*0.475*44/12</f>
        <v>7.19195577837279E-17</v>
      </c>
      <c r="AC145" s="24">
        <f t="shared" si="111"/>
        <v>2.3989121332615104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-4.5474735088646412E-13</v>
      </c>
      <c r="AJ145" s="14">
        <f>AI145*VLOOKUP('Données projet'!$B$10,Paramètres!$A$1:$I$89,3,0)*VLOOKUP('Données projet'!$B$10,Paramètres!$A$1:$I$89,5,0)</f>
        <v>-2.1282176021486519E-13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199.36309817800088</v>
      </c>
      <c r="AO145" s="62">
        <f t="shared" si="144"/>
        <v>151.91120569748284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-1.7053025658242404E-13</v>
      </c>
      <c r="BE145" s="14">
        <f>BD145*VLOOKUP('Données projet'!$B$11,Paramètres!$A$1:$I$89,3,0)*VLOOKUP('Données projet'!$B$11,Paramètres!$A$1:$I$89,5,0)</f>
        <v>-1.0197709343628959E-13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140.16059323013189</v>
      </c>
      <c r="BJ145" s="62">
        <f t="shared" si="146"/>
        <v>219.0992563594865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1.1750333108454569</v>
      </c>
      <c r="BQ145" s="23">
        <f>EXP(-LN(2)/25)*BQ144+(1-EXP(-LN(2)/25))/(LN(2)/25)*Calculateur!BL145*Calculateur!BN145*VLOOKUP('Données projet'!$B$11,Paramètres!$A$1:$I$89,3,0)*0.475*44/12</f>
        <v>0.40611853991281305</v>
      </c>
      <c r="BR145" s="23">
        <f>EXP(-LN(2)/2)*BR144+(1-EXP(-LN(2)/2))/(LN(2)/2)*BL145*BO145*VLOOKUP('Données projet'!$B$11,Paramètres!$A$1:$I$89,3,0)*0.475*44/12</f>
        <v>1.5013528766026941E-16</v>
      </c>
      <c r="BS145" s="24">
        <f t="shared" si="117"/>
        <v>1.5811518507582702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2">
        <f t="shared" si="140"/>
        <v>28.113670466115568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70">
        <f t="shared" si="110"/>
        <v>524.90754606181736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6.3550942286383367E-14</v>
      </c>
      <c r="P146" s="14">
        <f t="shared" si="141"/>
        <v>1.0064464192543978E-12</v>
      </c>
      <c r="Q146" s="22">
        <f t="shared" si="108"/>
        <v>1.8635787380168604E-12</v>
      </c>
      <c r="R146" s="62">
        <f t="shared" si="109"/>
        <v>293.33333333333519</v>
      </c>
      <c r="S146" s="62">
        <f ca="1">AVERAGE(OFFSET($R$3,0,0,'Données projet'!$E$9+1,1))-AVERAGE(OFFSET($H$3,0,0,'Données projet'!$E$9+1,1))</f>
        <v>262.38865315945856</v>
      </c>
      <c r="T146" s="62">
        <f t="shared" si="142"/>
        <v>268.78503805457069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2.2620657262264836</v>
      </c>
      <c r="AA146" s="23">
        <f>EXP(-LN(2)/25)*AA145+(1-EXP(-LN(2)/25))/(LN(2)/25)*Calculateur!V146*Calculateur!X146*VLOOKUP('Données projet'!$B$9,Paramètres!$A$1:$I$89,3,0)*0.475*44/12</f>
        <v>8.9096605374811857E-2</v>
      </c>
      <c r="AB146" s="23">
        <f>EXP(-LN(2)/2)*AB145+(1-EXP(-LN(2)/2))/(LN(2)/2)*V146*Y146*VLOOKUP('Données projet'!$B$9,Paramètres!$A$1:$I$89,3,0)*0.475*44/12</f>
        <v>5.0854807008811745E-17</v>
      </c>
      <c r="AC146" s="24">
        <f t="shared" si="111"/>
        <v>2.3511623316012953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-4.5474735088646412E-13</v>
      </c>
      <c r="AJ146" s="14">
        <f>AI146*VLOOKUP('Données projet'!$B$10,Paramètres!$A$1:$I$89,3,0)*VLOOKUP('Données projet'!$B$10,Paramètres!$A$1:$I$89,5,0)</f>
        <v>-2.1282176021486519E-13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199.36309817800088</v>
      </c>
      <c r="AO146" s="62">
        <f t="shared" si="144"/>
        <v>151.91120569748284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-1.7053025658242404E-13</v>
      </c>
      <c r="BE146" s="14">
        <f>BD146*VLOOKUP('Données projet'!$B$11,Paramètres!$A$1:$I$89,3,0)*VLOOKUP('Données projet'!$B$11,Paramètres!$A$1:$I$89,5,0)</f>
        <v>-1.0197709343628959E-13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140.16059323013189</v>
      </c>
      <c r="BJ146" s="62">
        <f t="shared" si="146"/>
        <v>219.0992563594865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1.1519916243193289</v>
      </c>
      <c r="BQ146" s="23">
        <f>EXP(-LN(2)/25)*BQ145+(1-EXP(-LN(2)/25))/(LN(2)/25)*Calculateur!BL146*Calculateur!BN146*VLOOKUP('Données projet'!$B$11,Paramètres!$A$1:$I$89,3,0)*0.475*44/12</f>
        <v>0.39501320708205134</v>
      </c>
      <c r="BR146" s="23">
        <f>EXP(-LN(2)/2)*BR145+(1-EXP(-LN(2)/2))/(LN(2)/2)*BL146*BO146*VLOOKUP('Données projet'!$B$11,Paramètres!$A$1:$I$89,3,0)*0.475*44/12</f>
        <v>1.0616167999996949E-16</v>
      </c>
      <c r="BS146" s="24">
        <f t="shared" si="117"/>
        <v>1.5470048314013802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2">
        <f t="shared" si="140"/>
        <v>28.287314908258214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70">
        <f t="shared" si="110"/>
        <v>526.48696679854902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6.3550942286383367E-14</v>
      </c>
      <c r="P147" s="14">
        <f t="shared" si="141"/>
        <v>1.0064464192543978E-12</v>
      </c>
      <c r="Q147" s="22">
        <f t="shared" si="108"/>
        <v>1.8635787380168604E-12</v>
      </c>
      <c r="R147" s="62">
        <f t="shared" si="109"/>
        <v>293.33333333333519</v>
      </c>
      <c r="S147" s="62">
        <f ca="1">AVERAGE(OFFSET($R$3,0,0,'Données projet'!$E$9+1,1))-AVERAGE(OFFSET($H$3,0,0,'Données projet'!$E$9+1,1))</f>
        <v>262.38865315945856</v>
      </c>
      <c r="T147" s="62">
        <f t="shared" si="142"/>
        <v>268.78503805457069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2.2177079970590388</v>
      </c>
      <c r="AA147" s="23">
        <f>EXP(-LN(2)/25)*AA146+(1-EXP(-LN(2)/25))/(LN(2)/25)*Calculateur!V147*Calculateur!X147*VLOOKUP('Données projet'!$B$9,Paramètres!$A$1:$I$89,3,0)*0.475*44/12</f>
        <v>8.6660254015450786E-2</v>
      </c>
      <c r="AB147" s="23">
        <f>EXP(-LN(2)/2)*AB146+(1-EXP(-LN(2)/2))/(LN(2)/2)*V147*Y147*VLOOKUP('Données projet'!$B$9,Paramètres!$A$1:$I$89,3,0)*0.475*44/12</f>
        <v>3.595977889186395E-17</v>
      </c>
      <c r="AC147" s="24">
        <f t="shared" si="111"/>
        <v>2.3043682510744894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-4.5474735088646412E-13</v>
      </c>
      <c r="AJ147" s="14">
        <f>AI147*VLOOKUP('Données projet'!$B$10,Paramètres!$A$1:$I$89,3,0)*VLOOKUP('Données projet'!$B$10,Paramètres!$A$1:$I$89,5,0)</f>
        <v>-2.1282176021486519E-13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199.36309817800088</v>
      </c>
      <c r="AO147" s="62">
        <f t="shared" si="144"/>
        <v>151.91120569748284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-1.7053025658242404E-13</v>
      </c>
      <c r="BE147" s="14">
        <f>BD147*VLOOKUP('Données projet'!$B$11,Paramètres!$A$1:$I$89,3,0)*VLOOKUP('Données projet'!$B$11,Paramètres!$A$1:$I$89,5,0)</f>
        <v>-1.0197709343628959E-13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140.16059323013189</v>
      </c>
      <c r="BJ147" s="62">
        <f t="shared" si="146"/>
        <v>219.0992563594865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1.1294017712119373</v>
      </c>
      <c r="BQ147" s="23">
        <f>EXP(-LN(2)/25)*BQ146+(1-EXP(-LN(2)/25))/(LN(2)/25)*Calculateur!BL147*Calculateur!BN147*VLOOKUP('Données projet'!$B$11,Paramètres!$A$1:$I$89,3,0)*0.475*44/12</f>
        <v>0.3842115501615509</v>
      </c>
      <c r="BR147" s="23">
        <f>EXP(-LN(2)/2)*BR146+(1-EXP(-LN(2)/2))/(LN(2)/2)*BL147*BO147*VLOOKUP('Données projet'!$B$11,Paramètres!$A$1:$I$89,3,0)*0.475*44/12</f>
        <v>7.5067643830134707E-17</v>
      </c>
      <c r="BS147" s="24">
        <f t="shared" si="117"/>
        <v>1.5136133213734881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2">
        <f t="shared" si="140"/>
        <v>28.460819043331849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70">
        <f t="shared" si="110"/>
        <v>528.06614316713558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6.3550942286383367E-14</v>
      </c>
      <c r="P148" s="14">
        <f t="shared" si="141"/>
        <v>1.0064464192543978E-12</v>
      </c>
      <c r="Q148" s="22">
        <f t="shared" si="108"/>
        <v>1.8635787380168604E-12</v>
      </c>
      <c r="R148" s="62">
        <f t="shared" si="109"/>
        <v>293.33333333333519</v>
      </c>
      <c r="S148" s="62">
        <f ca="1">AVERAGE(OFFSET($R$3,0,0,'Données projet'!$E$9+1,1))-AVERAGE(OFFSET($H$3,0,0,'Données projet'!$E$9+1,1))</f>
        <v>262.38865315945856</v>
      </c>
      <c r="T148" s="62">
        <f t="shared" si="142"/>
        <v>268.78503805457069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2.1742200959050244</v>
      </c>
      <c r="AA148" s="23">
        <f>EXP(-LN(2)/25)*AA147+(1-EXP(-LN(2)/25))/(LN(2)/25)*Calculateur!V148*Calculateur!X148*VLOOKUP('Données projet'!$B$9,Paramètres!$A$1:$I$89,3,0)*0.475*44/12</f>
        <v>8.4290524812133588E-2</v>
      </c>
      <c r="AB148" s="23">
        <f>EXP(-LN(2)/2)*AB147+(1-EXP(-LN(2)/2))/(LN(2)/2)*V148*Y148*VLOOKUP('Données projet'!$B$9,Paramètres!$A$1:$I$89,3,0)*0.475*44/12</f>
        <v>2.5427403504405873E-17</v>
      </c>
      <c r="AC148" s="24">
        <f t="shared" si="111"/>
        <v>2.2585106207171579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-4.5474735088646412E-13</v>
      </c>
      <c r="AJ148" s="14">
        <f>AI148*VLOOKUP('Données projet'!$B$10,Paramètres!$A$1:$I$89,3,0)*VLOOKUP('Données projet'!$B$10,Paramètres!$A$1:$I$89,5,0)</f>
        <v>-2.1282176021486519E-13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199.36309817800088</v>
      </c>
      <c r="AO148" s="62">
        <f t="shared" si="144"/>
        <v>151.91120569748284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-1.7053025658242404E-13</v>
      </c>
      <c r="BE148" s="14">
        <f>BD148*VLOOKUP('Données projet'!$B$11,Paramètres!$A$1:$I$89,3,0)*VLOOKUP('Données projet'!$B$11,Paramètres!$A$1:$I$89,5,0)</f>
        <v>-1.0197709343628959E-13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140.16059323013189</v>
      </c>
      <c r="BJ148" s="62">
        <f t="shared" si="146"/>
        <v>219.0992563594865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1.1072548913455316</v>
      </c>
      <c r="BQ148" s="23">
        <f>EXP(-LN(2)/25)*BQ147+(1-EXP(-LN(2)/25))/(LN(2)/25)*Calculateur!BL148*Calculateur!BN148*VLOOKUP('Données projet'!$B$11,Paramètres!$A$1:$I$89,3,0)*0.475*44/12</f>
        <v>0.37370526511757601</v>
      </c>
      <c r="BR148" s="23">
        <f>EXP(-LN(2)/2)*BR147+(1-EXP(-LN(2)/2))/(LN(2)/2)*BL148*BO148*VLOOKUP('Données projet'!$B$11,Paramètres!$A$1:$I$89,3,0)*0.475*44/12</f>
        <v>5.3080839999984747E-17</v>
      </c>
      <c r="BS148" s="24">
        <f t="shared" si="117"/>
        <v>1.4809601564631076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2">
        <f t="shared" si="140"/>
        <v>28.634183951187829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70">
        <f t="shared" si="110"/>
        <v>529.64507704831817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6.3550942286383367E-14</v>
      </c>
      <c r="P149" s="14">
        <f t="shared" si="141"/>
        <v>1.0064464192543978E-12</v>
      </c>
      <c r="Q149" s="22">
        <f t="shared" si="108"/>
        <v>1.8635787380168604E-12</v>
      </c>
      <c r="R149" s="62">
        <f t="shared" si="109"/>
        <v>293.33333333333519</v>
      </c>
      <c r="S149" s="62">
        <f ca="1">AVERAGE(OFFSET($R$3,0,0,'Données projet'!$E$9+1,1))-AVERAGE(OFFSET($H$3,0,0,'Données projet'!$E$9+1,1))</f>
        <v>262.38865315945856</v>
      </c>
      <c r="T149" s="62">
        <f t="shared" si="142"/>
        <v>268.78503805457069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2.1315849659676398</v>
      </c>
      <c r="AA149" s="23">
        <f>EXP(-LN(2)/25)*AA148+(1-EXP(-LN(2)/25))/(LN(2)/25)*Calculateur!V149*Calculateur!X149*VLOOKUP('Données projet'!$B$9,Paramètres!$A$1:$I$89,3,0)*0.475*44/12</f>
        <v>8.1985595978499748E-2</v>
      </c>
      <c r="AB149" s="23">
        <f>EXP(-LN(2)/2)*AB148+(1-EXP(-LN(2)/2))/(LN(2)/2)*V149*Y149*VLOOKUP('Données projet'!$B$9,Paramètres!$A$1:$I$89,3,0)*0.475*44/12</f>
        <v>1.7979889445931975E-17</v>
      </c>
      <c r="AC149" s="24">
        <f t="shared" si="111"/>
        <v>2.2135705619461397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-4.5474735088646412E-13</v>
      </c>
      <c r="AJ149" s="14">
        <f>AI149*VLOOKUP('Données projet'!$B$10,Paramètres!$A$1:$I$89,3,0)*VLOOKUP('Données projet'!$B$10,Paramètres!$A$1:$I$89,5,0)</f>
        <v>-2.1282176021486519E-13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199.36309817800088</v>
      </c>
      <c r="AO149" s="62">
        <f t="shared" si="144"/>
        <v>151.91120569748284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-1.7053025658242404E-13</v>
      </c>
      <c r="BE149" s="14">
        <f>BD149*VLOOKUP('Données projet'!$B$11,Paramètres!$A$1:$I$89,3,0)*VLOOKUP('Données projet'!$B$11,Paramètres!$A$1:$I$89,5,0)</f>
        <v>-1.0197709343628959E-13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140.16059323013189</v>
      </c>
      <c r="BJ149" s="62">
        <f t="shared" si="146"/>
        <v>219.0992563594865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1.0855422982850433</v>
      </c>
      <c r="BQ149" s="23">
        <f>EXP(-LN(2)/25)*BQ148+(1-EXP(-LN(2)/25))/(LN(2)/25)*Calculateur!BL149*Calculateur!BN149*VLOOKUP('Données projet'!$B$11,Paramètres!$A$1:$I$89,3,0)*0.475*44/12</f>
        <v>0.36348627499063013</v>
      </c>
      <c r="BR149" s="23">
        <f>EXP(-LN(2)/2)*BR148+(1-EXP(-LN(2)/2))/(LN(2)/2)*BL149*BO149*VLOOKUP('Données projet'!$B$11,Paramètres!$A$1:$I$89,3,0)*0.475*44/12</f>
        <v>3.7533821915067354E-17</v>
      </c>
      <c r="BS149" s="24">
        <f t="shared" si="117"/>
        <v>1.4490285732756734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2">
        <f t="shared" si="140"/>
        <v>28.807410696029962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70">
        <f t="shared" si="110"/>
        <v>531.22377029558493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6.3550942286383367E-14</v>
      </c>
      <c r="P150" s="14">
        <f t="shared" si="141"/>
        <v>1.0064464192543978E-12</v>
      </c>
      <c r="Q150" s="22">
        <f t="shared" si="108"/>
        <v>1.8635787380168604E-12</v>
      </c>
      <c r="R150" s="62">
        <f t="shared" si="109"/>
        <v>293.33333333333519</v>
      </c>
      <c r="S150" s="62">
        <f ca="1">AVERAGE(OFFSET($R$3,0,0,'Données projet'!$E$9+1,1))-AVERAGE(OFFSET($H$3,0,0,'Données projet'!$E$9+1,1))</f>
        <v>262.38865315945856</v>
      </c>
      <c r="T150" s="62">
        <f t="shared" si="142"/>
        <v>268.78503805457069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2.0897858849234656</v>
      </c>
      <c r="AA150" s="23">
        <f>EXP(-LN(2)/25)*AA149+(1-EXP(-LN(2)/25))/(LN(2)/25)*Calculateur!V150*Calculateur!X150*VLOOKUP('Données projet'!$B$9,Paramètres!$A$1:$I$89,3,0)*0.475*44/12</f>
        <v>7.9743695545032564E-2</v>
      </c>
      <c r="AB150" s="23">
        <f>EXP(-LN(2)/2)*AB149+(1-EXP(-LN(2)/2))/(LN(2)/2)*V150*Y150*VLOOKUP('Données projet'!$B$9,Paramètres!$A$1:$I$89,3,0)*0.475*44/12</f>
        <v>1.2713701752202936E-17</v>
      </c>
      <c r="AC150" s="24">
        <f t="shared" si="111"/>
        <v>2.169529580468498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-4.5474735088646412E-13</v>
      </c>
      <c r="AJ150" s="14">
        <f>AI150*VLOOKUP('Données projet'!$B$10,Paramètres!$A$1:$I$89,3,0)*VLOOKUP('Données projet'!$B$10,Paramètres!$A$1:$I$89,5,0)</f>
        <v>-2.1282176021486519E-13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199.36309817800088</v>
      </c>
      <c r="AO150" s="62">
        <f t="shared" si="144"/>
        <v>151.91120569748284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-1.7053025658242404E-13</v>
      </c>
      <c r="BE150" s="14">
        <f>BD150*VLOOKUP('Données projet'!$B$11,Paramètres!$A$1:$I$89,3,0)*VLOOKUP('Données projet'!$B$11,Paramètres!$A$1:$I$89,5,0)</f>
        <v>-1.0197709343628959E-13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140.16059323013189</v>
      </c>
      <c r="BJ150" s="62">
        <f t="shared" si="146"/>
        <v>219.0992563594865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1.0642554759310972</v>
      </c>
      <c r="BQ150" s="23">
        <f>EXP(-LN(2)/25)*BQ149+(1-EXP(-LN(2)/25))/(LN(2)/25)*Calculateur!BL150*Calculateur!BN150*VLOOKUP('Données projet'!$B$11,Paramètres!$A$1:$I$89,3,0)*0.475*44/12</f>
        <v>0.35354672368609891</v>
      </c>
      <c r="BR150" s="23">
        <f>EXP(-LN(2)/2)*BR149+(1-EXP(-LN(2)/2))/(LN(2)/2)*BL150*BO150*VLOOKUP('Données projet'!$B$11,Paramètres!$A$1:$I$89,3,0)*0.475*44/12</f>
        <v>2.6540419999992374E-17</v>
      </c>
      <c r="BS150" s="24">
        <f t="shared" si="117"/>
        <v>1.4178021996171961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2">
        <f t="shared" si="140"/>
        <v>28.980500326746164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70">
        <f t="shared" si="110"/>
        <v>532.80222473574895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6.3550942286383367E-14</v>
      </c>
      <c r="P151" s="14">
        <f t="shared" si="141"/>
        <v>1.0064464192543978E-12</v>
      </c>
      <c r="Q151" s="22">
        <f t="shared" si="108"/>
        <v>1.8635787380168604E-12</v>
      </c>
      <c r="R151" s="62">
        <f t="shared" si="109"/>
        <v>293.33333333333519</v>
      </c>
      <c r="S151" s="62">
        <f ca="1">AVERAGE(OFFSET($R$3,0,0,'Données projet'!$E$9+1,1))-AVERAGE(OFFSET($H$3,0,0,'Données projet'!$E$9+1,1))</f>
        <v>262.38865315945856</v>
      </c>
      <c r="T151" s="62">
        <f t="shared" si="142"/>
        <v>268.78503805457069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2.0488064583636456</v>
      </c>
      <c r="AA151" s="23">
        <f>EXP(-LN(2)/25)*AA150+(1-EXP(-LN(2)/25))/(LN(2)/25)*Calculateur!V151*Calculateur!X151*VLOOKUP('Données projet'!$B$9,Paramètres!$A$1:$I$89,3,0)*0.475*44/12</f>
        <v>7.756309999681496E-2</v>
      </c>
      <c r="AB151" s="23">
        <f>EXP(-LN(2)/2)*AB150+(1-EXP(-LN(2)/2))/(LN(2)/2)*V151*Y151*VLOOKUP('Données projet'!$B$9,Paramètres!$A$1:$I$89,3,0)*0.475*44/12</f>
        <v>8.9899447229659875E-18</v>
      </c>
      <c r="AC151" s="24">
        <f t="shared" si="111"/>
        <v>2.1263695583604605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-4.5474735088646412E-13</v>
      </c>
      <c r="AJ151" s="14">
        <f>AI151*VLOOKUP('Données projet'!$B$10,Paramètres!$A$1:$I$89,3,0)*VLOOKUP('Données projet'!$B$10,Paramètres!$A$1:$I$89,5,0)</f>
        <v>-2.1282176021486519E-13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199.36309817800088</v>
      </c>
      <c r="AO151" s="62">
        <f t="shared" si="144"/>
        <v>151.91120569748284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-1.7053025658242404E-13</v>
      </c>
      <c r="BE151" s="14">
        <f>BD151*VLOOKUP('Données projet'!$B$11,Paramètres!$A$1:$I$89,3,0)*VLOOKUP('Données projet'!$B$11,Paramètres!$A$1:$I$89,5,0)</f>
        <v>-1.0197709343628959E-13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140.16059323013189</v>
      </c>
      <c r="BJ151" s="62">
        <f t="shared" si="146"/>
        <v>219.0992563594865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1.0433860751798323</v>
      </c>
      <c r="BQ151" s="23">
        <f>EXP(-LN(2)/25)*BQ150+(1-EXP(-LN(2)/25))/(LN(2)/25)*Calculateur!BL151*Calculateur!BN151*VLOOKUP('Données projet'!$B$11,Paramètres!$A$1:$I$89,3,0)*0.475*44/12</f>
        <v>0.34387896993468836</v>
      </c>
      <c r="BR151" s="23">
        <f>EXP(-LN(2)/2)*BR150+(1-EXP(-LN(2)/2))/(LN(2)/2)*BL151*BO151*VLOOKUP('Données projet'!$B$11,Paramètres!$A$1:$I$89,3,0)*0.475*44/12</f>
        <v>1.8766910957533677E-17</v>
      </c>
      <c r="BS151" s="24">
        <f t="shared" si="117"/>
        <v>1.3872650451145208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2">
        <f t="shared" si="140"/>
        <v>29.153453877230778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70">
        <f t="shared" si="110"/>
        <v>534.38044216950959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6.3550942286383367E-14</v>
      </c>
      <c r="P152" s="14">
        <f t="shared" si="141"/>
        <v>1.0064464192543978E-12</v>
      </c>
      <c r="Q152" s="22">
        <f t="shared" si="108"/>
        <v>1.8635787380168604E-12</v>
      </c>
      <c r="R152" s="62">
        <f t="shared" si="109"/>
        <v>293.33333333333519</v>
      </c>
      <c r="S152" s="62">
        <f ca="1">AVERAGE(OFFSET($R$3,0,0,'Données projet'!$E$9+1,1))-AVERAGE(OFFSET($H$3,0,0,'Données projet'!$E$9+1,1))</f>
        <v>262.38865315945856</v>
      </c>
      <c r="T152" s="62">
        <f t="shared" si="142"/>
        <v>268.78503805457069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2.0086306133636818</v>
      </c>
      <c r="AA152" s="23">
        <f>EXP(-LN(2)/25)*AA151+(1-EXP(-LN(2)/25))/(LN(2)/25)*Calculateur!V152*Calculateur!X152*VLOOKUP('Données projet'!$B$9,Paramètres!$A$1:$I$89,3,0)*0.475*44/12</f>
        <v>7.5442132948535898E-2</v>
      </c>
      <c r="AB152" s="23">
        <f>EXP(-LN(2)/2)*AB151+(1-EXP(-LN(2)/2))/(LN(2)/2)*V152*Y152*VLOOKUP('Données projet'!$B$9,Paramètres!$A$1:$I$89,3,0)*0.475*44/12</f>
        <v>6.3568508761014682E-18</v>
      </c>
      <c r="AC152" s="24">
        <f t="shared" si="111"/>
        <v>2.0840727463122177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-4.5474735088646412E-13</v>
      </c>
      <c r="AJ152" s="14">
        <f>AI152*VLOOKUP('Données projet'!$B$10,Paramètres!$A$1:$I$89,3,0)*VLOOKUP('Données projet'!$B$10,Paramètres!$A$1:$I$89,5,0)</f>
        <v>-2.1282176021486519E-13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199.36309817800088</v>
      </c>
      <c r="AO152" s="62">
        <f t="shared" si="144"/>
        <v>151.91120569748284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-1.7053025658242404E-13</v>
      </c>
      <c r="BE152" s="14">
        <f>BD152*VLOOKUP('Données projet'!$B$11,Paramètres!$A$1:$I$89,3,0)*VLOOKUP('Données projet'!$B$11,Paramètres!$A$1:$I$89,5,0)</f>
        <v>-1.0197709343628959E-13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140.16059323013189</v>
      </c>
      <c r="BJ152" s="62">
        <f t="shared" si="146"/>
        <v>219.0992563594865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1.022925910648222</v>
      </c>
      <c r="BQ152" s="23">
        <f>EXP(-LN(2)/25)*BQ151+(1-EXP(-LN(2)/25))/(LN(2)/25)*Calculateur!BL152*Calculateur!BN152*VLOOKUP('Données projet'!$B$11,Paramètres!$A$1:$I$89,3,0)*0.475*44/12</f>
        <v>0.3344755814180152</v>
      </c>
      <c r="BR152" s="23">
        <f>EXP(-LN(2)/2)*BR151+(1-EXP(-LN(2)/2))/(LN(2)/2)*BL152*BO152*VLOOKUP('Données projet'!$B$11,Paramètres!$A$1:$I$89,3,0)*0.475*44/12</f>
        <v>1.3270209999996187E-17</v>
      </c>
      <c r="BS152" s="24">
        <f t="shared" si="117"/>
        <v>1.3574014920662372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2">
        <f t="shared" si="140"/>
        <v>29.326272366698181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70">
        <f t="shared" si="110"/>
        <v>535.95842437199872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6.3550942286383367E-14</v>
      </c>
      <c r="P153" s="14">
        <f t="shared" si="141"/>
        <v>1.0064464192543978E-12</v>
      </c>
      <c r="Q153" s="22">
        <f t="shared" si="108"/>
        <v>1.8635787380168604E-12</v>
      </c>
      <c r="R153" s="62">
        <f t="shared" si="109"/>
        <v>293.33333333333519</v>
      </c>
      <c r="S153" s="62">
        <f ca="1">AVERAGE(OFFSET($R$3,0,0,'Données projet'!$E$9+1,1))-AVERAGE(OFFSET($H$3,0,0,'Données projet'!$E$9+1,1))</f>
        <v>262.38865315945856</v>
      </c>
      <c r="T153" s="62">
        <f t="shared" si="142"/>
        <v>268.78503805457069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1.9692425921793213</v>
      </c>
      <c r="AA153" s="23">
        <f>EXP(-LN(2)/25)*AA152+(1-EXP(-LN(2)/25))/(LN(2)/25)*Calculateur!V153*Calculateur!X153*VLOOKUP('Données projet'!$B$9,Paramètres!$A$1:$I$89,3,0)*0.475*44/12</f>
        <v>7.3379163855728832E-2</v>
      </c>
      <c r="AB153" s="23">
        <f>EXP(-LN(2)/2)*AB152+(1-EXP(-LN(2)/2))/(LN(2)/2)*V153*Y153*VLOOKUP('Données projet'!$B$9,Paramètres!$A$1:$I$89,3,0)*0.475*44/12</f>
        <v>4.4949723614829937E-18</v>
      </c>
      <c r="AC153" s="24">
        <f t="shared" si="111"/>
        <v>2.0426217560350501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-4.5474735088646412E-13</v>
      </c>
      <c r="AJ153" s="14">
        <f>AI153*VLOOKUP('Données projet'!$B$10,Paramètres!$A$1:$I$89,3,0)*VLOOKUP('Données projet'!$B$10,Paramètres!$A$1:$I$89,5,0)</f>
        <v>-2.1282176021486519E-13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199.36309817800088</v>
      </c>
      <c r="AO153" s="62">
        <f t="shared" si="144"/>
        <v>151.91120569748284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-1.7053025658242404E-13</v>
      </c>
      <c r="BE153" s="14">
        <f>BD153*VLOOKUP('Données projet'!$B$11,Paramètres!$A$1:$I$89,3,0)*VLOOKUP('Données projet'!$B$11,Paramètres!$A$1:$I$89,5,0)</f>
        <v>-1.0197709343628959E-13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140.16059323013189</v>
      </c>
      <c r="BJ153" s="62">
        <f t="shared" si="146"/>
        <v>219.0992563594865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1.0028669574636087</v>
      </c>
      <c r="BQ153" s="23">
        <f>EXP(-LN(2)/25)*BQ152+(1-EXP(-LN(2)/25))/(LN(2)/25)*Calculateur!BL153*Calculateur!BN153*VLOOKUP('Données projet'!$B$11,Paramètres!$A$1:$I$89,3,0)*0.475*44/12</f>
        <v>0.32532932905483319</v>
      </c>
      <c r="BR153" s="23">
        <f>EXP(-LN(2)/2)*BR152+(1-EXP(-LN(2)/2))/(LN(2)/2)*BL153*BO153*VLOOKUP('Données projet'!$B$11,Paramètres!$A$1:$I$89,3,0)*0.475*44/12</f>
        <v>9.3834554787668384E-18</v>
      </c>
      <c r="BS153" s="24">
        <f t="shared" si="117"/>
        <v>1.3281962865184418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2">
        <f t="shared" si="140"/>
        <v>29.498956799987411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70">
        <f t="shared" si="110"/>
        <v>537.53617309331071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6.3550942286383367E-14</v>
      </c>
      <c r="P154" s="14">
        <f t="shared" si="141"/>
        <v>1.0064464192543978E-12</v>
      </c>
      <c r="Q154" s="22">
        <f t="shared" ref="Q154:Q203" si="162">(O154+P154)*0.475*44/12</f>
        <v>1.8635787380168604E-12</v>
      </c>
      <c r="R154" s="62">
        <f t="shared" si="109"/>
        <v>293.33333333333519</v>
      </c>
      <c r="S154" s="62">
        <f ca="1">AVERAGE(OFFSET($R$3,0,0,'Données projet'!$E$9+1,1))-AVERAGE(OFFSET($H$3,0,0,'Données projet'!$E$9+1,1))</f>
        <v>262.38865315945856</v>
      </c>
      <c r="T154" s="62">
        <f t="shared" si="142"/>
        <v>268.78503805457069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1.9306269460660654</v>
      </c>
      <c r="AA154" s="23">
        <f>EXP(-LN(2)/25)*AA153+(1-EXP(-LN(2)/25))/(LN(2)/25)*Calculateur!V154*Calculateur!X154*VLOOKUP('Données projet'!$B$9,Paramètres!$A$1:$I$89,3,0)*0.475*44/12</f>
        <v>7.1372606761251414E-2</v>
      </c>
      <c r="AB154" s="23">
        <f>EXP(-LN(2)/2)*AB153+(1-EXP(-LN(2)/2))/(LN(2)/2)*V154*Y154*VLOOKUP('Données projet'!$B$9,Paramètres!$A$1:$I$89,3,0)*0.475*44/12</f>
        <v>3.1784254380507341E-18</v>
      </c>
      <c r="AC154" s="24">
        <f t="shared" ref="AC154:AC203" si="163">SUM(Z154:AB154)</f>
        <v>2.0019995528273169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-4.5474735088646412E-13</v>
      </c>
      <c r="AJ154" s="14">
        <f>AI154*VLOOKUP('Données projet'!$B$10,Paramètres!$A$1:$I$89,3,0)*VLOOKUP('Données projet'!$B$10,Paramètres!$A$1:$I$89,5,0)</f>
        <v>-2.1282176021486519E-13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199.36309817800088</v>
      </c>
      <c r="AO154" s="62">
        <f t="shared" si="144"/>
        <v>151.91120569748284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-1.7053025658242404E-13</v>
      </c>
      <c r="BE154" s="14">
        <f>BD154*VLOOKUP('Données projet'!$B$11,Paramètres!$A$1:$I$89,3,0)*VLOOKUP('Données projet'!$B$11,Paramètres!$A$1:$I$89,5,0)</f>
        <v>-1.0197709343628959E-13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140.16059323013189</v>
      </c>
      <c r="BJ154" s="62">
        <f t="shared" si="146"/>
        <v>219.0992563594865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0.98320134811619209</v>
      </c>
      <c r="BQ154" s="23">
        <f>EXP(-LN(2)/25)*BQ153+(1-EXP(-LN(2)/25))/(LN(2)/25)*Calculateur!BL154*Calculateur!BN154*VLOOKUP('Données projet'!$B$11,Paramètres!$A$1:$I$89,3,0)*0.475*44/12</f>
        <v>0.31643318144350291</v>
      </c>
      <c r="BR154" s="23">
        <f>EXP(-LN(2)/2)*BR153+(1-EXP(-LN(2)/2))/(LN(2)/2)*BL154*BO154*VLOOKUP('Données projet'!$B$11,Paramètres!$A$1:$I$89,3,0)*0.475*44/12</f>
        <v>6.6351049999980934E-18</v>
      </c>
      <c r="BS154" s="24">
        <f t="shared" ref="BS154:BS203" si="169">SUM(BP154:BR154)</f>
        <v>1.2996345295596949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2">
        <f t="shared" si="140"/>
        <v>29.671508167859105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70">
        <f t="shared" si="110"/>
        <v>539.11369005902054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6.3550942286383367E-14</v>
      </c>
      <c r="P155" s="14">
        <f t="shared" si="141"/>
        <v>1.0064464192543978E-12</v>
      </c>
      <c r="Q155" s="22">
        <f t="shared" si="162"/>
        <v>1.8635787380168604E-12</v>
      </c>
      <c r="R155" s="62">
        <f t="shared" si="109"/>
        <v>293.33333333333519</v>
      </c>
      <c r="S155" s="62">
        <f ca="1">AVERAGE(OFFSET($R$3,0,0,'Données projet'!$E$9+1,1))-AVERAGE(OFFSET($H$3,0,0,'Données projet'!$E$9+1,1))</f>
        <v>262.38865315945856</v>
      </c>
      <c r="T155" s="62">
        <f t="shared" si="142"/>
        <v>268.78503805457069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1.8927685292198719</v>
      </c>
      <c r="AA155" s="23">
        <f>EXP(-LN(2)/25)*AA154+(1-EXP(-LN(2)/25))/(LN(2)/25)*Calculateur!V155*Calculateur!X155*VLOOKUP('Données projet'!$B$9,Paramètres!$A$1:$I$89,3,0)*0.475*44/12</f>
        <v>6.9420919076042725E-2</v>
      </c>
      <c r="AB155" s="23">
        <f>EXP(-LN(2)/2)*AB154+(1-EXP(-LN(2)/2))/(LN(2)/2)*V155*Y155*VLOOKUP('Données projet'!$B$9,Paramètres!$A$1:$I$89,3,0)*0.475*44/12</f>
        <v>2.2474861807414969E-18</v>
      </c>
      <c r="AC155" s="24">
        <f t="shared" si="163"/>
        <v>1.9621894482959146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-4.5474735088646412E-13</v>
      </c>
      <c r="AJ155" s="14">
        <f>AI155*VLOOKUP('Données projet'!$B$10,Paramètres!$A$1:$I$89,3,0)*VLOOKUP('Données projet'!$B$10,Paramètres!$A$1:$I$89,5,0)</f>
        <v>-2.1282176021486519E-13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199.36309817800088</v>
      </c>
      <c r="AO155" s="62">
        <f t="shared" si="144"/>
        <v>151.91120569748284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-1.7053025658242404E-13</v>
      </c>
      <c r="BE155" s="14">
        <f>BD155*VLOOKUP('Données projet'!$B$11,Paramètres!$A$1:$I$89,3,0)*VLOOKUP('Données projet'!$B$11,Paramètres!$A$1:$I$89,5,0)</f>
        <v>-1.0197709343628959E-13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140.16059323013189</v>
      </c>
      <c r="BJ155" s="62">
        <f t="shared" si="146"/>
        <v>219.0992563594865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0.96392136937324113</v>
      </c>
      <c r="BQ155" s="23">
        <f>EXP(-LN(2)/25)*BQ154+(1-EXP(-LN(2)/25))/(LN(2)/25)*Calculateur!BL155*Calculateur!BN155*VLOOKUP('Données projet'!$B$11,Paramètres!$A$1:$I$89,3,0)*0.475*44/12</f>
        <v>0.30778029945643254</v>
      </c>
      <c r="BR155" s="23">
        <f>EXP(-LN(2)/2)*BR154+(1-EXP(-LN(2)/2))/(LN(2)/2)*BL155*BO155*VLOOKUP('Données projet'!$B$11,Paramètres!$A$1:$I$89,3,0)*0.475*44/12</f>
        <v>4.6917277393834192E-18</v>
      </c>
      <c r="BS155" s="24">
        <f t="shared" si="169"/>
        <v>1.2717016688296736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2">
        <f t="shared" si="140"/>
        <v>29.843927447283722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70">
        <f t="shared" si="110"/>
        <v>540.69097697068514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6.3550942286383367E-14</v>
      </c>
      <c r="P156" s="14">
        <f t="shared" si="141"/>
        <v>1.0064464192543978E-12</v>
      </c>
      <c r="Q156" s="22">
        <f t="shared" si="162"/>
        <v>1.8635787380168604E-12</v>
      </c>
      <c r="R156" s="62">
        <f t="shared" si="109"/>
        <v>293.33333333333519</v>
      </c>
      <c r="S156" s="62">
        <f ca="1">AVERAGE(OFFSET($R$3,0,0,'Données projet'!$E$9+1,1))-AVERAGE(OFFSET($H$3,0,0,'Données projet'!$E$9+1,1))</f>
        <v>262.38865315945856</v>
      </c>
      <c r="T156" s="62">
        <f t="shared" si="142"/>
        <v>268.78503805457069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1.8556524928366782</v>
      </c>
      <c r="AA156" s="23">
        <f>EXP(-LN(2)/25)*AA155+(1-EXP(-LN(2)/25))/(LN(2)/25)*Calculateur!V156*Calculateur!X156*VLOOKUP('Données projet'!$B$9,Paramètres!$A$1:$I$89,3,0)*0.475*44/12</f>
        <v>6.7522600393220861E-2</v>
      </c>
      <c r="AB156" s="23">
        <f>EXP(-LN(2)/2)*AB155+(1-EXP(-LN(2)/2))/(LN(2)/2)*V156*Y156*VLOOKUP('Données projet'!$B$9,Paramètres!$A$1:$I$89,3,0)*0.475*44/12</f>
        <v>1.589212719025367E-18</v>
      </c>
      <c r="AC156" s="24">
        <f t="shared" si="163"/>
        <v>1.923175093229899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-4.5474735088646412E-13</v>
      </c>
      <c r="AJ156" s="14">
        <f>AI156*VLOOKUP('Données projet'!$B$10,Paramètres!$A$1:$I$89,3,0)*VLOOKUP('Données projet'!$B$10,Paramètres!$A$1:$I$89,5,0)</f>
        <v>-2.1282176021486519E-13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199.36309817800088</v>
      </c>
      <c r="AO156" s="62">
        <f t="shared" si="144"/>
        <v>151.91120569748284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-1.7053025658242404E-13</v>
      </c>
      <c r="BE156" s="14">
        <f>BD156*VLOOKUP('Données projet'!$B$11,Paramètres!$A$1:$I$89,3,0)*VLOOKUP('Données projet'!$B$11,Paramètres!$A$1:$I$89,5,0)</f>
        <v>-1.0197709343628959E-13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140.16059323013189</v>
      </c>
      <c r="BJ156" s="62">
        <f t="shared" si="146"/>
        <v>219.0992563594865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0.94501945925381359</v>
      </c>
      <c r="BQ156" s="23">
        <f>EXP(-LN(2)/25)*BQ155+(1-EXP(-LN(2)/25))/(LN(2)/25)*Calculateur!BL156*Calculateur!BN156*VLOOKUP('Données projet'!$B$11,Paramètres!$A$1:$I$89,3,0)*0.475*44/12</f>
        <v>0.29936403098233388</v>
      </c>
      <c r="BR156" s="23">
        <f>EXP(-LN(2)/2)*BR155+(1-EXP(-LN(2)/2))/(LN(2)/2)*BL156*BO156*VLOOKUP('Données projet'!$B$11,Paramètres!$A$1:$I$89,3,0)*0.475*44/12</f>
        <v>3.3175524999990467E-18</v>
      </c>
      <c r="BS156" s="24">
        <f t="shared" si="169"/>
        <v>1.2443834902361475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2">
        <f t="shared" si="140"/>
        <v>30.016215601722468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70">
        <f t="shared" si="110"/>
        <v>542.26803550633258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6.3550942286383367E-14</v>
      </c>
      <c r="P157" s="14">
        <f t="shared" si="141"/>
        <v>1.0064464192543978E-12</v>
      </c>
      <c r="Q157" s="22">
        <f t="shared" si="162"/>
        <v>1.8635787380168604E-12</v>
      </c>
      <c r="R157" s="62">
        <f t="shared" si="109"/>
        <v>293.33333333333519</v>
      </c>
      <c r="S157" s="62">
        <f ca="1">AVERAGE(OFFSET($R$3,0,0,'Données projet'!$E$9+1,1))-AVERAGE(OFFSET($H$3,0,0,'Données projet'!$E$9+1,1))</f>
        <v>262.38865315945856</v>
      </c>
      <c r="T157" s="62">
        <f t="shared" si="142"/>
        <v>268.78503805457069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1.8192642792884119</v>
      </c>
      <c r="AA157" s="23">
        <f>EXP(-LN(2)/25)*AA156+(1-EXP(-LN(2)/25))/(LN(2)/25)*Calculateur!V157*Calculateur!X157*VLOOKUP('Données projet'!$B$9,Paramètres!$A$1:$I$89,3,0)*0.475*44/12</f>
        <v>6.5676191334609002E-2</v>
      </c>
      <c r="AB157" s="23">
        <f>EXP(-LN(2)/2)*AB156+(1-EXP(-LN(2)/2))/(LN(2)/2)*V157*Y157*VLOOKUP('Données projet'!$B$9,Paramètres!$A$1:$I$89,3,0)*0.475*44/12</f>
        <v>1.1237430903707484E-18</v>
      </c>
      <c r="AC157" s="24">
        <f t="shared" si="163"/>
        <v>1.8849404706230208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-4.5474735088646412E-13</v>
      </c>
      <c r="AJ157" s="14">
        <f>AI157*VLOOKUP('Données projet'!$B$10,Paramètres!$A$1:$I$89,3,0)*VLOOKUP('Données projet'!$B$10,Paramètres!$A$1:$I$89,5,0)</f>
        <v>-2.1282176021486519E-13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199.36309817800088</v>
      </c>
      <c r="AO157" s="62">
        <f t="shared" si="144"/>
        <v>151.91120569748284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-1.7053025658242404E-13</v>
      </c>
      <c r="BE157" s="14">
        <f>BD157*VLOOKUP('Données projet'!$B$11,Paramètres!$A$1:$I$89,3,0)*VLOOKUP('Données projet'!$B$11,Paramètres!$A$1:$I$89,5,0)</f>
        <v>-1.0197709343628959E-13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140.16059323013189</v>
      </c>
      <c r="BJ157" s="62">
        <f t="shared" si="146"/>
        <v>219.0992563594865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0.92648820406280119</v>
      </c>
      <c r="BQ157" s="23">
        <f>EXP(-LN(2)/25)*BQ156+(1-EXP(-LN(2)/25))/(LN(2)/25)*Calculateur!BL157*Calculateur!BN157*VLOOKUP('Données projet'!$B$11,Paramètres!$A$1:$I$89,3,0)*0.475*44/12</f>
        <v>0.29117790581225178</v>
      </c>
      <c r="BR157" s="23">
        <f>EXP(-LN(2)/2)*BR156+(1-EXP(-LN(2)/2))/(LN(2)/2)*BL157*BO157*VLOOKUP('Données projet'!$B$11,Paramètres!$A$1:$I$89,3,0)*0.475*44/12</f>
        <v>2.3458638696917096E-18</v>
      </c>
      <c r="BS157" s="24">
        <f t="shared" si="169"/>
        <v>1.217666109875053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2">
        <f t="shared" si="140"/>
        <v>30.188373581400619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70">
        <f t="shared" si="110"/>
        <v>543.84486732093865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6.3550942286383367E-14</v>
      </c>
      <c r="P158" s="14">
        <f t="shared" si="141"/>
        <v>1.0064464192543978E-12</v>
      </c>
      <c r="Q158" s="22">
        <f t="shared" si="162"/>
        <v>1.8635787380168604E-12</v>
      </c>
      <c r="R158" s="62">
        <f t="shared" si="109"/>
        <v>293.33333333333519</v>
      </c>
      <c r="S158" s="62">
        <f ca="1">AVERAGE(OFFSET($R$3,0,0,'Données projet'!$E$9+1,1))-AVERAGE(OFFSET($H$3,0,0,'Données projet'!$E$9+1,1))</f>
        <v>262.38865315945856</v>
      </c>
      <c r="T158" s="62">
        <f t="shared" si="142"/>
        <v>268.78503805457069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1.7835896164132086</v>
      </c>
      <c r="AA158" s="23">
        <f>EXP(-LN(2)/25)*AA157+(1-EXP(-LN(2)/25))/(LN(2)/25)*Calculateur!V158*Calculateur!X158*VLOOKUP('Données projet'!$B$9,Paramètres!$A$1:$I$89,3,0)*0.475*44/12</f>
        <v>6.3880272428803328E-2</v>
      </c>
      <c r="AB158" s="23">
        <f>EXP(-LN(2)/2)*AB157+(1-EXP(-LN(2)/2))/(LN(2)/2)*V158*Y158*VLOOKUP('Données projet'!$B$9,Paramètres!$A$1:$I$89,3,0)*0.475*44/12</f>
        <v>7.9460635951268352E-19</v>
      </c>
      <c r="AC158" s="24">
        <f t="shared" si="163"/>
        <v>1.8474698888420118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-4.5474735088646412E-13</v>
      </c>
      <c r="AJ158" s="14">
        <f>AI158*VLOOKUP('Données projet'!$B$10,Paramètres!$A$1:$I$89,3,0)*VLOOKUP('Données projet'!$B$10,Paramètres!$A$1:$I$89,5,0)</f>
        <v>-2.1282176021486519E-13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199.36309817800088</v>
      </c>
      <c r="AO158" s="62">
        <f t="shared" si="144"/>
        <v>151.91120569748284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-1.7053025658242404E-13</v>
      </c>
      <c r="BE158" s="14">
        <f>BD158*VLOOKUP('Données projet'!$B$11,Paramètres!$A$1:$I$89,3,0)*VLOOKUP('Données projet'!$B$11,Paramètres!$A$1:$I$89,5,0)</f>
        <v>-1.0197709343628959E-13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140.16059323013189</v>
      </c>
      <c r="BJ158" s="62">
        <f t="shared" si="146"/>
        <v>219.0992563594865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0.90832033548313496</v>
      </c>
      <c r="BQ158" s="23">
        <f>EXP(-LN(2)/25)*BQ157+(1-EXP(-LN(2)/25))/(LN(2)/25)*Calculateur!BL158*Calculateur!BN158*VLOOKUP('Données projet'!$B$11,Paramètres!$A$1:$I$89,3,0)*0.475*44/12</f>
        <v>0.2832156306654352</v>
      </c>
      <c r="BR158" s="23">
        <f>EXP(-LN(2)/2)*BR157+(1-EXP(-LN(2)/2))/(LN(2)/2)*BL158*BO158*VLOOKUP('Données projet'!$B$11,Paramètres!$A$1:$I$89,3,0)*0.475*44/12</f>
        <v>1.6587762499995234E-18</v>
      </c>
      <c r="BS158" s="24">
        <f t="shared" si="169"/>
        <v>1.19153596614857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2">
        <f t="shared" si="140"/>
        <v>30.360402323573442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70">
        <f t="shared" si="110"/>
        <v>545.42147404688967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6.3550942286383367E-14</v>
      </c>
      <c r="P159" s="14">
        <f t="shared" si="141"/>
        <v>1.0064464192543978E-12</v>
      </c>
      <c r="Q159" s="22">
        <f t="shared" si="162"/>
        <v>1.8635787380168604E-12</v>
      </c>
      <c r="R159" s="62">
        <f t="shared" si="109"/>
        <v>293.33333333333519</v>
      </c>
      <c r="S159" s="62">
        <f ca="1">AVERAGE(OFFSET($R$3,0,0,'Données projet'!$E$9+1,1))-AVERAGE(OFFSET($H$3,0,0,'Données projet'!$E$9+1,1))</f>
        <v>262.38865315945856</v>
      </c>
      <c r="T159" s="62">
        <f t="shared" si="142"/>
        <v>268.78503805457069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1.7486145119175922</v>
      </c>
      <c r="AA159" s="23">
        <f>EXP(-LN(2)/25)*AA158+(1-EXP(-LN(2)/25))/(LN(2)/25)*Calculateur!V159*Calculateur!X159*VLOOKUP('Données projet'!$B$9,Paramètres!$A$1:$I$89,3,0)*0.475*44/12</f>
        <v>6.2133463019920177E-2</v>
      </c>
      <c r="AB159" s="23">
        <f>EXP(-LN(2)/2)*AB158+(1-EXP(-LN(2)/2))/(LN(2)/2)*V159*Y159*VLOOKUP('Données projet'!$B$9,Paramètres!$A$1:$I$89,3,0)*0.475*44/12</f>
        <v>5.6187154518537422E-19</v>
      </c>
      <c r="AC159" s="24">
        <f t="shared" si="163"/>
        <v>1.8107479749375124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-4.5474735088646412E-13</v>
      </c>
      <c r="AJ159" s="14">
        <f>AI159*VLOOKUP('Données projet'!$B$10,Paramètres!$A$1:$I$89,3,0)*VLOOKUP('Données projet'!$B$10,Paramètres!$A$1:$I$89,5,0)</f>
        <v>-2.1282176021486519E-13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199.36309817800088</v>
      </c>
      <c r="AO159" s="62">
        <f t="shared" si="144"/>
        <v>151.91120569748284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-1.7053025658242404E-13</v>
      </c>
      <c r="BE159" s="14">
        <f>BD159*VLOOKUP('Données projet'!$B$11,Paramètres!$A$1:$I$89,3,0)*VLOOKUP('Données projet'!$B$11,Paramètres!$A$1:$I$89,5,0)</f>
        <v>-1.0197709343628959E-13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140.16059323013189</v>
      </c>
      <c r="BJ159" s="62">
        <f t="shared" si="146"/>
        <v>219.0992563594865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0.89050872772501033</v>
      </c>
      <c r="BQ159" s="23">
        <f>EXP(-LN(2)/25)*BQ158+(1-EXP(-LN(2)/25))/(LN(2)/25)*Calculateur!BL159*Calculateur!BN159*VLOOKUP('Données projet'!$B$11,Paramètres!$A$1:$I$89,3,0)*0.475*44/12</f>
        <v>0.27547108435122614</v>
      </c>
      <c r="BR159" s="23">
        <f>EXP(-LN(2)/2)*BR158+(1-EXP(-LN(2)/2))/(LN(2)/2)*BL159*BO159*VLOOKUP('Données projet'!$B$11,Paramètres!$A$1:$I$89,3,0)*0.475*44/12</f>
        <v>1.1729319348458548E-18</v>
      </c>
      <c r="BS159" s="24">
        <f t="shared" si="169"/>
        <v>1.1659798120762366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2">
        <f t="shared" si="140"/>
        <v>30.532302752785306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70">
        <f t="shared" si="110"/>
        <v>546.99785729443374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6.3550942286383367E-14</v>
      </c>
      <c r="P160" s="14">
        <f t="shared" si="141"/>
        <v>1.0064464192543978E-12</v>
      </c>
      <c r="Q160" s="22">
        <f t="shared" si="162"/>
        <v>1.8635787380168604E-12</v>
      </c>
      <c r="R160" s="62">
        <f t="shared" si="109"/>
        <v>293.33333333333519</v>
      </c>
      <c r="S160" s="62">
        <f ca="1">AVERAGE(OFFSET($R$3,0,0,'Données projet'!$E$9+1,1))-AVERAGE(OFFSET($H$3,0,0,'Données projet'!$E$9+1,1))</f>
        <v>262.38865315945856</v>
      </c>
      <c r="T160" s="62">
        <f t="shared" si="142"/>
        <v>268.78503805457069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1.7143252478884274</v>
      </c>
      <c r="AA160" s="23">
        <f>EXP(-LN(2)/25)*AA159+(1-EXP(-LN(2)/25))/(LN(2)/25)*Calculateur!V160*Calculateur!X160*VLOOKUP('Données projet'!$B$9,Paramètres!$A$1:$I$89,3,0)*0.475*44/12</f>
        <v>6.0434420206183649E-2</v>
      </c>
      <c r="AB160" s="23">
        <f>EXP(-LN(2)/2)*AB159+(1-EXP(-LN(2)/2))/(LN(2)/2)*V160*Y160*VLOOKUP('Données projet'!$B$9,Paramètres!$A$1:$I$89,3,0)*0.475*44/12</f>
        <v>3.9730317975634176E-19</v>
      </c>
      <c r="AC160" s="24">
        <f t="shared" si="163"/>
        <v>1.7747596680946112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-4.5474735088646412E-13</v>
      </c>
      <c r="AJ160" s="14">
        <f>AI160*VLOOKUP('Données projet'!$B$10,Paramètres!$A$1:$I$89,3,0)*VLOOKUP('Données projet'!$B$10,Paramètres!$A$1:$I$89,5,0)</f>
        <v>-2.1282176021486519E-13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199.36309817800088</v>
      </c>
      <c r="AO160" s="62">
        <f t="shared" si="144"/>
        <v>151.91120569748284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-1.7053025658242404E-13</v>
      </c>
      <c r="BE160" s="14">
        <f>BD160*VLOOKUP('Données projet'!$B$11,Paramètres!$A$1:$I$89,3,0)*VLOOKUP('Données projet'!$B$11,Paramètres!$A$1:$I$89,5,0)</f>
        <v>-1.0197709343628959E-13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140.16059323013189</v>
      </c>
      <c r="BJ160" s="62">
        <f t="shared" si="146"/>
        <v>219.0992563594865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0.87304639473101453</v>
      </c>
      <c r="BQ160" s="23">
        <f>EXP(-LN(2)/25)*BQ159+(1-EXP(-LN(2)/25))/(LN(2)/25)*Calculateur!BL160*Calculateur!BN160*VLOOKUP('Données projet'!$B$11,Paramètres!$A$1:$I$89,3,0)*0.475*44/12</f>
        <v>0.26793831306324711</v>
      </c>
      <c r="BR160" s="23">
        <f>EXP(-LN(2)/2)*BR159+(1-EXP(-LN(2)/2))/(LN(2)/2)*BL160*BO160*VLOOKUP('Données projet'!$B$11,Paramètres!$A$1:$I$89,3,0)*0.475*44/12</f>
        <v>8.2938812499976168E-19</v>
      </c>
      <c r="BS160" s="24">
        <f t="shared" si="169"/>
        <v>1.1409847077942616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2">
        <f t="shared" si="140"/>
        <v>30.704075781121787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70">
        <f t="shared" si="110"/>
        <v>548.57401865211966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6.3550942286383367E-14</v>
      </c>
      <c r="P161" s="14">
        <f t="shared" si="141"/>
        <v>1.0064464192543978E-12</v>
      </c>
      <c r="Q161" s="22">
        <f t="shared" si="162"/>
        <v>1.8635787380168604E-12</v>
      </c>
      <c r="R161" s="62">
        <f t="shared" si="109"/>
        <v>293.33333333333519</v>
      </c>
      <c r="S161" s="62">
        <f ca="1">AVERAGE(OFFSET($R$3,0,0,'Données projet'!$E$9+1,1))-AVERAGE(OFFSET($H$3,0,0,'Données projet'!$E$9+1,1))</f>
        <v>262.38865315945856</v>
      </c>
      <c r="T161" s="62">
        <f t="shared" si="142"/>
        <v>268.78503805457069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1.6807083754124887</v>
      </c>
      <c r="AA161" s="23">
        <f>EXP(-LN(2)/25)*AA160+(1-EXP(-LN(2)/25))/(LN(2)/25)*Calculateur!V161*Calculateur!X161*VLOOKUP('Données projet'!$B$9,Paramètres!$A$1:$I$89,3,0)*0.475*44/12</f>
        <v>5.8781837807537526E-2</v>
      </c>
      <c r="AB161" s="23">
        <f>EXP(-LN(2)/2)*AB160+(1-EXP(-LN(2)/2))/(LN(2)/2)*V161*Y161*VLOOKUP('Données projet'!$B$9,Paramètres!$A$1:$I$89,3,0)*0.475*44/12</f>
        <v>2.8093577259268711E-19</v>
      </c>
      <c r="AC161" s="24">
        <f t="shared" si="163"/>
        <v>1.7394902132200263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-4.5474735088646412E-13</v>
      </c>
      <c r="AJ161" s="14">
        <f>AI161*VLOOKUP('Données projet'!$B$10,Paramètres!$A$1:$I$89,3,0)*VLOOKUP('Données projet'!$B$10,Paramètres!$A$1:$I$89,5,0)</f>
        <v>-2.1282176021486519E-13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199.36309817800088</v>
      </c>
      <c r="AO161" s="62">
        <f t="shared" si="144"/>
        <v>151.91120569748284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-1.7053025658242404E-13</v>
      </c>
      <c r="BE161" s="14">
        <f>BD161*VLOOKUP('Données projet'!$B$11,Paramètres!$A$1:$I$89,3,0)*VLOOKUP('Données projet'!$B$11,Paramètres!$A$1:$I$89,5,0)</f>
        <v>-1.0197709343628959E-13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140.16059323013189</v>
      </c>
      <c r="BJ161" s="62">
        <f t="shared" si="146"/>
        <v>219.0992563594865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0.85592648743605959</v>
      </c>
      <c r="BQ161" s="23">
        <f>EXP(-LN(2)/25)*BQ160+(1-EXP(-LN(2)/25))/(LN(2)/25)*Calculateur!BL161*Calculateur!BN161*VLOOKUP('Données projet'!$B$11,Paramètres!$A$1:$I$89,3,0)*0.475*44/12</f>
        <v>0.2606115258022691</v>
      </c>
      <c r="BR161" s="23">
        <f>EXP(-LN(2)/2)*BR160+(1-EXP(-LN(2)/2))/(LN(2)/2)*BL161*BO161*VLOOKUP('Données projet'!$B$11,Paramètres!$A$1:$I$89,3,0)*0.475*44/12</f>
        <v>5.864659674229274E-19</v>
      </c>
      <c r="BS161" s="24">
        <f t="shared" si="169"/>
        <v>1.1165380132383287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2">
        <f t="shared" si="140"/>
        <v>30.875722308455476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70">
        <f t="shared" si="110"/>
        <v>550.14995968722587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6.3550942286383367E-14</v>
      </c>
      <c r="P162" s="14">
        <f t="shared" si="141"/>
        <v>1.0064464192543978E-12</v>
      </c>
      <c r="Q162" s="22">
        <f t="shared" si="162"/>
        <v>1.8635787380168604E-12</v>
      </c>
      <c r="R162" s="62">
        <f t="shared" si="109"/>
        <v>293.33333333333519</v>
      </c>
      <c r="S162" s="62">
        <f ca="1">AVERAGE(OFFSET($R$3,0,0,'Données projet'!$E$9+1,1))-AVERAGE(OFFSET($H$3,0,0,'Données projet'!$E$9+1,1))</f>
        <v>262.38865315945856</v>
      </c>
      <c r="T162" s="62">
        <f t="shared" si="142"/>
        <v>268.78503805457069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1.6477507093015356</v>
      </c>
      <c r="AA162" s="23">
        <f>EXP(-LN(2)/25)*AA161+(1-EXP(-LN(2)/25))/(LN(2)/25)*Calculateur!V162*Calculateur!X162*VLOOKUP('Données projet'!$B$9,Paramètres!$A$1:$I$89,3,0)*0.475*44/12</f>
        <v>5.7174445361487913E-2</v>
      </c>
      <c r="AB162" s="23">
        <f>EXP(-LN(2)/2)*AB161+(1-EXP(-LN(2)/2))/(LN(2)/2)*V162*Y162*VLOOKUP('Données projet'!$B$9,Paramètres!$A$1:$I$89,3,0)*0.475*44/12</f>
        <v>1.9865158987817088E-19</v>
      </c>
      <c r="AC162" s="24">
        <f t="shared" si="163"/>
        <v>1.7049251546630235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-4.5474735088646412E-13</v>
      </c>
      <c r="AJ162" s="14">
        <f>AI162*VLOOKUP('Données projet'!$B$10,Paramètres!$A$1:$I$89,3,0)*VLOOKUP('Données projet'!$B$10,Paramètres!$A$1:$I$89,5,0)</f>
        <v>-2.1282176021486519E-13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199.36309817800088</v>
      </c>
      <c r="AO162" s="62">
        <f t="shared" si="144"/>
        <v>151.91120569748284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-1.7053025658242404E-13</v>
      </c>
      <c r="BE162" s="14">
        <f>BD162*VLOOKUP('Données projet'!$B$11,Paramètres!$A$1:$I$89,3,0)*VLOOKUP('Données projet'!$B$11,Paramètres!$A$1:$I$89,5,0)</f>
        <v>-1.0197709343628959E-13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140.16059323013189</v>
      </c>
      <c r="BJ162" s="62">
        <f t="shared" si="146"/>
        <v>219.0992563594865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0.83914229108104632</v>
      </c>
      <c r="BQ162" s="23">
        <f>EXP(-LN(2)/25)*BQ161+(1-EXP(-LN(2)/25))/(LN(2)/25)*Calculateur!BL162*Calculateur!BN162*VLOOKUP('Données projet'!$B$11,Paramètres!$A$1:$I$89,3,0)*0.475*44/12</f>
        <v>0.25348508992424151</v>
      </c>
      <c r="BR162" s="23">
        <f>EXP(-LN(2)/2)*BR161+(1-EXP(-LN(2)/2))/(LN(2)/2)*BL162*BO162*VLOOKUP('Données projet'!$B$11,Paramètres!$A$1:$I$89,3,0)*0.475*44/12</f>
        <v>4.1469406249988084E-19</v>
      </c>
      <c r="BS162" s="24">
        <f t="shared" si="169"/>
        <v>1.0926273810052878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2">
        <f t="shared" si="140"/>
        <v>31.047243222685147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70">
        <f t="shared" si="110"/>
        <v>551.72568194617588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6.3550942286383367E-14</v>
      </c>
      <c r="P163" s="14">
        <f t="shared" si="141"/>
        <v>1.0064464192543978E-12</v>
      </c>
      <c r="Q163" s="22">
        <f t="shared" si="162"/>
        <v>1.8635787380168604E-12</v>
      </c>
      <c r="R163" s="62">
        <f t="shared" si="109"/>
        <v>293.33333333333519</v>
      </c>
      <c r="S163" s="62">
        <f ca="1">AVERAGE(OFFSET($R$3,0,0,'Données projet'!$E$9+1,1))-AVERAGE(OFFSET($H$3,0,0,'Données projet'!$E$9+1,1))</f>
        <v>262.38865315945856</v>
      </c>
      <c r="T163" s="62">
        <f t="shared" si="142"/>
        <v>268.78503805457069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1.6154393229208268</v>
      </c>
      <c r="AA163" s="23">
        <f>EXP(-LN(2)/25)*AA162+(1-EXP(-LN(2)/25))/(LN(2)/25)*Calculateur!V163*Calculateur!X163*VLOOKUP('Données projet'!$B$9,Paramètres!$A$1:$I$89,3,0)*0.475*44/12</f>
        <v>5.5611007146404622E-2</v>
      </c>
      <c r="AB163" s="23">
        <f>EXP(-LN(2)/2)*AB162+(1-EXP(-LN(2)/2))/(LN(2)/2)*V163*Y163*VLOOKUP('Données projet'!$B$9,Paramètres!$A$1:$I$89,3,0)*0.475*44/12</f>
        <v>1.4046788629634355E-19</v>
      </c>
      <c r="AC163" s="24">
        <f t="shared" si="163"/>
        <v>1.6710503300672315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-4.5474735088646412E-13</v>
      </c>
      <c r="AJ163" s="14">
        <f>AI163*VLOOKUP('Données projet'!$B$10,Paramètres!$A$1:$I$89,3,0)*VLOOKUP('Données projet'!$B$10,Paramètres!$A$1:$I$89,5,0)</f>
        <v>-2.1282176021486519E-13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199.36309817800088</v>
      </c>
      <c r="AO163" s="62">
        <f t="shared" si="144"/>
        <v>151.91120569748284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-1.7053025658242404E-13</v>
      </c>
      <c r="BE163" s="14">
        <f>BD163*VLOOKUP('Données projet'!$B$11,Paramètres!$A$1:$I$89,3,0)*VLOOKUP('Données projet'!$B$11,Paramètres!$A$1:$I$89,5,0)</f>
        <v>-1.0197709343628959E-13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140.16059323013189</v>
      </c>
      <c r="BJ163" s="62">
        <f t="shared" si="146"/>
        <v>219.0992563594865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0.8226872225792059</v>
      </c>
      <c r="BQ163" s="23">
        <f>EXP(-LN(2)/25)*BQ162+(1-EXP(-LN(2)/25))/(LN(2)/25)*Calculateur!BL163*Calculateur!BN163*VLOOKUP('Données projet'!$B$11,Paramètres!$A$1:$I$89,3,0)*0.475*44/12</f>
        <v>0.2465535268100616</v>
      </c>
      <c r="BR163" s="23">
        <f>EXP(-LN(2)/2)*BR162+(1-EXP(-LN(2)/2))/(LN(2)/2)*BL163*BO163*VLOOKUP('Données projet'!$B$11,Paramètres!$A$1:$I$89,3,0)*0.475*44/12</f>
        <v>2.932329837114637E-19</v>
      </c>
      <c r="BS163" s="24">
        <f t="shared" si="169"/>
        <v>1.0692407493892675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2">
        <f t="shared" si="140"/>
        <v>31.218639399968879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70">
        <f t="shared" si="110"/>
        <v>553.30118695494502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6.3550942286383367E-14</v>
      </c>
      <c r="P164" s="14">
        <f t="shared" si="141"/>
        <v>1.0064464192543978E-12</v>
      </c>
      <c r="Q164" s="22">
        <f t="shared" si="162"/>
        <v>1.8635787380168604E-12</v>
      </c>
      <c r="R164" s="62">
        <f t="shared" si="109"/>
        <v>293.33333333333519</v>
      </c>
      <c r="S164" s="62">
        <f ca="1">AVERAGE(OFFSET($R$3,0,0,'Données projet'!$E$9+1,1))-AVERAGE(OFFSET($H$3,0,0,'Données projet'!$E$9+1,1))</f>
        <v>262.38865315945856</v>
      </c>
      <c r="T164" s="62">
        <f t="shared" si="142"/>
        <v>268.78503805457069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1.5837615431190439</v>
      </c>
      <c r="AA164" s="23">
        <f>EXP(-LN(2)/25)*AA163+(1-EXP(-LN(2)/25))/(LN(2)/25)*Calculateur!V164*Calculateur!X164*VLOOKUP('Données projet'!$B$9,Paramètres!$A$1:$I$89,3,0)*0.475*44/12</f>
        <v>5.4090321231530424E-2</v>
      </c>
      <c r="AB164" s="23">
        <f>EXP(-LN(2)/2)*AB163+(1-EXP(-LN(2)/2))/(LN(2)/2)*V164*Y164*VLOOKUP('Données projet'!$B$9,Paramètres!$A$1:$I$89,3,0)*0.475*44/12</f>
        <v>9.932579493908544E-20</v>
      </c>
      <c r="AC164" s="24">
        <f t="shared" si="163"/>
        <v>1.6378518643505744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-4.5474735088646412E-13</v>
      </c>
      <c r="AJ164" s="14">
        <f>AI164*VLOOKUP('Données projet'!$B$10,Paramètres!$A$1:$I$89,3,0)*VLOOKUP('Données projet'!$B$10,Paramètres!$A$1:$I$89,5,0)</f>
        <v>-2.1282176021486519E-13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199.36309817800088</v>
      </c>
      <c r="AO164" s="62">
        <f t="shared" si="144"/>
        <v>151.91120569748284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-1.7053025658242404E-13</v>
      </c>
      <c r="BE164" s="14">
        <f>BD164*VLOOKUP('Données projet'!$B$11,Paramètres!$A$1:$I$89,3,0)*VLOOKUP('Données projet'!$B$11,Paramètres!$A$1:$I$89,5,0)</f>
        <v>-1.0197709343628959E-13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140.16059323013189</v>
      </c>
      <c r="BJ164" s="62">
        <f t="shared" si="146"/>
        <v>219.0992563594865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0.80655482793408584</v>
      </c>
      <c r="BQ164" s="23">
        <f>EXP(-LN(2)/25)*BQ163+(1-EXP(-LN(2)/25))/(LN(2)/25)*Calculateur!BL164*Calculateur!BN164*VLOOKUP('Données projet'!$B$11,Paramètres!$A$1:$I$89,3,0)*0.475*44/12</f>
        <v>0.239811507653754</v>
      </c>
      <c r="BR164" s="23">
        <f>EXP(-LN(2)/2)*BR163+(1-EXP(-LN(2)/2))/(LN(2)/2)*BL164*BO164*VLOOKUP('Données projet'!$B$11,Paramètres!$A$1:$I$89,3,0)*0.475*44/12</f>
        <v>2.0734703124994042E-19</v>
      </c>
      <c r="BS164" s="24">
        <f t="shared" si="169"/>
        <v>1.0463663355878399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2">
        <f t="shared" si="140"/>
        <v>31.389911704951448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70">
        <f t="shared" si="110"/>
        <v>554.87647621945644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6.3550942286383367E-14</v>
      </c>
      <c r="P165" s="14">
        <f t="shared" si="141"/>
        <v>1.0064464192543978E-12</v>
      </c>
      <c r="Q165" s="22">
        <f t="shared" si="162"/>
        <v>1.8635787380168604E-12</v>
      </c>
      <c r="R165" s="62">
        <f t="shared" si="109"/>
        <v>293.33333333333519</v>
      </c>
      <c r="S165" s="62">
        <f ca="1">AVERAGE(OFFSET($R$3,0,0,'Données projet'!$E$9+1,1))-AVERAGE(OFFSET($H$3,0,0,'Données projet'!$E$9+1,1))</f>
        <v>262.38865315945856</v>
      </c>
      <c r="T165" s="62">
        <f t="shared" si="142"/>
        <v>268.78503805457069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1.5527049452576362</v>
      </c>
      <c r="AA165" s="23">
        <f>EXP(-LN(2)/25)*AA164+(1-EXP(-LN(2)/25))/(LN(2)/25)*Calculateur!V165*Calculateur!X165*VLOOKUP('Données projet'!$B$9,Paramètres!$A$1:$I$89,3,0)*0.475*44/12</f>
        <v>5.2611218552967853E-2</v>
      </c>
      <c r="AB165" s="23">
        <f>EXP(-LN(2)/2)*AB164+(1-EXP(-LN(2)/2))/(LN(2)/2)*V165*Y165*VLOOKUP('Données projet'!$B$9,Paramètres!$A$1:$I$89,3,0)*0.475*44/12</f>
        <v>7.0233943148171777E-20</v>
      </c>
      <c r="AC165" s="24">
        <f t="shared" si="163"/>
        <v>1.6053161638106042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-4.5474735088646412E-13</v>
      </c>
      <c r="AJ165" s="14">
        <f>AI165*VLOOKUP('Données projet'!$B$10,Paramètres!$A$1:$I$89,3,0)*VLOOKUP('Données projet'!$B$10,Paramètres!$A$1:$I$89,5,0)</f>
        <v>-2.1282176021486519E-13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199.36309817800088</v>
      </c>
      <c r="AO165" s="62">
        <f t="shared" si="144"/>
        <v>151.91120569748284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-1.7053025658242404E-13</v>
      </c>
      <c r="BE165" s="14">
        <f>BD165*VLOOKUP('Données projet'!$B$11,Paramètres!$A$1:$I$89,3,0)*VLOOKUP('Données projet'!$B$11,Paramètres!$A$1:$I$89,5,0)</f>
        <v>-1.0197709343628959E-13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140.16059323013189</v>
      </c>
      <c r="BJ165" s="62">
        <f t="shared" si="146"/>
        <v>219.0992563594865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0.79073877970816742</v>
      </c>
      <c r="BQ165" s="23">
        <f>EXP(-LN(2)/25)*BQ164+(1-EXP(-LN(2)/25))/(LN(2)/25)*Calculateur!BL165*Calculateur!BN165*VLOOKUP('Données projet'!$B$11,Paramètres!$A$1:$I$89,3,0)*0.475*44/12</f>
        <v>0.233253849365823</v>
      </c>
      <c r="BR165" s="23">
        <f>EXP(-LN(2)/2)*BR164+(1-EXP(-LN(2)/2))/(LN(2)/2)*BL165*BO165*VLOOKUP('Données projet'!$B$11,Paramètres!$A$1:$I$89,3,0)*0.475*44/12</f>
        <v>1.4661649185573185E-19</v>
      </c>
      <c r="BS165" s="24">
        <f t="shared" si="169"/>
        <v>1.0239926290739905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2">
        <f t="shared" si="140"/>
        <v>31.561060990985393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70">
        <f t="shared" si="110"/>
        <v>556.45155122596543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6.3550942286383367E-14</v>
      </c>
      <c r="P166" s="14">
        <f t="shared" si="141"/>
        <v>1.0064464192543978E-12</v>
      </c>
      <c r="Q166" s="22">
        <f t="shared" si="162"/>
        <v>1.8635787380168604E-12</v>
      </c>
      <c r="R166" s="62">
        <f t="shared" si="109"/>
        <v>293.33333333333519</v>
      </c>
      <c r="S166" s="62">
        <f ca="1">AVERAGE(OFFSET($R$3,0,0,'Données projet'!$E$9+1,1))-AVERAGE(OFFSET($H$3,0,0,'Données projet'!$E$9+1,1))</f>
        <v>262.38865315945856</v>
      </c>
      <c r="T166" s="62">
        <f t="shared" si="142"/>
        <v>268.78503805457069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1.5222573483376365</v>
      </c>
      <c r="AA166" s="23">
        <f>EXP(-LN(2)/25)*AA165+(1-EXP(-LN(2)/25))/(LN(2)/25)*Calculateur!V166*Calculateur!X166*VLOOKUP('Données projet'!$B$9,Paramètres!$A$1:$I$89,3,0)*0.475*44/12</f>
        <v>5.1172562014933205E-2</v>
      </c>
      <c r="AB166" s="23">
        <f>EXP(-LN(2)/2)*AB165+(1-EXP(-LN(2)/2))/(LN(2)/2)*V166*Y166*VLOOKUP('Données projet'!$B$9,Paramètres!$A$1:$I$89,3,0)*0.475*44/12</f>
        <v>4.966289746954272E-20</v>
      </c>
      <c r="AC166" s="24">
        <f t="shared" si="163"/>
        <v>1.5734299103525697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-4.5474735088646412E-13</v>
      </c>
      <c r="AJ166" s="14">
        <f>AI166*VLOOKUP('Données projet'!$B$10,Paramètres!$A$1:$I$89,3,0)*VLOOKUP('Données projet'!$B$10,Paramètres!$A$1:$I$89,5,0)</f>
        <v>-2.1282176021486519E-13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199.36309817800088</v>
      </c>
      <c r="AO166" s="62">
        <f t="shared" si="144"/>
        <v>151.91120569748284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-1.7053025658242404E-13</v>
      </c>
      <c r="BE166" s="14">
        <f>BD166*VLOOKUP('Données projet'!$B$11,Paramètres!$A$1:$I$89,3,0)*VLOOKUP('Données projet'!$B$11,Paramètres!$A$1:$I$89,5,0)</f>
        <v>-1.0197709343628959E-13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140.16059323013189</v>
      </c>
      <c r="BJ166" s="62">
        <f t="shared" si="146"/>
        <v>219.0992563594865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0.77523287454112244</v>
      </c>
      <c r="BQ166" s="23">
        <f>EXP(-LN(2)/25)*BQ165+(1-EXP(-LN(2)/25))/(LN(2)/25)*Calculateur!BL166*Calculateur!BN166*VLOOKUP('Données projet'!$B$11,Paramètres!$A$1:$I$89,3,0)*0.475*44/12</f>
        <v>0.22687551058862773</v>
      </c>
      <c r="BR166" s="23">
        <f>EXP(-LN(2)/2)*BR165+(1-EXP(-LN(2)/2))/(LN(2)/2)*BL166*BO166*VLOOKUP('Données projet'!$B$11,Paramètres!$A$1:$I$89,3,0)*0.475*44/12</f>
        <v>1.0367351562497021E-19</v>
      </c>
      <c r="BS166" s="24">
        <f t="shared" si="169"/>
        <v>1.0021083851297501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2">
        <f t="shared" si="140"/>
        <v>31.732088100347205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70">
        <f t="shared" si="110"/>
        <v>558.02641344143728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6.3550942286383367E-14</v>
      </c>
      <c r="P167" s="14">
        <f t="shared" si="141"/>
        <v>1.0064464192543978E-12</v>
      </c>
      <c r="Q167" s="22">
        <f t="shared" si="162"/>
        <v>1.8635787380168604E-12</v>
      </c>
      <c r="R167" s="62">
        <f t="shared" si="109"/>
        <v>293.33333333333519</v>
      </c>
      <c r="S167" s="62">
        <f ca="1">AVERAGE(OFFSET($R$3,0,0,'Données projet'!$E$9+1,1))-AVERAGE(OFFSET($H$3,0,0,'Données projet'!$E$9+1,1))</f>
        <v>262.38865315945856</v>
      </c>
      <c r="T167" s="62">
        <f t="shared" si="142"/>
        <v>268.78503805457069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1.4924068102220376</v>
      </c>
      <c r="AA167" s="23">
        <f>EXP(-LN(2)/25)*AA166+(1-EXP(-LN(2)/25))/(LN(2)/25)*Calculateur!V167*Calculateur!X167*VLOOKUP('Données projet'!$B$9,Paramètres!$A$1:$I$89,3,0)*0.475*44/12</f>
        <v>4.9773245615586777E-2</v>
      </c>
      <c r="AB167" s="23">
        <f>EXP(-LN(2)/2)*AB166+(1-EXP(-LN(2)/2))/(LN(2)/2)*V167*Y167*VLOOKUP('Données projet'!$B$9,Paramètres!$A$1:$I$89,3,0)*0.475*44/12</f>
        <v>3.5116971574085889E-20</v>
      </c>
      <c r="AC167" s="24">
        <f t="shared" si="163"/>
        <v>1.5421800558376244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-4.5474735088646412E-13</v>
      </c>
      <c r="AJ167" s="14">
        <f>AI167*VLOOKUP('Données projet'!$B$10,Paramètres!$A$1:$I$89,3,0)*VLOOKUP('Données projet'!$B$10,Paramètres!$A$1:$I$89,5,0)</f>
        <v>-2.1282176021486519E-13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199.36309817800088</v>
      </c>
      <c r="AO167" s="62">
        <f t="shared" si="144"/>
        <v>151.91120569748284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-1.7053025658242404E-13</v>
      </c>
      <c r="BE167" s="14">
        <f>BD167*VLOOKUP('Données projet'!$B$11,Paramètres!$A$1:$I$89,3,0)*VLOOKUP('Données projet'!$B$11,Paramètres!$A$1:$I$89,5,0)</f>
        <v>-1.0197709343628959E-13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140.16059323013189</v>
      </c>
      <c r="BJ167" s="62">
        <f t="shared" si="146"/>
        <v>219.0992563594865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0.76003103071673495</v>
      </c>
      <c r="BQ167" s="23">
        <f>EXP(-LN(2)/25)*BQ166+(1-EXP(-LN(2)/25))/(LN(2)/25)*Calculateur!BL167*Calculateur!BN167*VLOOKUP('Données projet'!$B$11,Paramètres!$A$1:$I$89,3,0)*0.475*44/12</f>
        <v>0.22067158782071714</v>
      </c>
      <c r="BR167" s="23">
        <f>EXP(-LN(2)/2)*BR166+(1-EXP(-LN(2)/2))/(LN(2)/2)*BL167*BO167*VLOOKUP('Données projet'!$B$11,Paramètres!$A$1:$I$89,3,0)*0.475*44/12</f>
        <v>7.3308245927865925E-20</v>
      </c>
      <c r="BS167" s="24">
        <f t="shared" si="169"/>
        <v>0.98070261853745211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2">
        <f t="shared" si="140"/>
        <v>31.902993864447446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70">
        <f t="shared" si="110"/>
        <v>559.60106431391182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6.3550942286383367E-14</v>
      </c>
      <c r="P168" s="14">
        <f t="shared" si="141"/>
        <v>1.0064464192543978E-12</v>
      </c>
      <c r="Q168" s="22">
        <f t="shared" si="162"/>
        <v>1.8635787380168604E-12</v>
      </c>
      <c r="R168" s="62">
        <f t="shared" si="109"/>
        <v>293.33333333333519</v>
      </c>
      <c r="S168" s="62">
        <f ca="1">AVERAGE(OFFSET($R$3,0,0,'Données projet'!$E$9+1,1))-AVERAGE(OFFSET($H$3,0,0,'Données projet'!$E$9+1,1))</f>
        <v>262.38865315945856</v>
      </c>
      <c r="T168" s="62">
        <f t="shared" si="142"/>
        <v>268.78503805457069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1.4631416229518552</v>
      </c>
      <c r="AA168" s="23">
        <f>EXP(-LN(2)/25)*AA167+(1-EXP(-LN(2)/25))/(LN(2)/25)*Calculateur!V168*Calculateur!X168*VLOOKUP('Données projet'!$B$9,Paramètres!$A$1:$I$89,3,0)*0.475*44/12</f>
        <v>4.8412193596767329E-2</v>
      </c>
      <c r="AB168" s="23">
        <f>EXP(-LN(2)/2)*AB167+(1-EXP(-LN(2)/2))/(LN(2)/2)*V168*Y168*VLOOKUP('Données projet'!$B$9,Paramètres!$A$1:$I$89,3,0)*0.475*44/12</f>
        <v>2.483144873477136E-20</v>
      </c>
      <c r="AC168" s="24">
        <f t="shared" si="163"/>
        <v>1.5115538165486226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-4.5474735088646412E-13</v>
      </c>
      <c r="AJ168" s="14">
        <f>AI168*VLOOKUP('Données projet'!$B$10,Paramètres!$A$1:$I$89,3,0)*VLOOKUP('Données projet'!$B$10,Paramètres!$A$1:$I$89,5,0)</f>
        <v>-2.1282176021486519E-13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199.36309817800088</v>
      </c>
      <c r="AO168" s="62">
        <f t="shared" si="144"/>
        <v>151.91120569748284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-1.7053025658242404E-13</v>
      </c>
      <c r="BE168" s="14">
        <f>BD168*VLOOKUP('Données projet'!$B$11,Paramètres!$A$1:$I$89,3,0)*VLOOKUP('Données projet'!$B$11,Paramètres!$A$1:$I$89,5,0)</f>
        <v>-1.0197709343628959E-13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140.16059323013189</v>
      </c>
      <c r="BJ168" s="62">
        <f t="shared" si="146"/>
        <v>219.0992563594865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0.74512728577753451</v>
      </c>
      <c r="BQ168" s="23">
        <f>EXP(-LN(2)/25)*BQ167+(1-EXP(-LN(2)/25))/(LN(2)/25)*Calculateur!BL168*Calculateur!BN168*VLOOKUP('Données projet'!$B$11,Paramètres!$A$1:$I$89,3,0)*0.475*44/12</f>
        <v>0.21463731164714517</v>
      </c>
      <c r="BR168" s="23">
        <f>EXP(-LN(2)/2)*BR167+(1-EXP(-LN(2)/2))/(LN(2)/2)*BL168*BO168*VLOOKUP('Données projet'!$B$11,Paramètres!$A$1:$I$89,3,0)*0.475*44/12</f>
        <v>5.1836757812485105E-20</v>
      </c>
      <c r="BS168" s="24">
        <f t="shared" si="169"/>
        <v>0.95976459742467968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2">
        <f t="shared" si="140"/>
        <v>32.073779104036042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70">
        <f t="shared" si="110"/>
        <v>561.17550527286198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6.3550942286383367E-14</v>
      </c>
      <c r="P169" s="14">
        <f t="shared" si="141"/>
        <v>1.0064464192543978E-12</v>
      </c>
      <c r="Q169" s="22">
        <f t="shared" si="162"/>
        <v>1.8635787380168604E-12</v>
      </c>
      <c r="R169" s="62">
        <f t="shared" si="109"/>
        <v>293.33333333333519</v>
      </c>
      <c r="S169" s="62">
        <f ca="1">AVERAGE(OFFSET($R$3,0,0,'Données projet'!$E$9+1,1))-AVERAGE(OFFSET($H$3,0,0,'Données projet'!$E$9+1,1))</f>
        <v>262.38865315945856</v>
      </c>
      <c r="T169" s="62">
        <f t="shared" si="142"/>
        <v>268.78503805457069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1.4344503081540394</v>
      </c>
      <c r="AA169" s="23">
        <f>EXP(-LN(2)/25)*AA168+(1-EXP(-LN(2)/25))/(LN(2)/25)*Calculateur!V169*Calculateur!X169*VLOOKUP('Données projet'!$B$9,Paramètres!$A$1:$I$89,3,0)*0.475*44/12</f>
        <v>4.7088359616977112E-2</v>
      </c>
      <c r="AB169" s="23">
        <f>EXP(-LN(2)/2)*AB168+(1-EXP(-LN(2)/2))/(LN(2)/2)*V169*Y169*VLOOKUP('Données projet'!$B$9,Paramètres!$A$1:$I$89,3,0)*0.475*44/12</f>
        <v>1.7558485787042944E-20</v>
      </c>
      <c r="AC169" s="24">
        <f t="shared" si="163"/>
        <v>1.4815386677710165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-4.5474735088646412E-13</v>
      </c>
      <c r="AJ169" s="14">
        <f>AI169*VLOOKUP('Données projet'!$B$10,Paramètres!$A$1:$I$89,3,0)*VLOOKUP('Données projet'!$B$10,Paramètres!$A$1:$I$89,5,0)</f>
        <v>-2.1282176021486519E-13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199.36309817800088</v>
      </c>
      <c r="AO169" s="62">
        <f t="shared" si="144"/>
        <v>151.91120569748284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-1.7053025658242404E-13</v>
      </c>
      <c r="BE169" s="14">
        <f>BD169*VLOOKUP('Données projet'!$B$11,Paramètres!$A$1:$I$89,3,0)*VLOOKUP('Données projet'!$B$11,Paramètres!$A$1:$I$89,5,0)</f>
        <v>-1.0197709343628959E-13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140.16059323013189</v>
      </c>
      <c r="BJ169" s="62">
        <f t="shared" si="146"/>
        <v>219.0992563594865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0.73051579418620494</v>
      </c>
      <c r="BQ169" s="23">
        <f>EXP(-LN(2)/25)*BQ168+(1-EXP(-LN(2)/25))/(LN(2)/25)*Calculateur!BL169*Calculateur!BN169*VLOOKUP('Données projet'!$B$11,Paramètres!$A$1:$I$89,3,0)*0.475*44/12</f>
        <v>0.20876804307286834</v>
      </c>
      <c r="BR169" s="23">
        <f>EXP(-LN(2)/2)*BR168+(1-EXP(-LN(2)/2))/(LN(2)/2)*BL169*BO169*VLOOKUP('Données projet'!$B$11,Paramètres!$A$1:$I$89,3,0)*0.475*44/12</f>
        <v>3.6654122963932963E-20</v>
      </c>
      <c r="BS169" s="24">
        <f t="shared" si="169"/>
        <v>0.93928383725907327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2">
        <f t="shared" si="140"/>
        <v>32.244444629402366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70">
        <f t="shared" si="110"/>
        <v>562.74973772954172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6.3550942286383367E-14</v>
      </c>
      <c r="P170" s="14">
        <f t="shared" si="141"/>
        <v>1.0064464192543978E-12</v>
      </c>
      <c r="Q170" s="22">
        <f t="shared" si="162"/>
        <v>1.8635787380168604E-12</v>
      </c>
      <c r="R170" s="62">
        <f t="shared" si="109"/>
        <v>293.33333333333519</v>
      </c>
      <c r="S170" s="62">
        <f ca="1">AVERAGE(OFFSET($R$3,0,0,'Données projet'!$E$9+1,1))-AVERAGE(OFFSET($H$3,0,0,'Données projet'!$E$9+1,1))</f>
        <v>262.38865315945856</v>
      </c>
      <c r="T170" s="62">
        <f t="shared" si="142"/>
        <v>268.78503805457069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1.4063216125394347</v>
      </c>
      <c r="AA170" s="23">
        <f>EXP(-LN(2)/25)*AA169+(1-EXP(-LN(2)/25))/(LN(2)/25)*Calculateur!V170*Calculateur!X170*VLOOKUP('Données projet'!$B$9,Paramètres!$A$1:$I$89,3,0)*0.475*44/12</f>
        <v>4.580072594698166E-2</v>
      </c>
      <c r="AB170" s="23">
        <f>EXP(-LN(2)/2)*AB169+(1-EXP(-LN(2)/2))/(LN(2)/2)*V170*Y170*VLOOKUP('Données projet'!$B$9,Paramètres!$A$1:$I$89,3,0)*0.475*44/12</f>
        <v>1.241572436738568E-20</v>
      </c>
      <c r="AC170" s="24">
        <f t="shared" si="163"/>
        <v>1.4521223384864164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-4.5474735088646412E-13</v>
      </c>
      <c r="AJ170" s="14">
        <f>AI170*VLOOKUP('Données projet'!$B$10,Paramètres!$A$1:$I$89,3,0)*VLOOKUP('Données projet'!$B$10,Paramètres!$A$1:$I$89,5,0)</f>
        <v>-2.1282176021486519E-13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199.36309817800088</v>
      </c>
      <c r="AO170" s="62">
        <f t="shared" si="144"/>
        <v>151.91120569748284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-1.7053025658242404E-13</v>
      </c>
      <c r="BE170" s="14">
        <f>BD170*VLOOKUP('Données projet'!$B$11,Paramètres!$A$1:$I$89,3,0)*VLOOKUP('Données projet'!$B$11,Paramètres!$A$1:$I$89,5,0)</f>
        <v>-1.0197709343628959E-13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140.16059323013189</v>
      </c>
      <c r="BJ170" s="62">
        <f t="shared" si="146"/>
        <v>219.0992563594865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0.71619082503285147</v>
      </c>
      <c r="BQ170" s="23">
        <f>EXP(-LN(2)/25)*BQ169+(1-EXP(-LN(2)/25))/(LN(2)/25)*Calculateur!BL170*Calculateur!BN170*VLOOKUP('Données projet'!$B$11,Paramètres!$A$1:$I$89,3,0)*0.475*44/12</f>
        <v>0.20305926995640652</v>
      </c>
      <c r="BR170" s="23">
        <f>EXP(-LN(2)/2)*BR169+(1-EXP(-LN(2)/2))/(LN(2)/2)*BL170*BO170*VLOOKUP('Données projet'!$B$11,Paramètres!$A$1:$I$89,3,0)*0.475*44/12</f>
        <v>2.5918378906242552E-20</v>
      </c>
      <c r="BS170" s="24">
        <f t="shared" si="169"/>
        <v>0.91925009498925803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2">
        <f t="shared" si="140"/>
        <v>32.41499124057033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70">
        <f t="shared" si="110"/>
        <v>564.32376307732591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6.3550942286383367E-14</v>
      </c>
      <c r="P171" s="14">
        <f t="shared" si="141"/>
        <v>1.0064464192543978E-12</v>
      </c>
      <c r="Q171" s="22">
        <f t="shared" si="162"/>
        <v>1.8635787380168604E-12</v>
      </c>
      <c r="R171" s="62">
        <f t="shared" si="109"/>
        <v>293.33333333333519</v>
      </c>
      <c r="S171" s="62">
        <f ca="1">AVERAGE(OFFSET($R$3,0,0,'Données projet'!$E$9+1,1))-AVERAGE(OFFSET($H$3,0,0,'Données projet'!$E$9+1,1))</f>
        <v>262.38865315945856</v>
      </c>
      <c r="T171" s="62">
        <f t="shared" si="142"/>
        <v>268.78503805457069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1.378744503489022</v>
      </c>
      <c r="AA171" s="23">
        <f>EXP(-LN(2)/25)*AA170+(1-EXP(-LN(2)/25))/(LN(2)/25)*Calculateur!V171*Calculateur!X171*VLOOKUP('Données projet'!$B$9,Paramètres!$A$1:$I$89,3,0)*0.475*44/12</f>
        <v>4.454830268740595E-2</v>
      </c>
      <c r="AB171" s="23">
        <f>EXP(-LN(2)/2)*AB170+(1-EXP(-LN(2)/2))/(LN(2)/2)*V171*Y171*VLOOKUP('Données projet'!$B$9,Paramètres!$A$1:$I$89,3,0)*0.475*44/12</f>
        <v>8.7792428935214721E-21</v>
      </c>
      <c r="AC171" s="24">
        <f t="shared" si="163"/>
        <v>1.4232928061764278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-4.5474735088646412E-13</v>
      </c>
      <c r="AJ171" s="14">
        <f>AI171*VLOOKUP('Données projet'!$B$10,Paramètres!$A$1:$I$89,3,0)*VLOOKUP('Données projet'!$B$10,Paramètres!$A$1:$I$89,5,0)</f>
        <v>-2.1282176021486519E-13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199.36309817800088</v>
      </c>
      <c r="AO171" s="62">
        <f t="shared" si="144"/>
        <v>151.91120569748284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-1.7053025658242404E-13</v>
      </c>
      <c r="BE171" s="14">
        <f>BD171*VLOOKUP('Données projet'!$B$11,Paramètres!$A$1:$I$89,3,0)*VLOOKUP('Données projet'!$B$11,Paramètres!$A$1:$I$89,5,0)</f>
        <v>-1.0197709343628959E-13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140.16059323013189</v>
      </c>
      <c r="BJ171" s="62">
        <f t="shared" si="146"/>
        <v>219.0992563594865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0.70214675978722685</v>
      </c>
      <c r="BQ171" s="23">
        <f>EXP(-LN(2)/25)*BQ170+(1-EXP(-LN(2)/25))/(LN(2)/25)*Calculateur!BL171*Calculateur!BN171*VLOOKUP('Données projet'!$B$11,Paramètres!$A$1:$I$89,3,0)*0.475*44/12</f>
        <v>0.19750660354102567</v>
      </c>
      <c r="BR171" s="23">
        <f>EXP(-LN(2)/2)*BR170+(1-EXP(-LN(2)/2))/(LN(2)/2)*BL171*BO171*VLOOKUP('Données projet'!$B$11,Paramètres!$A$1:$I$89,3,0)*0.475*44/12</f>
        <v>1.8327061481966481E-20</v>
      </c>
      <c r="BS171" s="24">
        <f t="shared" si="169"/>
        <v>0.89965336332825252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2">
        <f t="shared" si="140"/>
        <v>32.585419727488741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70">
        <f t="shared" si="110"/>
        <v>565.89758269204208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6.3550942286383367E-14</v>
      </c>
      <c r="P172" s="14">
        <f t="shared" si="141"/>
        <v>1.0064464192543978E-12</v>
      </c>
      <c r="Q172" s="22">
        <f t="shared" si="162"/>
        <v>1.8635787380168604E-12</v>
      </c>
      <c r="R172" s="62">
        <f t="shared" si="109"/>
        <v>293.33333333333519</v>
      </c>
      <c r="S172" s="62">
        <f ca="1">AVERAGE(OFFSET($R$3,0,0,'Données projet'!$E$9+1,1))-AVERAGE(OFFSET($H$3,0,0,'Données projet'!$E$9+1,1))</f>
        <v>262.38865315945856</v>
      </c>
      <c r="T172" s="62">
        <f t="shared" si="142"/>
        <v>268.78503805457069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1.3517081647267124</v>
      </c>
      <c r="AA172" s="23">
        <f>EXP(-LN(2)/25)*AA171+(1-EXP(-LN(2)/25))/(LN(2)/25)*Calculateur!V172*Calculateur!X172*VLOOKUP('Données projet'!$B$9,Paramètres!$A$1:$I$89,3,0)*0.475*44/12</f>
        <v>4.3330127007725414E-2</v>
      </c>
      <c r="AB172" s="23">
        <f>EXP(-LN(2)/2)*AB171+(1-EXP(-LN(2)/2))/(LN(2)/2)*V172*Y172*VLOOKUP('Données projet'!$B$9,Paramètres!$A$1:$I$89,3,0)*0.475*44/12</f>
        <v>6.20786218369284E-21</v>
      </c>
      <c r="AC172" s="24">
        <f t="shared" si="163"/>
        <v>1.3950382917344377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-4.5474735088646412E-13</v>
      </c>
      <c r="AJ172" s="14">
        <f>AI172*VLOOKUP('Données projet'!$B$10,Paramètres!$A$1:$I$89,3,0)*VLOOKUP('Données projet'!$B$10,Paramètres!$A$1:$I$89,5,0)</f>
        <v>-2.1282176021486519E-13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199.36309817800088</v>
      </c>
      <c r="AO172" s="62">
        <f t="shared" si="144"/>
        <v>151.91120569748284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-1.7053025658242404E-13</v>
      </c>
      <c r="BE172" s="14">
        <f>BD172*VLOOKUP('Données projet'!$B$11,Paramètres!$A$1:$I$89,3,0)*VLOOKUP('Données projet'!$B$11,Paramètres!$A$1:$I$89,5,0)</f>
        <v>-1.0197709343628959E-13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140.16059323013189</v>
      </c>
      <c r="BJ172" s="62">
        <f t="shared" si="146"/>
        <v>219.0992563594865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0.68837809009503492</v>
      </c>
      <c r="BQ172" s="23">
        <f>EXP(-LN(2)/25)*BQ171+(1-EXP(-LN(2)/25))/(LN(2)/25)*Calculateur!BL172*Calculateur!BN172*VLOOKUP('Données projet'!$B$11,Paramètres!$A$1:$I$89,3,0)*0.475*44/12</f>
        <v>0.19210577508077545</v>
      </c>
      <c r="BR172" s="23">
        <f>EXP(-LN(2)/2)*BR171+(1-EXP(-LN(2)/2))/(LN(2)/2)*BL172*BO172*VLOOKUP('Données projet'!$B$11,Paramètres!$A$1:$I$89,3,0)*0.475*44/12</f>
        <v>1.2959189453121276E-20</v>
      </c>
      <c r="BS172" s="24">
        <f t="shared" si="169"/>
        <v>0.88048386517581034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2">
        <f t="shared" si="140"/>
        <v>32.755730870217128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70">
        <f t="shared" si="110"/>
        <v>567.4711979322941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6.3550942286383367E-14</v>
      </c>
      <c r="P173" s="14">
        <f t="shared" si="141"/>
        <v>1.0064464192543978E-12</v>
      </c>
      <c r="Q173" s="22">
        <f t="shared" si="162"/>
        <v>1.8635787380168604E-12</v>
      </c>
      <c r="R173" s="62">
        <f t="shared" si="109"/>
        <v>293.33333333333519</v>
      </c>
      <c r="S173" s="62">
        <f ca="1">AVERAGE(OFFSET($R$3,0,0,'Données projet'!$E$9+1,1))-AVERAGE(OFFSET($H$3,0,0,'Données projet'!$E$9+1,1))</f>
        <v>262.38865315945856</v>
      </c>
      <c r="T173" s="62">
        <f t="shared" si="142"/>
        <v>268.78503805457069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1.3252019920769933</v>
      </c>
      <c r="AA173" s="23">
        <f>EXP(-LN(2)/25)*AA172+(1-EXP(-LN(2)/25))/(LN(2)/25)*Calculateur!V173*Calculateur!X173*VLOOKUP('Données projet'!$B$9,Paramètres!$A$1:$I$89,3,0)*0.475*44/12</f>
        <v>4.2145262406066815E-2</v>
      </c>
      <c r="AB173" s="23">
        <f>EXP(-LN(2)/2)*AB172+(1-EXP(-LN(2)/2))/(LN(2)/2)*V173*Y173*VLOOKUP('Données projet'!$B$9,Paramètres!$A$1:$I$89,3,0)*0.475*44/12</f>
        <v>4.3896214467607361E-21</v>
      </c>
      <c r="AC173" s="24">
        <f t="shared" si="163"/>
        <v>1.36734725448306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-4.5474735088646412E-13</v>
      </c>
      <c r="AJ173" s="14">
        <f>AI173*VLOOKUP('Données projet'!$B$10,Paramètres!$A$1:$I$89,3,0)*VLOOKUP('Données projet'!$B$10,Paramètres!$A$1:$I$89,5,0)</f>
        <v>-2.1282176021486519E-13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199.36309817800088</v>
      </c>
      <c r="AO173" s="62">
        <f t="shared" si="144"/>
        <v>151.91120569748284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-1.7053025658242404E-13</v>
      </c>
      <c r="BE173" s="14">
        <f>BD173*VLOOKUP('Données projet'!$B$11,Paramètres!$A$1:$I$89,3,0)*VLOOKUP('Données projet'!$B$11,Paramètres!$A$1:$I$89,5,0)</f>
        <v>-1.0197709343628959E-13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140.16059323013189</v>
      </c>
      <c r="BJ173" s="62">
        <f t="shared" si="146"/>
        <v>219.0992563594865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0.67487941561744758</v>
      </c>
      <c r="BQ173" s="23">
        <f>EXP(-LN(2)/25)*BQ172+(1-EXP(-LN(2)/25))/(LN(2)/25)*Calculateur!BL173*Calculateur!BN173*VLOOKUP('Données projet'!$B$11,Paramètres!$A$1:$I$89,3,0)*0.475*44/12</f>
        <v>0.18685263255878801</v>
      </c>
      <c r="BR173" s="23">
        <f>EXP(-LN(2)/2)*BR172+(1-EXP(-LN(2)/2))/(LN(2)/2)*BL173*BO173*VLOOKUP('Données projet'!$B$11,Paramètres!$A$1:$I$89,3,0)*0.475*44/12</f>
        <v>9.1635307409832406E-21</v>
      </c>
      <c r="BS173" s="24">
        <f t="shared" si="169"/>
        <v>0.86173204817623561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2">
        <f t="shared" si="140"/>
        <v>32.925925439106763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70">
        <f t="shared" si="110"/>
        <v>569.04461013977686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6.3550942286383367E-14</v>
      </c>
      <c r="P174" s="14">
        <f t="shared" si="141"/>
        <v>1.0064464192543978E-12</v>
      </c>
      <c r="Q174" s="22">
        <f t="shared" si="162"/>
        <v>1.8635787380168604E-12</v>
      </c>
      <c r="R174" s="62">
        <f t="shared" si="109"/>
        <v>293.33333333333519</v>
      </c>
      <c r="S174" s="62">
        <f ca="1">AVERAGE(OFFSET($R$3,0,0,'Données projet'!$E$9+1,1))-AVERAGE(OFFSET($H$3,0,0,'Données projet'!$E$9+1,1))</f>
        <v>262.38865315945856</v>
      </c>
      <c r="T174" s="62">
        <f t="shared" si="142"/>
        <v>268.78503805457069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1.2992155893057662</v>
      </c>
      <c r="AA174" s="23">
        <f>EXP(-LN(2)/25)*AA173+(1-EXP(-LN(2)/25))/(LN(2)/25)*Calculateur!V174*Calculateur!X174*VLOOKUP('Données projet'!$B$9,Paramètres!$A$1:$I$89,3,0)*0.475*44/12</f>
        <v>4.0992797989249895E-2</v>
      </c>
      <c r="AB174" s="23">
        <f>EXP(-LN(2)/2)*AB173+(1-EXP(-LN(2)/2))/(LN(2)/2)*V174*Y174*VLOOKUP('Données projet'!$B$9,Paramètres!$A$1:$I$89,3,0)*0.475*44/12</f>
        <v>3.10393109184642E-21</v>
      </c>
      <c r="AC174" s="24">
        <f t="shared" si="163"/>
        <v>1.3402083872950161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-4.5474735088646412E-13</v>
      </c>
      <c r="AJ174" s="14">
        <f>AI174*VLOOKUP('Données projet'!$B$10,Paramètres!$A$1:$I$89,3,0)*VLOOKUP('Données projet'!$B$10,Paramètres!$A$1:$I$89,5,0)</f>
        <v>-2.1282176021486519E-13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199.36309817800088</v>
      </c>
      <c r="AO174" s="62">
        <f t="shared" si="144"/>
        <v>151.91120569748284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-1.7053025658242404E-13</v>
      </c>
      <c r="BE174" s="14">
        <f>BD174*VLOOKUP('Données projet'!$B$11,Paramètres!$A$1:$I$89,3,0)*VLOOKUP('Données projet'!$B$11,Paramètres!$A$1:$I$89,5,0)</f>
        <v>-1.0197709343628959E-13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140.16059323013189</v>
      </c>
      <c r="BJ174" s="62">
        <f t="shared" si="146"/>
        <v>219.0992563594865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0.66164544191298724</v>
      </c>
      <c r="BQ174" s="23">
        <f>EXP(-LN(2)/25)*BQ173+(1-EXP(-LN(2)/25))/(LN(2)/25)*Calculateur!BL174*Calculateur!BN174*VLOOKUP('Données projet'!$B$11,Paramètres!$A$1:$I$89,3,0)*0.475*44/12</f>
        <v>0.18174313749531507</v>
      </c>
      <c r="BR174" s="23">
        <f>EXP(-LN(2)/2)*BR173+(1-EXP(-LN(2)/2))/(LN(2)/2)*BL174*BO174*VLOOKUP('Données projet'!$B$11,Paramètres!$A$1:$I$89,3,0)*0.475*44/12</f>
        <v>6.4795947265606381E-21</v>
      </c>
      <c r="BS174" s="24">
        <f t="shared" si="169"/>
        <v>0.84338857940830225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2">
        <f t="shared" si="140"/>
        <v>33.096004194977731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70">
        <f t="shared" si="110"/>
        <v>570.61782063958549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6.3550942286383367E-14</v>
      </c>
      <c r="P175" s="14">
        <f t="shared" si="141"/>
        <v>1.0064464192543978E-12</v>
      </c>
      <c r="Q175" s="22">
        <f t="shared" si="162"/>
        <v>1.8635787380168604E-12</v>
      </c>
      <c r="R175" s="62">
        <f t="shared" si="109"/>
        <v>293.33333333333519</v>
      </c>
      <c r="S175" s="62">
        <f ca="1">AVERAGE(OFFSET($R$3,0,0,'Données projet'!$E$9+1,1))-AVERAGE(OFFSET($H$3,0,0,'Données projet'!$E$9+1,1))</f>
        <v>262.38865315945856</v>
      </c>
      <c r="T175" s="62">
        <f t="shared" si="142"/>
        <v>268.78503805457069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1.2737387640427422</v>
      </c>
      <c r="AA175" s="23">
        <f>EXP(-LN(2)/25)*AA174+(1-EXP(-LN(2)/25))/(LN(2)/25)*Calculateur!V175*Calculateur!X175*VLOOKUP('Données projet'!$B$9,Paramètres!$A$1:$I$89,3,0)*0.475*44/12</f>
        <v>3.9871847772516303E-2</v>
      </c>
      <c r="AB175" s="23">
        <f>EXP(-LN(2)/2)*AB174+(1-EXP(-LN(2)/2))/(LN(2)/2)*V175*Y175*VLOOKUP('Données projet'!$B$9,Paramètres!$A$1:$I$89,3,0)*0.475*44/12</f>
        <v>2.194810723380368E-21</v>
      </c>
      <c r="AC175" s="24">
        <f t="shared" si="163"/>
        <v>1.3136106118152586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-4.5474735088646412E-13</v>
      </c>
      <c r="AJ175" s="14">
        <f>AI175*VLOOKUP('Données projet'!$B$10,Paramètres!$A$1:$I$89,3,0)*VLOOKUP('Données projet'!$B$10,Paramètres!$A$1:$I$89,5,0)</f>
        <v>-2.1282176021486519E-13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199.36309817800088</v>
      </c>
      <c r="AO175" s="62">
        <f t="shared" si="144"/>
        <v>151.91120569748284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-1.7053025658242404E-13</v>
      </c>
      <c r="BE175" s="14">
        <f>BD175*VLOOKUP('Données projet'!$B$11,Paramètres!$A$1:$I$89,3,0)*VLOOKUP('Données projet'!$B$11,Paramètres!$A$1:$I$89,5,0)</f>
        <v>-1.0197709343628959E-13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140.16059323013189</v>
      </c>
      <c r="BJ175" s="62">
        <f t="shared" si="146"/>
        <v>219.0992563594865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0.64867097836094456</v>
      </c>
      <c r="BQ175" s="23">
        <f>EXP(-LN(2)/25)*BQ174+(1-EXP(-LN(2)/25))/(LN(2)/25)*Calculateur!BL175*Calculateur!BN175*VLOOKUP('Données projet'!$B$11,Paramètres!$A$1:$I$89,3,0)*0.475*44/12</f>
        <v>0.17677336184304945</v>
      </c>
      <c r="BR175" s="23">
        <f>EXP(-LN(2)/2)*BR174+(1-EXP(-LN(2)/2))/(LN(2)/2)*BL175*BO175*VLOOKUP('Données projet'!$B$11,Paramètres!$A$1:$I$89,3,0)*0.475*44/12</f>
        <v>4.5817653704916203E-21</v>
      </c>
      <c r="BS175" s="24">
        <f t="shared" si="169"/>
        <v>0.82544434020399404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2">
        <f t="shared" si="140"/>
        <v>33.265967889291609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70">
        <f t="shared" si="110"/>
        <v>572.19083074051537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6.3550942286383367E-14</v>
      </c>
      <c r="P176" s="14">
        <f t="shared" si="141"/>
        <v>1.0064464192543978E-12</v>
      </c>
      <c r="Q176" s="22">
        <f t="shared" si="162"/>
        <v>1.8635787380168604E-12</v>
      </c>
      <c r="R176" s="62">
        <f t="shared" si="109"/>
        <v>293.33333333333519</v>
      </c>
      <c r="S176" s="62">
        <f ca="1">AVERAGE(OFFSET($R$3,0,0,'Données projet'!$E$9+1,1))-AVERAGE(OFFSET($H$3,0,0,'Données projet'!$E$9+1,1))</f>
        <v>262.38865315945856</v>
      </c>
      <c r="T176" s="62">
        <f t="shared" si="142"/>
        <v>268.78503805457069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1.2487615237837972</v>
      </c>
      <c r="AA176" s="23">
        <f>EXP(-LN(2)/25)*AA175+(1-EXP(-LN(2)/25))/(LN(2)/25)*Calculateur!V176*Calculateur!X176*VLOOKUP('Données projet'!$B$9,Paramètres!$A$1:$I$89,3,0)*0.475*44/12</f>
        <v>3.8781549998407501E-2</v>
      </c>
      <c r="AB176" s="23">
        <f>EXP(-LN(2)/2)*AB175+(1-EXP(-LN(2)/2))/(LN(2)/2)*V176*Y176*VLOOKUP('Données projet'!$B$9,Paramètres!$A$1:$I$89,3,0)*0.475*44/12</f>
        <v>1.55196554592321E-21</v>
      </c>
      <c r="AC176" s="24">
        <f t="shared" si="163"/>
        <v>1.2875430737822047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-4.5474735088646412E-13</v>
      </c>
      <c r="AJ176" s="14">
        <f>AI176*VLOOKUP('Données projet'!$B$10,Paramètres!$A$1:$I$89,3,0)*VLOOKUP('Données projet'!$B$10,Paramètres!$A$1:$I$89,5,0)</f>
        <v>-2.1282176021486519E-13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199.36309817800088</v>
      </c>
      <c r="AO176" s="62">
        <f t="shared" si="144"/>
        <v>151.91120569748284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-1.7053025658242404E-13</v>
      </c>
      <c r="BE176" s="14">
        <f>BD176*VLOOKUP('Données projet'!$B$11,Paramètres!$A$1:$I$89,3,0)*VLOOKUP('Données projet'!$B$11,Paramètres!$A$1:$I$89,5,0)</f>
        <v>-1.0197709343628959E-13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140.16059323013189</v>
      </c>
      <c r="BJ176" s="62">
        <f t="shared" si="146"/>
        <v>219.0992563594865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0.63595093612551601</v>
      </c>
      <c r="BQ176" s="23">
        <f>EXP(-LN(2)/25)*BQ175+(1-EXP(-LN(2)/25))/(LN(2)/25)*Calculateur!BL176*Calculateur!BN176*VLOOKUP('Données projet'!$B$11,Paramètres!$A$1:$I$89,3,0)*0.475*44/12</f>
        <v>0.17193948496734418</v>
      </c>
      <c r="BR176" s="23">
        <f>EXP(-LN(2)/2)*BR175+(1-EXP(-LN(2)/2))/(LN(2)/2)*BL176*BO176*VLOOKUP('Données projet'!$B$11,Paramètres!$A$1:$I$89,3,0)*0.475*44/12</f>
        <v>3.2397973632803191E-21</v>
      </c>
      <c r="BS176" s="24">
        <f t="shared" si="169"/>
        <v>0.80789042109286013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2">
        <f t="shared" si="140"/>
        <v>33.435817264319738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70">
        <f t="shared" si="110"/>
        <v>573.76364173535603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6.3550942286383367E-14</v>
      </c>
      <c r="P177" s="14">
        <f t="shared" si="141"/>
        <v>1.0064464192543978E-12</v>
      </c>
      <c r="Q177" s="22">
        <f t="shared" si="162"/>
        <v>1.8635787380168604E-12</v>
      </c>
      <c r="R177" s="62">
        <f t="shared" si="109"/>
        <v>293.33333333333519</v>
      </c>
      <c r="S177" s="62">
        <f ca="1">AVERAGE(OFFSET($R$3,0,0,'Données projet'!$E$9+1,1))-AVERAGE(OFFSET($H$3,0,0,'Données projet'!$E$9+1,1))</f>
        <v>262.38865315945856</v>
      </c>
      <c r="T177" s="62">
        <f t="shared" si="142"/>
        <v>268.78503805457069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1.2242740719717178</v>
      </c>
      <c r="AA177" s="23">
        <f>EXP(-LN(2)/25)*AA176+(1-EXP(-LN(2)/25))/(LN(2)/25)*Calculateur!V177*Calculateur!X177*VLOOKUP('Données projet'!$B$9,Paramètres!$A$1:$I$89,3,0)*0.475*44/12</f>
        <v>3.772106647426797E-2</v>
      </c>
      <c r="AB177" s="23">
        <f>EXP(-LN(2)/2)*AB176+(1-EXP(-LN(2)/2))/(LN(2)/2)*V177*Y177*VLOOKUP('Données projet'!$B$9,Paramètres!$A$1:$I$89,3,0)*0.475*44/12</f>
        <v>1.097405361690184E-21</v>
      </c>
      <c r="AC177" s="24">
        <f t="shared" si="163"/>
        <v>1.2619951384459858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-4.5474735088646412E-13</v>
      </c>
      <c r="AJ177" s="14">
        <f>AI177*VLOOKUP('Données projet'!$B$10,Paramètres!$A$1:$I$89,3,0)*VLOOKUP('Données projet'!$B$10,Paramètres!$A$1:$I$89,5,0)</f>
        <v>-2.1282176021486519E-13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199.36309817800088</v>
      </c>
      <c r="AO177" s="62">
        <f t="shared" si="144"/>
        <v>151.91120569748284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-1.7053025658242404E-13</v>
      </c>
      <c r="BE177" s="14">
        <f>BD177*VLOOKUP('Données projet'!$B$11,Paramètres!$A$1:$I$89,3,0)*VLOOKUP('Données projet'!$B$11,Paramètres!$A$1:$I$89,5,0)</f>
        <v>-1.0197709343628959E-13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140.16059323013189</v>
      </c>
      <c r="BJ177" s="62">
        <f t="shared" si="146"/>
        <v>219.0992563594865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0.6234803261598646</v>
      </c>
      <c r="BQ177" s="23">
        <f>EXP(-LN(2)/25)*BQ176+(1-EXP(-LN(2)/25))/(LN(2)/25)*Calculateur!BL177*Calculateur!BN177*VLOOKUP('Données projet'!$B$11,Paramètres!$A$1:$I$89,3,0)*0.475*44/12</f>
        <v>0.1672377907090076</v>
      </c>
      <c r="BR177" s="23">
        <f>EXP(-LN(2)/2)*BR176+(1-EXP(-LN(2)/2))/(LN(2)/2)*BL177*BO177*VLOOKUP('Données projet'!$B$11,Paramètres!$A$1:$I$89,3,0)*0.475*44/12</f>
        <v>2.2908826852458102E-21</v>
      </c>
      <c r="BS177" s="24">
        <f t="shared" si="169"/>
        <v>0.79071811686887217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2">
        <f t="shared" si="140"/>
        <v>33.605553053307958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70">
        <f t="shared" si="110"/>
        <v>575.3362549011772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6.3550942286383367E-14</v>
      </c>
      <c r="P178" s="14">
        <f t="shared" si="141"/>
        <v>1.0064464192543978E-12</v>
      </c>
      <c r="Q178" s="22">
        <f t="shared" si="162"/>
        <v>1.8635787380168604E-12</v>
      </c>
      <c r="R178" s="62">
        <f t="shared" si="109"/>
        <v>293.33333333333519</v>
      </c>
      <c r="S178" s="62">
        <f ca="1">AVERAGE(OFFSET($R$3,0,0,'Données projet'!$E$9+1,1))-AVERAGE(OFFSET($H$3,0,0,'Données projet'!$E$9+1,1))</f>
        <v>262.38865315945856</v>
      </c>
      <c r="T178" s="62">
        <f t="shared" si="142"/>
        <v>268.78503805457069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1.2002668041538025</v>
      </c>
      <c r="AA178" s="23">
        <f>EXP(-LN(2)/25)*AA177+(1-EXP(-LN(2)/25))/(LN(2)/25)*Calculateur!V178*Calculateur!X178*VLOOKUP('Données projet'!$B$9,Paramètres!$A$1:$I$89,3,0)*0.475*44/12</f>
        <v>3.6689581927864437E-2</v>
      </c>
      <c r="AB178" s="23">
        <f>EXP(-LN(2)/2)*AB177+(1-EXP(-LN(2)/2))/(LN(2)/2)*V178*Y178*VLOOKUP('Données projet'!$B$9,Paramètres!$A$1:$I$89,3,0)*0.475*44/12</f>
        <v>7.75982772961605E-22</v>
      </c>
      <c r="AC178" s="24">
        <f t="shared" si="163"/>
        <v>1.236956386081667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-4.5474735088646412E-13</v>
      </c>
      <c r="AJ178" s="14">
        <f>AI178*VLOOKUP('Données projet'!$B$10,Paramètres!$A$1:$I$89,3,0)*VLOOKUP('Données projet'!$B$10,Paramètres!$A$1:$I$89,5,0)</f>
        <v>-2.1282176021486519E-13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199.36309817800088</v>
      </c>
      <c r="AO178" s="62">
        <f t="shared" si="144"/>
        <v>151.91120569748284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-1.7053025658242404E-13</v>
      </c>
      <c r="BE178" s="14">
        <f>BD178*VLOOKUP('Données projet'!$B$11,Paramètres!$A$1:$I$89,3,0)*VLOOKUP('Données projet'!$B$11,Paramètres!$A$1:$I$89,5,0)</f>
        <v>-1.0197709343628959E-13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140.16059323013189</v>
      </c>
      <c r="BJ178" s="62">
        <f t="shared" si="146"/>
        <v>219.0992563594865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0.61125425724931859</v>
      </c>
      <c r="BQ178" s="23">
        <f>EXP(-LN(2)/25)*BQ177+(1-EXP(-LN(2)/25))/(LN(2)/25)*Calculateur!BL178*Calculateur!BN178*VLOOKUP('Données projet'!$B$11,Paramètres!$A$1:$I$89,3,0)*0.475*44/12</f>
        <v>0.1626646645274166</v>
      </c>
      <c r="BR178" s="23">
        <f>EXP(-LN(2)/2)*BR177+(1-EXP(-LN(2)/2))/(LN(2)/2)*BL178*BO178*VLOOKUP('Données projet'!$B$11,Paramètres!$A$1:$I$89,3,0)*0.475*44/12</f>
        <v>1.6198986816401595E-21</v>
      </c>
      <c r="BS178" s="24">
        <f t="shared" si="169"/>
        <v>0.77391892177673516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2">
        <f t="shared" si="140"/>
        <v>33.7751759806373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70">
        <f t="shared" si="110"/>
        <v>576.90867149960923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6.3550942286383367E-14</v>
      </c>
      <c r="P179" s="14">
        <f t="shared" si="141"/>
        <v>1.0064464192543978E-12</v>
      </c>
      <c r="Q179" s="22">
        <f t="shared" si="162"/>
        <v>1.8635787380168604E-12</v>
      </c>
      <c r="R179" s="62">
        <f t="shared" si="109"/>
        <v>293.33333333333519</v>
      </c>
      <c r="S179" s="62">
        <f ca="1">AVERAGE(OFFSET($R$3,0,0,'Données projet'!$E$9+1,1))-AVERAGE(OFFSET($H$3,0,0,'Données projet'!$E$9+1,1))</f>
        <v>262.38865315945856</v>
      </c>
      <c r="T179" s="62">
        <f t="shared" si="142"/>
        <v>268.78503805457069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1.176730304214809</v>
      </c>
      <c r="AA179" s="23">
        <f>EXP(-LN(2)/25)*AA178+(1-EXP(-LN(2)/25))/(LN(2)/25)*Calculateur!V179*Calculateur!X179*VLOOKUP('Données projet'!$B$9,Paramètres!$A$1:$I$89,3,0)*0.475*44/12</f>
        <v>3.5686303380625728E-2</v>
      </c>
      <c r="AB179" s="23">
        <f>EXP(-LN(2)/2)*AB178+(1-EXP(-LN(2)/2))/(LN(2)/2)*V179*Y179*VLOOKUP('Données projet'!$B$9,Paramètres!$A$1:$I$89,3,0)*0.475*44/12</f>
        <v>5.4870268084509201E-22</v>
      </c>
      <c r="AC179" s="24">
        <f t="shared" si="163"/>
        <v>1.2124166075954346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-4.5474735088646412E-13</v>
      </c>
      <c r="AJ179" s="14">
        <f>AI179*VLOOKUP('Données projet'!$B$10,Paramètres!$A$1:$I$89,3,0)*VLOOKUP('Données projet'!$B$10,Paramètres!$A$1:$I$89,5,0)</f>
        <v>-2.1282176021486519E-13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199.36309817800088</v>
      </c>
      <c r="AO179" s="62">
        <f t="shared" si="144"/>
        <v>151.91120569748284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-1.7053025658242404E-13</v>
      </c>
      <c r="BE179" s="14">
        <f>BD179*VLOOKUP('Données projet'!$B$11,Paramètres!$A$1:$I$89,3,0)*VLOOKUP('Données projet'!$B$11,Paramètres!$A$1:$I$89,5,0)</f>
        <v>-1.0197709343628959E-13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140.16059323013189</v>
      </c>
      <c r="BJ179" s="62">
        <f t="shared" si="146"/>
        <v>219.0992563594865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0.59926793409294266</v>
      </c>
      <c r="BQ179" s="23">
        <f>EXP(-LN(2)/25)*BQ178+(1-EXP(-LN(2)/25))/(LN(2)/25)*Calculateur!BL179*Calculateur!BN179*VLOOKUP('Données projet'!$B$11,Paramètres!$A$1:$I$89,3,0)*0.475*44/12</f>
        <v>0.15821659072175145</v>
      </c>
      <c r="BR179" s="23">
        <f>EXP(-LN(2)/2)*BR178+(1-EXP(-LN(2)/2))/(LN(2)/2)*BL179*BO179*VLOOKUP('Données projet'!$B$11,Paramètres!$A$1:$I$89,3,0)*0.475*44/12</f>
        <v>1.1454413426229051E-21</v>
      </c>
      <c r="BS179" s="24">
        <f t="shared" si="169"/>
        <v>0.75748452481469408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2">
        <f t="shared" si="140"/>
        <v>33.944686761980805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70">
        <f t="shared" si="110"/>
        <v>578.48089277711574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6.3550942286383367E-14</v>
      </c>
      <c r="P180" s="14">
        <f t="shared" si="141"/>
        <v>1.0064464192543978E-12</v>
      </c>
      <c r="Q180" s="22">
        <f t="shared" si="162"/>
        <v>1.8635787380168604E-12</v>
      </c>
      <c r="R180" s="62">
        <f t="shared" si="109"/>
        <v>293.33333333333519</v>
      </c>
      <c r="S180" s="62">
        <f ca="1">AVERAGE(OFFSET($R$3,0,0,'Données projet'!$E$9+1,1))-AVERAGE(OFFSET($H$3,0,0,'Données projet'!$E$9+1,1))</f>
        <v>262.38865315945856</v>
      </c>
      <c r="T180" s="62">
        <f t="shared" si="142"/>
        <v>268.78503805457069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1.1536553406837717</v>
      </c>
      <c r="AA180" s="23">
        <f>EXP(-LN(2)/25)*AA179+(1-EXP(-LN(2)/25))/(LN(2)/25)*Calculateur!V180*Calculateur!X180*VLOOKUP('Données projet'!$B$9,Paramètres!$A$1:$I$89,3,0)*0.475*44/12</f>
        <v>3.4710459538021383E-2</v>
      </c>
      <c r="AB180" s="23">
        <f>EXP(-LN(2)/2)*AB179+(1-EXP(-LN(2)/2))/(LN(2)/2)*V180*Y180*VLOOKUP('Données projet'!$B$9,Paramètres!$A$1:$I$89,3,0)*0.475*44/12</f>
        <v>3.879913864808025E-22</v>
      </c>
      <c r="AC180" s="24">
        <f t="shared" si="163"/>
        <v>1.1883658002217932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-4.5474735088646412E-13</v>
      </c>
      <c r="AJ180" s="14">
        <f>AI180*VLOOKUP('Données projet'!$B$10,Paramètres!$A$1:$I$89,3,0)*VLOOKUP('Données projet'!$B$10,Paramètres!$A$1:$I$89,5,0)</f>
        <v>-2.1282176021486519E-13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199.36309817800088</v>
      </c>
      <c r="AO180" s="62">
        <f t="shared" si="144"/>
        <v>151.91120569748284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-1.7053025658242404E-13</v>
      </c>
      <c r="BE180" s="14">
        <f>BD180*VLOOKUP('Données projet'!$B$11,Paramètres!$A$1:$I$89,3,0)*VLOOKUP('Données projet'!$B$11,Paramètres!$A$1:$I$89,5,0)</f>
        <v>-1.0197709343628959E-13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140.16059323013189</v>
      </c>
      <c r="BJ180" s="62">
        <f t="shared" si="146"/>
        <v>219.0992563594865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0.58751665542272802</v>
      </c>
      <c r="BQ180" s="23">
        <f>EXP(-LN(2)/25)*BQ179+(1-EXP(-LN(2)/25))/(LN(2)/25)*Calculateur!BL180*Calculateur!BN180*VLOOKUP('Données projet'!$B$11,Paramètres!$A$1:$I$89,3,0)*0.475*44/12</f>
        <v>0.15389014972821627</v>
      </c>
      <c r="BR180" s="23">
        <f>EXP(-LN(2)/2)*BR179+(1-EXP(-LN(2)/2))/(LN(2)/2)*BL180*BO180*VLOOKUP('Données projet'!$B$11,Paramètres!$A$1:$I$89,3,0)*0.475*44/12</f>
        <v>8.0994934082007976E-22</v>
      </c>
      <c r="BS180" s="24">
        <f t="shared" si="169"/>
        <v>0.74140680515094426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2">
        <f t="shared" si="140"/>
        <v>34.114086104456895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70">
        <f t="shared" si="110"/>
        <v>580.05291996526171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6.3550942286383367E-14</v>
      </c>
      <c r="P181" s="14">
        <f t="shared" si="141"/>
        <v>1.0064464192543978E-12</v>
      </c>
      <c r="Q181" s="22">
        <f t="shared" si="162"/>
        <v>1.8635787380168604E-12</v>
      </c>
      <c r="R181" s="62">
        <f t="shared" si="109"/>
        <v>293.33333333333519</v>
      </c>
      <c r="S181" s="62">
        <f ca="1">AVERAGE(OFFSET($R$3,0,0,'Données projet'!$E$9+1,1))-AVERAGE(OFFSET($H$3,0,0,'Données projet'!$E$9+1,1))</f>
        <v>262.38865315945856</v>
      </c>
      <c r="T181" s="62">
        <f t="shared" si="142"/>
        <v>268.78503805457069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1.13103286311324</v>
      </c>
      <c r="AA181" s="23">
        <f>EXP(-LN(2)/25)*AA180+(1-EXP(-LN(2)/25))/(LN(2)/25)*Calculateur!V181*Calculateur!X181*VLOOKUP('Données projet'!$B$9,Paramètres!$A$1:$I$89,3,0)*0.475*44/12</f>
        <v>3.3761300196610451E-2</v>
      </c>
      <c r="AB181" s="23">
        <f>EXP(-LN(2)/2)*AB180+(1-EXP(-LN(2)/2))/(LN(2)/2)*V181*Y181*VLOOKUP('Données projet'!$B$9,Paramètres!$A$1:$I$89,3,0)*0.475*44/12</f>
        <v>2.74351340422546E-22</v>
      </c>
      <c r="AC181" s="24">
        <f t="shared" si="163"/>
        <v>1.1647941633098504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-4.5474735088646412E-13</v>
      </c>
      <c r="AJ181" s="14">
        <f>AI181*VLOOKUP('Données projet'!$B$10,Paramètres!$A$1:$I$89,3,0)*VLOOKUP('Données projet'!$B$10,Paramètres!$A$1:$I$89,5,0)</f>
        <v>-2.1282176021486519E-13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199.36309817800088</v>
      </c>
      <c r="AO181" s="62">
        <f t="shared" si="144"/>
        <v>151.91120569748284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-1.7053025658242404E-13</v>
      </c>
      <c r="BE181" s="14">
        <f>BD181*VLOOKUP('Données projet'!$B$11,Paramètres!$A$1:$I$89,3,0)*VLOOKUP('Données projet'!$B$11,Paramètres!$A$1:$I$89,5,0)</f>
        <v>-1.0197709343628959E-13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140.16059323013189</v>
      </c>
      <c r="BJ181" s="62">
        <f t="shared" si="146"/>
        <v>219.0992563594865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0.575995812159664</v>
      </c>
      <c r="BQ181" s="23">
        <f>EXP(-LN(2)/25)*BQ180+(1-EXP(-LN(2)/25))/(LN(2)/25)*Calculateur!BL181*Calculateur!BN181*VLOOKUP('Données projet'!$B$11,Paramètres!$A$1:$I$89,3,0)*0.475*44/12</f>
        <v>0.14968201549116694</v>
      </c>
      <c r="BR181" s="23">
        <f>EXP(-LN(2)/2)*BR180+(1-EXP(-LN(2)/2))/(LN(2)/2)*BL181*BO181*VLOOKUP('Données projet'!$B$11,Paramètres!$A$1:$I$89,3,0)*0.475*44/12</f>
        <v>5.7272067131145254E-22</v>
      </c>
      <c r="BS181" s="24">
        <f t="shared" si="169"/>
        <v>0.72567782765083089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2">
        <f t="shared" si="140"/>
        <v>34.283374706778957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70">
        <f t="shared" si="110"/>
        <v>581.62475428097252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6.3550942286383367E-14</v>
      </c>
      <c r="P182" s="14">
        <f t="shared" si="141"/>
        <v>1.0064464192543978E-12</v>
      </c>
      <c r="Q182" s="22">
        <f t="shared" si="162"/>
        <v>1.8635787380168604E-12</v>
      </c>
      <c r="R182" s="62">
        <f t="shared" si="109"/>
        <v>293.33333333333519</v>
      </c>
      <c r="S182" s="62">
        <f ca="1">AVERAGE(OFFSET($R$3,0,0,'Données projet'!$E$9+1,1))-AVERAGE(OFFSET($H$3,0,0,'Données projet'!$E$9+1,1))</f>
        <v>262.38865315945856</v>
      </c>
      <c r="T182" s="62">
        <f t="shared" si="142"/>
        <v>268.78503805457069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1.1088539985295176</v>
      </c>
      <c r="AA182" s="23">
        <f>EXP(-LN(2)/25)*AA181+(1-EXP(-LN(2)/25))/(LN(2)/25)*Calculateur!V182*Calculateur!X182*VLOOKUP('Données projet'!$B$9,Paramètres!$A$1:$I$89,3,0)*0.475*44/12</f>
        <v>3.2838095667304522E-2</v>
      </c>
      <c r="AB182" s="23">
        <f>EXP(-LN(2)/2)*AB181+(1-EXP(-LN(2)/2))/(LN(2)/2)*V182*Y182*VLOOKUP('Données projet'!$B$9,Paramètres!$A$1:$I$89,3,0)*0.475*44/12</f>
        <v>1.9399569324040125E-22</v>
      </c>
      <c r="AC182" s="24">
        <f t="shared" si="163"/>
        <v>1.141692094196822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-4.5474735088646412E-13</v>
      </c>
      <c r="AJ182" s="14">
        <f>AI182*VLOOKUP('Données projet'!$B$10,Paramètres!$A$1:$I$89,3,0)*VLOOKUP('Données projet'!$B$10,Paramètres!$A$1:$I$89,5,0)</f>
        <v>-2.1282176021486519E-13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199.36309817800088</v>
      </c>
      <c r="AO182" s="62">
        <f t="shared" si="144"/>
        <v>151.91120569748284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-1.7053025658242404E-13</v>
      </c>
      <c r="BE182" s="14">
        <f>BD182*VLOOKUP('Données projet'!$B$11,Paramètres!$A$1:$I$89,3,0)*VLOOKUP('Données projet'!$B$11,Paramètres!$A$1:$I$89,5,0)</f>
        <v>-1.0197709343628959E-13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140.16059323013189</v>
      </c>
      <c r="BJ182" s="62">
        <f t="shared" si="146"/>
        <v>219.0992563594865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0.56470088560596821</v>
      </c>
      <c r="BQ182" s="23">
        <f>EXP(-LN(2)/25)*BQ181+(1-EXP(-LN(2)/25))/(LN(2)/25)*Calculateur!BL182*Calculateur!BN182*VLOOKUP('Données projet'!$B$11,Paramètres!$A$1:$I$89,3,0)*0.475*44/12</f>
        <v>0.14558895290612589</v>
      </c>
      <c r="BR182" s="23">
        <f>EXP(-LN(2)/2)*BR181+(1-EXP(-LN(2)/2))/(LN(2)/2)*BL182*BO182*VLOOKUP('Données projet'!$B$11,Paramètres!$A$1:$I$89,3,0)*0.475*44/12</f>
        <v>4.0497467041003988E-22</v>
      </c>
      <c r="BS182" s="24">
        <f t="shared" si="169"/>
        <v>0.71028983851209415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2">
        <f t="shared" si="140"/>
        <v>34.452553259401881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70">
        <f t="shared" si="110"/>
        <v>583.19639692679084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6.3550942286383367E-14</v>
      </c>
      <c r="P183" s="14">
        <f t="shared" si="141"/>
        <v>1.0064464192543978E-12</v>
      </c>
      <c r="Q183" s="22">
        <f t="shared" si="162"/>
        <v>1.8635787380168604E-12</v>
      </c>
      <c r="R183" s="62">
        <f t="shared" si="109"/>
        <v>293.33333333333519</v>
      </c>
      <c r="S183" s="62">
        <f ca="1">AVERAGE(OFFSET($R$3,0,0,'Données projet'!$E$9+1,1))-AVERAGE(OFFSET($H$3,0,0,'Données projet'!$E$9+1,1))</f>
        <v>262.38865315945856</v>
      </c>
      <c r="T183" s="62">
        <f t="shared" si="142"/>
        <v>268.78503805457069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1.0871100479525104</v>
      </c>
      <c r="AA183" s="23">
        <f>EXP(-LN(2)/25)*AA182+(1-EXP(-LN(2)/25))/(LN(2)/25)*Calculateur!V183*Calculateur!X183*VLOOKUP('Données projet'!$B$9,Paramètres!$A$1:$I$89,3,0)*0.475*44/12</f>
        <v>3.1940136214401678E-2</v>
      </c>
      <c r="AB183" s="23">
        <f>EXP(-LN(2)/2)*AB182+(1-EXP(-LN(2)/2))/(LN(2)/2)*V183*Y183*VLOOKUP('Données projet'!$B$9,Paramètres!$A$1:$I$89,3,0)*0.475*44/12</f>
        <v>1.37175670211273E-22</v>
      </c>
      <c r="AC183" s="24">
        <f t="shared" si="163"/>
        <v>1.119050184166912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-4.5474735088646412E-13</v>
      </c>
      <c r="AJ183" s="14">
        <f>AI183*VLOOKUP('Données projet'!$B$10,Paramètres!$A$1:$I$89,3,0)*VLOOKUP('Données projet'!$B$10,Paramètres!$A$1:$I$89,5,0)</f>
        <v>-2.1282176021486519E-13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199.36309817800088</v>
      </c>
      <c r="AO183" s="62">
        <f t="shared" si="144"/>
        <v>151.91120569748284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-1.7053025658242404E-13</v>
      </c>
      <c r="BE183" s="14">
        <f>BD183*VLOOKUP('Données projet'!$B$11,Paramètres!$A$1:$I$89,3,0)*VLOOKUP('Données projet'!$B$11,Paramètres!$A$1:$I$89,5,0)</f>
        <v>-1.0197709343628959E-13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140.16059323013189</v>
      </c>
      <c r="BJ183" s="62">
        <f t="shared" si="146"/>
        <v>219.0992563594865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0.55362744567276545</v>
      </c>
      <c r="BQ183" s="23">
        <f>EXP(-LN(2)/25)*BQ182+(1-EXP(-LN(2)/25))/(LN(2)/25)*Calculateur!BL183*Calculateur!BN183*VLOOKUP('Données projet'!$B$11,Paramètres!$A$1:$I$89,3,0)*0.475*44/12</f>
        <v>0.1416078153327176</v>
      </c>
      <c r="BR183" s="23">
        <f>EXP(-LN(2)/2)*BR182+(1-EXP(-LN(2)/2))/(LN(2)/2)*BL183*BO183*VLOOKUP('Données projet'!$B$11,Paramètres!$A$1:$I$89,3,0)*0.475*44/12</f>
        <v>2.8636033565572627E-22</v>
      </c>
      <c r="BS183" s="24">
        <f t="shared" si="169"/>
        <v>0.69523526100548305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2">
        <f t="shared" si="140"/>
        <v>34.621622444664645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70">
        <f t="shared" si="110"/>
        <v>584.76784909112348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6.3550942286383367E-14</v>
      </c>
      <c r="P184" s="14">
        <f t="shared" si="141"/>
        <v>1.0064464192543978E-12</v>
      </c>
      <c r="Q184" s="22">
        <f t="shared" si="162"/>
        <v>1.8635787380168604E-12</v>
      </c>
      <c r="R184" s="62">
        <f t="shared" si="109"/>
        <v>293.33333333333519</v>
      </c>
      <c r="S184" s="62">
        <f ca="1">AVERAGE(OFFSET($R$3,0,0,'Données projet'!$E$9+1,1))-AVERAGE(OFFSET($H$3,0,0,'Données projet'!$E$9+1,1))</f>
        <v>262.38865315945856</v>
      </c>
      <c r="T184" s="62">
        <f t="shared" si="142"/>
        <v>268.78503805457069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1.0657924829838181</v>
      </c>
      <c r="AA184" s="23">
        <f>EXP(-LN(2)/25)*AA183+(1-EXP(-LN(2)/25))/(LN(2)/25)*Calculateur!V184*Calculateur!X184*VLOOKUP('Données projet'!$B$9,Paramètres!$A$1:$I$89,3,0)*0.475*44/12</f>
        <v>3.1066731509960102E-2</v>
      </c>
      <c r="AB184" s="23">
        <f>EXP(-LN(2)/2)*AB183+(1-EXP(-LN(2)/2))/(LN(2)/2)*V184*Y184*VLOOKUP('Données projet'!$B$9,Paramètres!$A$1:$I$89,3,0)*0.475*44/12</f>
        <v>9.6997846620200625E-23</v>
      </c>
      <c r="AC184" s="24">
        <f t="shared" si="163"/>
        <v>1.0968592144937783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-4.5474735088646412E-13</v>
      </c>
      <c r="AJ184" s="14">
        <f>AI184*VLOOKUP('Données projet'!$B$10,Paramètres!$A$1:$I$89,3,0)*VLOOKUP('Données projet'!$B$10,Paramètres!$A$1:$I$89,5,0)</f>
        <v>-2.1282176021486519E-13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199.36309817800088</v>
      </c>
      <c r="AO184" s="62">
        <f t="shared" si="144"/>
        <v>151.91120569748284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-1.7053025658242404E-13</v>
      </c>
      <c r="BE184" s="14">
        <f>BD184*VLOOKUP('Données projet'!$B$11,Paramètres!$A$1:$I$89,3,0)*VLOOKUP('Données projet'!$B$11,Paramètres!$A$1:$I$89,5,0)</f>
        <v>-1.0197709343628959E-13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140.16059323013189</v>
      </c>
      <c r="BJ184" s="62">
        <f t="shared" si="146"/>
        <v>219.0992563594865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0.54277114914252134</v>
      </c>
      <c r="BQ184" s="23">
        <f>EXP(-LN(2)/25)*BQ183+(1-EXP(-LN(2)/25))/(LN(2)/25)*Calculateur!BL184*Calculateur!BN184*VLOOKUP('Données projet'!$B$11,Paramètres!$A$1:$I$89,3,0)*0.475*44/12</f>
        <v>0.13773554217561307</v>
      </c>
      <c r="BR184" s="23">
        <f>EXP(-LN(2)/2)*BR183+(1-EXP(-LN(2)/2))/(LN(2)/2)*BL184*BO184*VLOOKUP('Données projet'!$B$11,Paramètres!$A$1:$I$89,3,0)*0.475*44/12</f>
        <v>2.0248733520501994E-22</v>
      </c>
      <c r="BS184" s="24">
        <f t="shared" si="169"/>
        <v>0.68050669131813435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2">
        <f t="shared" si="140"/>
        <v>34.790582936930399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70">
        <f t="shared" si="110"/>
        <v>586.33911194848645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6.3550942286383367E-14</v>
      </c>
      <c r="P185" s="14">
        <f t="shared" si="141"/>
        <v>1.0064464192543978E-12</v>
      </c>
      <c r="Q185" s="22">
        <f t="shared" si="162"/>
        <v>1.8635787380168604E-12</v>
      </c>
      <c r="R185" s="62">
        <f t="shared" si="109"/>
        <v>293.33333333333519</v>
      </c>
      <c r="S185" s="62">
        <f ca="1">AVERAGE(OFFSET($R$3,0,0,'Données projet'!$E$9+1,1))-AVERAGE(OFFSET($H$3,0,0,'Données projet'!$E$9+1,1))</f>
        <v>262.38865315945856</v>
      </c>
      <c r="T185" s="62">
        <f t="shared" si="142"/>
        <v>268.78503805457069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1.044892942461731</v>
      </c>
      <c r="AA185" s="23">
        <f>EXP(-LN(2)/25)*AA184+(1-EXP(-LN(2)/25))/(LN(2)/25)*Calculateur!V185*Calculateur!X185*VLOOKUP('Données projet'!$B$9,Paramètres!$A$1:$I$89,3,0)*0.475*44/12</f>
        <v>3.0217210103091838E-2</v>
      </c>
      <c r="AB185" s="23">
        <f>EXP(-LN(2)/2)*AB184+(1-EXP(-LN(2)/2))/(LN(2)/2)*V185*Y185*VLOOKUP('Données projet'!$B$9,Paramètres!$A$1:$I$89,3,0)*0.475*44/12</f>
        <v>6.8587835105636501E-23</v>
      </c>
      <c r="AC185" s="24">
        <f t="shared" si="163"/>
        <v>1.0751101525648228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-4.5474735088646412E-13</v>
      </c>
      <c r="AJ185" s="14">
        <f>AI185*VLOOKUP('Données projet'!$B$10,Paramètres!$A$1:$I$89,3,0)*VLOOKUP('Données projet'!$B$10,Paramètres!$A$1:$I$89,5,0)</f>
        <v>-2.1282176021486519E-13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199.36309817800088</v>
      </c>
      <c r="AO185" s="62">
        <f t="shared" si="144"/>
        <v>151.91120569748284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-1.7053025658242404E-13</v>
      </c>
      <c r="BE185" s="14">
        <f>BD185*VLOOKUP('Données projet'!$B$11,Paramètres!$A$1:$I$89,3,0)*VLOOKUP('Données projet'!$B$11,Paramètres!$A$1:$I$89,5,0)</f>
        <v>-1.0197709343628959E-13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140.16059323013189</v>
      </c>
      <c r="BJ185" s="62">
        <f t="shared" si="146"/>
        <v>219.0992563594865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0.53212773796554824</v>
      </c>
      <c r="BQ185" s="23">
        <f>EXP(-LN(2)/25)*BQ184+(1-EXP(-LN(2)/25))/(LN(2)/25)*Calculateur!BL185*Calculateur!BN185*VLOOKUP('Données projet'!$B$11,Paramètres!$A$1:$I$89,3,0)*0.475*44/12</f>
        <v>0.13396915653162356</v>
      </c>
      <c r="BR185" s="23">
        <f>EXP(-LN(2)/2)*BR184+(1-EXP(-LN(2)/2))/(LN(2)/2)*BL185*BO185*VLOOKUP('Données projet'!$B$11,Paramètres!$A$1:$I$89,3,0)*0.475*44/12</f>
        <v>1.4318016782786313E-22</v>
      </c>
      <c r="BS185" s="24">
        <f t="shared" si="169"/>
        <v>0.6660968944971718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2">
        <f t="shared" si="140"/>
        <v>34.959435402722669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70">
        <f t="shared" si="110"/>
        <v>587.91018665974138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6.3550942286383367E-14</v>
      </c>
      <c r="P186" s="14">
        <f t="shared" si="141"/>
        <v>1.0064464192543978E-12</v>
      </c>
      <c r="Q186" s="22">
        <f t="shared" si="162"/>
        <v>1.8635787380168604E-12</v>
      </c>
      <c r="R186" s="62">
        <f t="shared" si="109"/>
        <v>293.33333333333519</v>
      </c>
      <c r="S186" s="62">
        <f ca="1">AVERAGE(OFFSET($R$3,0,0,'Données projet'!$E$9+1,1))-AVERAGE(OFFSET($H$3,0,0,'Données projet'!$E$9+1,1))</f>
        <v>262.38865315945856</v>
      </c>
      <c r="T186" s="62">
        <f t="shared" si="142"/>
        <v>268.78503805457069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1.024403229181821</v>
      </c>
      <c r="AA186" s="23">
        <f>EXP(-LN(2)/25)*AA185+(1-EXP(-LN(2)/25))/(LN(2)/25)*Calculateur!V186*Calculateur!X186*VLOOKUP('Données projet'!$B$9,Paramètres!$A$1:$I$89,3,0)*0.475*44/12</f>
        <v>2.9390918903768774E-2</v>
      </c>
      <c r="AB186" s="23">
        <f>EXP(-LN(2)/2)*AB185+(1-EXP(-LN(2)/2))/(LN(2)/2)*V186*Y186*VLOOKUP('Données projet'!$B$9,Paramètres!$A$1:$I$89,3,0)*0.475*44/12</f>
        <v>4.8498923310100313E-23</v>
      </c>
      <c r="AC186" s="24">
        <f t="shared" si="163"/>
        <v>1.0537941480855899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-4.5474735088646412E-13</v>
      </c>
      <c r="AJ186" s="14">
        <f>AI186*VLOOKUP('Données projet'!$B$10,Paramètres!$A$1:$I$89,3,0)*VLOOKUP('Données projet'!$B$10,Paramètres!$A$1:$I$89,5,0)</f>
        <v>-2.1282176021486519E-13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199.36309817800088</v>
      </c>
      <c r="AO186" s="62">
        <f t="shared" si="144"/>
        <v>151.91120569748284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-1.7053025658242404E-13</v>
      </c>
      <c r="BE186" s="14">
        <f>BD186*VLOOKUP('Données projet'!$B$11,Paramètres!$A$1:$I$89,3,0)*VLOOKUP('Données projet'!$B$11,Paramètres!$A$1:$I$89,5,0)</f>
        <v>-1.0197709343628959E-13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140.16059323013189</v>
      </c>
      <c r="BJ186" s="62">
        <f t="shared" si="146"/>
        <v>219.0992563594865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0.52169303758991581</v>
      </c>
      <c r="BQ186" s="23">
        <f>EXP(-LN(2)/25)*BQ185+(1-EXP(-LN(2)/25))/(LN(2)/25)*Calculateur!BL186*Calculateur!BN186*VLOOKUP('Données projet'!$B$11,Paramètres!$A$1:$I$89,3,0)*0.475*44/12</f>
        <v>0.13030576290113455</v>
      </c>
      <c r="BR186" s="23">
        <f>EXP(-LN(2)/2)*BR185+(1-EXP(-LN(2)/2))/(LN(2)/2)*BL186*BO186*VLOOKUP('Données projet'!$B$11,Paramètres!$A$1:$I$89,3,0)*0.475*44/12</f>
        <v>1.0124366760250997E-22</v>
      </c>
      <c r="BS186" s="24">
        <f t="shared" si="169"/>
        <v>0.65199880049105041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2">
        <f t="shared" si="140"/>
        <v>35.12818050085901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70">
        <f t="shared" si="110"/>
        <v>589.48107437232875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6.3550942286383367E-14</v>
      </c>
      <c r="P187" s="14">
        <f t="shared" si="141"/>
        <v>1.0064464192543978E-12</v>
      </c>
      <c r="Q187" s="22">
        <f t="shared" si="162"/>
        <v>1.8635787380168604E-12</v>
      </c>
      <c r="R187" s="62">
        <f t="shared" si="109"/>
        <v>293.33333333333519</v>
      </c>
      <c r="S187" s="62">
        <f ca="1">AVERAGE(OFFSET($R$3,0,0,'Données projet'!$E$9+1,1))-AVERAGE(OFFSET($H$3,0,0,'Données projet'!$E$9+1,1))</f>
        <v>262.38865315945856</v>
      </c>
      <c r="T187" s="62">
        <f t="shared" si="142"/>
        <v>268.78503805457069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1.0043153066818391</v>
      </c>
      <c r="AA187" s="23">
        <f>EXP(-LN(2)/25)*AA186+(1-EXP(-LN(2)/25))/(LN(2)/25)*Calculateur!V187*Calculateur!X187*VLOOKUP('Données projet'!$B$9,Paramètres!$A$1:$I$89,3,0)*0.475*44/12</f>
        <v>2.8587222680743964E-2</v>
      </c>
      <c r="AB187" s="23">
        <f>EXP(-LN(2)/2)*AB186+(1-EXP(-LN(2)/2))/(LN(2)/2)*V187*Y187*VLOOKUP('Données projet'!$B$9,Paramètres!$A$1:$I$89,3,0)*0.475*44/12</f>
        <v>3.4293917552818251E-23</v>
      </c>
      <c r="AC187" s="24">
        <f t="shared" si="163"/>
        <v>1.0329025293625831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-4.5474735088646412E-13</v>
      </c>
      <c r="AJ187" s="14">
        <f>AI187*VLOOKUP('Données projet'!$B$10,Paramètres!$A$1:$I$89,3,0)*VLOOKUP('Données projet'!$B$10,Paramètres!$A$1:$I$89,5,0)</f>
        <v>-2.1282176021486519E-13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199.36309817800088</v>
      </c>
      <c r="AO187" s="62">
        <f t="shared" si="144"/>
        <v>151.91120569748284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-1.7053025658242404E-13</v>
      </c>
      <c r="BE187" s="14">
        <f>BD187*VLOOKUP('Données projet'!$B$11,Paramètres!$A$1:$I$89,3,0)*VLOOKUP('Données projet'!$B$11,Paramètres!$A$1:$I$89,5,0)</f>
        <v>-1.0197709343628959E-13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140.16059323013189</v>
      </c>
      <c r="BJ187" s="62">
        <f t="shared" si="146"/>
        <v>219.0992563594865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0.51146295532411068</v>
      </c>
      <c r="BQ187" s="23">
        <f>EXP(-LN(2)/25)*BQ186+(1-EXP(-LN(2)/25))/(LN(2)/25)*Calculateur!BL187*Calculateur!BN187*VLOOKUP('Données projet'!$B$11,Paramètres!$A$1:$I$89,3,0)*0.475*44/12</f>
        <v>0.12674254496212076</v>
      </c>
      <c r="BR187" s="23">
        <f>EXP(-LN(2)/2)*BR186+(1-EXP(-LN(2)/2))/(LN(2)/2)*BL187*BO187*VLOOKUP('Données projet'!$B$11,Paramètres!$A$1:$I$89,3,0)*0.475*44/12</f>
        <v>7.1590083913931567E-23</v>
      </c>
      <c r="BS187" s="24">
        <f t="shared" si="169"/>
        <v>0.63820550028623146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2">
        <f t="shared" si="140"/>
        <v>35.296818882581405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70">
        <f t="shared" si="110"/>
        <v>591.0517762204953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6.3550942286383367E-14</v>
      </c>
      <c r="P188" s="14">
        <f t="shared" si="141"/>
        <v>1.0064464192543978E-12</v>
      </c>
      <c r="Q188" s="22">
        <f t="shared" si="162"/>
        <v>1.8635787380168604E-12</v>
      </c>
      <c r="R188" s="62">
        <f t="shared" si="109"/>
        <v>293.33333333333519</v>
      </c>
      <c r="S188" s="62">
        <f ca="1">AVERAGE(OFFSET($R$3,0,0,'Données projet'!$E$9+1,1))-AVERAGE(OFFSET($H$3,0,0,'Données projet'!$E$9+1,1))</f>
        <v>262.38865315945856</v>
      </c>
      <c r="T188" s="62">
        <f t="shared" si="142"/>
        <v>268.78503805457069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0.98462129608965887</v>
      </c>
      <c r="AA188" s="23">
        <f>EXP(-LN(2)/25)*AA187+(1-EXP(-LN(2)/25))/(LN(2)/25)*Calculateur!V188*Calculateur!X188*VLOOKUP('Données projet'!$B$9,Paramètres!$A$1:$I$89,3,0)*0.475*44/12</f>
        <v>2.7805503573202318E-2</v>
      </c>
      <c r="AB188" s="23">
        <f>EXP(-LN(2)/2)*AB187+(1-EXP(-LN(2)/2))/(LN(2)/2)*V188*Y188*VLOOKUP('Données projet'!$B$9,Paramètres!$A$1:$I$89,3,0)*0.475*44/12</f>
        <v>2.4249461655050156E-23</v>
      </c>
      <c r="AC188" s="24">
        <f t="shared" si="163"/>
        <v>1.0124267996628611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-4.5474735088646412E-13</v>
      </c>
      <c r="AJ188" s="14">
        <f>AI188*VLOOKUP('Données projet'!$B$10,Paramètres!$A$1:$I$89,3,0)*VLOOKUP('Données projet'!$B$10,Paramètres!$A$1:$I$89,5,0)</f>
        <v>-2.1282176021486519E-13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199.36309817800088</v>
      </c>
      <c r="AO188" s="62">
        <f t="shared" si="144"/>
        <v>151.91120569748284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-1.7053025658242404E-13</v>
      </c>
      <c r="BE188" s="14">
        <f>BD188*VLOOKUP('Données projet'!$B$11,Paramètres!$A$1:$I$89,3,0)*VLOOKUP('Données projet'!$B$11,Paramètres!$A$1:$I$89,5,0)</f>
        <v>-1.0197709343628959E-13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140.16059323013189</v>
      </c>
      <c r="BJ188" s="62">
        <f t="shared" si="146"/>
        <v>219.0992563594865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0.50143347873180399</v>
      </c>
      <c r="BQ188" s="23">
        <f>EXP(-LN(2)/25)*BQ187+(1-EXP(-LN(2)/25))/(LN(2)/25)*Calculateur!BL188*Calculateur!BN188*VLOOKUP('Données projet'!$B$11,Paramètres!$A$1:$I$89,3,0)*0.475*44/12</f>
        <v>0.1232767634050308</v>
      </c>
      <c r="BR188" s="23">
        <f>EXP(-LN(2)/2)*BR187+(1-EXP(-LN(2)/2))/(LN(2)/2)*BL188*BO188*VLOOKUP('Données projet'!$B$11,Paramètres!$A$1:$I$89,3,0)*0.475*44/12</f>
        <v>5.0621833801254985E-23</v>
      </c>
      <c r="BS188" s="24">
        <f t="shared" si="169"/>
        <v>0.62471024213683479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2">
        <f t="shared" si="140"/>
        <v>35.465351191683915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70">
        <f t="shared" si="110"/>
        <v>592.62229332551556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6.3550942286383367E-14</v>
      </c>
      <c r="P189" s="14">
        <f t="shared" si="141"/>
        <v>1.0064464192543978E-12</v>
      </c>
      <c r="Q189" s="22">
        <f t="shared" si="162"/>
        <v>1.8635787380168604E-12</v>
      </c>
      <c r="R189" s="62">
        <f t="shared" si="109"/>
        <v>293.33333333333519</v>
      </c>
      <c r="S189" s="62">
        <f ca="1">AVERAGE(OFFSET($R$3,0,0,'Données projet'!$E$9+1,1))-AVERAGE(OFFSET($H$3,0,0,'Données projet'!$E$9+1,1))</f>
        <v>262.38865315945856</v>
      </c>
      <c r="T189" s="62">
        <f t="shared" si="142"/>
        <v>268.78503805457069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0.96531347303303094</v>
      </c>
      <c r="AA189" s="23">
        <f>EXP(-LN(2)/25)*AA188+(1-EXP(-LN(2)/25))/(LN(2)/25)*Calculateur!V189*Calculateur!X189*VLOOKUP('Données projet'!$B$9,Paramètres!$A$1:$I$89,3,0)*0.475*44/12</f>
        <v>2.7045160615765219E-2</v>
      </c>
      <c r="AB189" s="23">
        <f>EXP(-LN(2)/2)*AB188+(1-EXP(-LN(2)/2))/(LN(2)/2)*V189*Y189*VLOOKUP('Données projet'!$B$9,Paramètres!$A$1:$I$89,3,0)*0.475*44/12</f>
        <v>1.7146958776409125E-23</v>
      </c>
      <c r="AC189" s="24">
        <f t="shared" si="163"/>
        <v>0.99235863364879617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-4.5474735088646412E-13</v>
      </c>
      <c r="AJ189" s="14">
        <f>AI189*VLOOKUP('Données projet'!$B$10,Paramètres!$A$1:$I$89,3,0)*VLOOKUP('Données projet'!$B$10,Paramètres!$A$1:$I$89,5,0)</f>
        <v>-2.1282176021486519E-13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199.36309817800088</v>
      </c>
      <c r="AO189" s="62">
        <f t="shared" si="144"/>
        <v>151.91120569748284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-1.7053025658242404E-13</v>
      </c>
      <c r="BE189" s="14">
        <f>BD189*VLOOKUP('Données projet'!$B$11,Paramètres!$A$1:$I$89,3,0)*VLOOKUP('Données projet'!$B$11,Paramètres!$A$1:$I$89,5,0)</f>
        <v>-1.0197709343628959E-13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140.16059323013189</v>
      </c>
      <c r="BJ189" s="62">
        <f t="shared" si="146"/>
        <v>219.0992563594865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0.49160067405809571</v>
      </c>
      <c r="BQ189" s="23">
        <f>EXP(-LN(2)/25)*BQ188+(1-EXP(-LN(2)/25))/(LN(2)/25)*Calculateur!BL189*Calculateur!BN189*VLOOKUP('Données projet'!$B$11,Paramètres!$A$1:$I$89,3,0)*0.475*44/12</f>
        <v>0.119905753826877</v>
      </c>
      <c r="BR189" s="23">
        <f>EXP(-LN(2)/2)*BR188+(1-EXP(-LN(2)/2))/(LN(2)/2)*BL189*BO189*VLOOKUP('Données projet'!$B$11,Paramètres!$A$1:$I$89,3,0)*0.475*44/12</f>
        <v>3.5795041956965784E-23</v>
      </c>
      <c r="BS189" s="24">
        <f t="shared" si="169"/>
        <v>0.61150642788497267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2">
        <f t="shared" si="140"/>
        <v>35.633778064637305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70">
        <f t="shared" si="110"/>
        <v>594.1926267959094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6.3550942286383367E-14</v>
      </c>
      <c r="P190" s="14">
        <f t="shared" si="141"/>
        <v>1.0064464192543978E-12</v>
      </c>
      <c r="Q190" s="22">
        <f t="shared" si="162"/>
        <v>1.8635787380168604E-12</v>
      </c>
      <c r="R190" s="62">
        <f t="shared" si="109"/>
        <v>293.33333333333519</v>
      </c>
      <c r="S190" s="62">
        <f ca="1">AVERAGE(OFFSET($R$3,0,0,'Données projet'!$E$9+1,1))-AVERAGE(OFFSET($H$3,0,0,'Données projet'!$E$9+1,1))</f>
        <v>262.38865315945856</v>
      </c>
      <c r="T190" s="62">
        <f t="shared" si="142"/>
        <v>268.78503805457069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0.9463842646099343</v>
      </c>
      <c r="AA190" s="23">
        <f>EXP(-LN(2)/25)*AA189+(1-EXP(-LN(2)/25))/(LN(2)/25)*Calculateur!V190*Calculateur!X190*VLOOKUP('Données projet'!$B$9,Paramètres!$A$1:$I$89,3,0)*0.475*44/12</f>
        <v>2.6305609276483934E-2</v>
      </c>
      <c r="AB190" s="23">
        <f>EXP(-LN(2)/2)*AB189+(1-EXP(-LN(2)/2))/(LN(2)/2)*V190*Y190*VLOOKUP('Données projet'!$B$9,Paramètres!$A$1:$I$89,3,0)*0.475*44/12</f>
        <v>1.2124730827525078E-23</v>
      </c>
      <c r="AC190" s="24">
        <f t="shared" si="163"/>
        <v>0.97268987388641825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-4.5474735088646412E-13</v>
      </c>
      <c r="AJ190" s="14">
        <f>AI190*VLOOKUP('Données projet'!$B$10,Paramètres!$A$1:$I$89,3,0)*VLOOKUP('Données projet'!$B$10,Paramètres!$A$1:$I$89,5,0)</f>
        <v>-2.1282176021486519E-13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199.36309817800088</v>
      </c>
      <c r="AO190" s="62">
        <f t="shared" si="144"/>
        <v>151.91120569748284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-1.7053025658242404E-13</v>
      </c>
      <c r="BE190" s="14">
        <f>BD190*VLOOKUP('Données projet'!$B$11,Paramètres!$A$1:$I$89,3,0)*VLOOKUP('Données projet'!$B$11,Paramètres!$A$1:$I$89,5,0)</f>
        <v>-1.0197709343628959E-13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140.16059323013189</v>
      </c>
      <c r="BJ190" s="62">
        <f t="shared" si="146"/>
        <v>219.0992563594865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0.48196068468662023</v>
      </c>
      <c r="BQ190" s="23">
        <f>EXP(-LN(2)/25)*BQ189+(1-EXP(-LN(2)/25))/(LN(2)/25)*Calculateur!BL190*Calculateur!BN190*VLOOKUP('Données projet'!$B$11,Paramètres!$A$1:$I$89,3,0)*0.475*44/12</f>
        <v>0.1166269246829115</v>
      </c>
      <c r="BR190" s="23">
        <f>EXP(-LN(2)/2)*BR189+(1-EXP(-LN(2)/2))/(LN(2)/2)*BL190*BO190*VLOOKUP('Données projet'!$B$11,Paramètres!$A$1:$I$89,3,0)*0.475*44/12</f>
        <v>2.5310916900627493E-23</v>
      </c>
      <c r="BS190" s="24">
        <f t="shared" si="169"/>
        <v>0.5985876093695317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2">
        <f t="shared" si="140"/>
        <v>35.802100130711267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70">
        <f t="shared" si="110"/>
        <v>595.76277772765491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6.3550942286383367E-14</v>
      </c>
      <c r="P191" s="14">
        <f t="shared" si="141"/>
        <v>1.0064464192543978E-12</v>
      </c>
      <c r="Q191" s="22">
        <f t="shared" si="162"/>
        <v>1.8635787380168604E-12</v>
      </c>
      <c r="R191" s="62">
        <f t="shared" si="109"/>
        <v>293.33333333333519</v>
      </c>
      <c r="S191" s="62">
        <f ca="1">AVERAGE(OFFSET($R$3,0,0,'Données projet'!$E$9+1,1))-AVERAGE(OFFSET($H$3,0,0,'Données projet'!$E$9+1,1))</f>
        <v>262.38865315945856</v>
      </c>
      <c r="T191" s="62">
        <f t="shared" si="142"/>
        <v>268.78503805457069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0.92782624641833744</v>
      </c>
      <c r="AA191" s="23">
        <f>EXP(-LN(2)/25)*AA190+(1-EXP(-LN(2)/25))/(LN(2)/25)*Calculateur!V191*Calculateur!X191*VLOOKUP('Données projet'!$B$9,Paramètres!$A$1:$I$89,3,0)*0.475*44/12</f>
        <v>2.558628100746661E-2</v>
      </c>
      <c r="AB191" s="23">
        <f>EXP(-LN(2)/2)*AB190+(1-EXP(-LN(2)/2))/(LN(2)/2)*V191*Y191*VLOOKUP('Données projet'!$B$9,Paramètres!$A$1:$I$89,3,0)*0.475*44/12</f>
        <v>8.5734793882045626E-24</v>
      </c>
      <c r="AC191" s="24">
        <f t="shared" si="163"/>
        <v>0.95341252742580407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-4.5474735088646412E-13</v>
      </c>
      <c r="AJ191" s="14">
        <f>AI191*VLOOKUP('Données projet'!$B$10,Paramètres!$A$1:$I$89,3,0)*VLOOKUP('Données projet'!$B$10,Paramètres!$A$1:$I$89,5,0)</f>
        <v>-2.1282176021486519E-13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199.36309817800088</v>
      </c>
      <c r="AO191" s="62">
        <f t="shared" si="144"/>
        <v>151.91120569748284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-1.7053025658242404E-13</v>
      </c>
      <c r="BE191" s="14">
        <f>BD191*VLOOKUP('Données projet'!$B$11,Paramètres!$A$1:$I$89,3,0)*VLOOKUP('Données projet'!$B$11,Paramètres!$A$1:$I$89,5,0)</f>
        <v>-1.0197709343628959E-13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140.16059323013189</v>
      </c>
      <c r="BJ191" s="62">
        <f t="shared" si="146"/>
        <v>219.0992563594865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0.47250972962690646</v>
      </c>
      <c r="BQ191" s="23">
        <f>EXP(-LN(2)/25)*BQ190+(1-EXP(-LN(2)/25))/(LN(2)/25)*Calculateur!BL191*Calculateur!BN191*VLOOKUP('Données projet'!$B$11,Paramètres!$A$1:$I$89,3,0)*0.475*44/12</f>
        <v>0.11343775529431387</v>
      </c>
      <c r="BR191" s="23">
        <f>EXP(-LN(2)/2)*BR190+(1-EXP(-LN(2)/2))/(LN(2)/2)*BL191*BO191*VLOOKUP('Données projet'!$B$11,Paramètres!$A$1:$I$89,3,0)*0.475*44/12</f>
        <v>1.7897520978482892E-23</v>
      </c>
      <c r="BS191" s="24">
        <f t="shared" si="169"/>
        <v>0.58594748492122029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2">
        <f t="shared" si="140"/>
        <v>35.970318012093358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70">
        <f t="shared" si="110"/>
        <v>597.33274720439533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6.3550942286383367E-14</v>
      </c>
      <c r="P192" s="14">
        <f t="shared" si="141"/>
        <v>1.0064464192543978E-12</v>
      </c>
      <c r="Q192" s="22">
        <f t="shared" si="162"/>
        <v>1.8635787380168604E-12</v>
      </c>
      <c r="R192" s="62">
        <f t="shared" si="109"/>
        <v>293.33333333333519</v>
      </c>
      <c r="S192" s="62">
        <f ca="1">AVERAGE(OFFSET($R$3,0,0,'Données projet'!$E$9+1,1))-AVERAGE(OFFSET($H$3,0,0,'Données projet'!$E$9+1,1))</f>
        <v>262.38865315945856</v>
      </c>
      <c r="T192" s="62">
        <f t="shared" si="142"/>
        <v>268.78503805457069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0.90963213964420442</v>
      </c>
      <c r="AA192" s="23">
        <f>EXP(-LN(2)/25)*AA191+(1-EXP(-LN(2)/25))/(LN(2)/25)*Calculateur!V192*Calculateur!X192*VLOOKUP('Données projet'!$B$9,Paramètres!$A$1:$I$89,3,0)*0.475*44/12</f>
        <v>2.4886622807793395E-2</v>
      </c>
      <c r="AB192" s="23">
        <f>EXP(-LN(2)/2)*AB191+(1-EXP(-LN(2)/2))/(LN(2)/2)*V192*Y192*VLOOKUP('Données projet'!$B$9,Paramètres!$A$1:$I$89,3,0)*0.475*44/12</f>
        <v>6.0623654137625391E-24</v>
      </c>
      <c r="AC192" s="24">
        <f t="shared" si="163"/>
        <v>0.93451876245199783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-4.5474735088646412E-13</v>
      </c>
      <c r="AJ192" s="14">
        <f>AI192*VLOOKUP('Données projet'!$B$10,Paramètres!$A$1:$I$89,3,0)*VLOOKUP('Données projet'!$B$10,Paramètres!$A$1:$I$89,5,0)</f>
        <v>-2.1282176021486519E-13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199.36309817800088</v>
      </c>
      <c r="AO192" s="62">
        <f t="shared" si="144"/>
        <v>151.91120569748284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-1.7053025658242404E-13</v>
      </c>
      <c r="BE192" s="14">
        <f>BD192*VLOOKUP('Données projet'!$B$11,Paramètres!$A$1:$I$89,3,0)*VLOOKUP('Données projet'!$B$11,Paramètres!$A$1:$I$89,5,0)</f>
        <v>-1.0197709343628959E-13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140.16059323013189</v>
      </c>
      <c r="BJ192" s="62">
        <f t="shared" si="146"/>
        <v>219.0992563594865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0.46324410203140026</v>
      </c>
      <c r="BQ192" s="23">
        <f>EXP(-LN(2)/25)*BQ191+(1-EXP(-LN(2)/25))/(LN(2)/25)*Calculateur!BL192*Calculateur!BN192*VLOOKUP('Données projet'!$B$11,Paramètres!$A$1:$I$89,3,0)*0.475*44/12</f>
        <v>0.11033579391035857</v>
      </c>
      <c r="BR192" s="23">
        <f>EXP(-LN(2)/2)*BR191+(1-EXP(-LN(2)/2))/(LN(2)/2)*BL192*BO192*VLOOKUP('Données projet'!$B$11,Paramètres!$A$1:$I$89,3,0)*0.475*44/12</f>
        <v>1.2655458450313746E-23</v>
      </c>
      <c r="BS192" s="24">
        <f t="shared" si="169"/>
        <v>0.57357989594175884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2">
        <f t="shared" si="140"/>
        <v>36.138432324006331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70">
        <f t="shared" si="110"/>
        <v>598.90253629764379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6.3550942286383367E-14</v>
      </c>
      <c r="P193" s="14">
        <f t="shared" si="141"/>
        <v>1.0064464192543978E-12</v>
      </c>
      <c r="Q193" s="22">
        <f t="shared" si="162"/>
        <v>1.8635787380168604E-12</v>
      </c>
      <c r="R193" s="62">
        <f t="shared" si="109"/>
        <v>293.33333333333519</v>
      </c>
      <c r="S193" s="62">
        <f ca="1">AVERAGE(OFFSET($R$3,0,0,'Données projet'!$E$9+1,1))-AVERAGE(OFFSET($H$3,0,0,'Données projet'!$E$9+1,1))</f>
        <v>262.38865315945856</v>
      </c>
      <c r="T193" s="62">
        <f t="shared" si="142"/>
        <v>268.78503805457069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0.89179480820660273</v>
      </c>
      <c r="AA193" s="23">
        <f>EXP(-LN(2)/25)*AA192+(1-EXP(-LN(2)/25))/(LN(2)/25)*Calculateur!V193*Calculateur!X193*VLOOKUP('Données projet'!$B$9,Paramètres!$A$1:$I$89,3,0)*0.475*44/12</f>
        <v>2.4206096798383672E-2</v>
      </c>
      <c r="AB193" s="23">
        <f>EXP(-LN(2)/2)*AB192+(1-EXP(-LN(2)/2))/(LN(2)/2)*V193*Y193*VLOOKUP('Données projet'!$B$9,Paramètres!$A$1:$I$89,3,0)*0.475*44/12</f>
        <v>4.2867396941022813E-24</v>
      </c>
      <c r="AC193" s="24">
        <f t="shared" si="163"/>
        <v>0.91600090500498643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-4.5474735088646412E-13</v>
      </c>
      <c r="AJ193" s="14">
        <f>AI193*VLOOKUP('Données projet'!$B$10,Paramètres!$A$1:$I$89,3,0)*VLOOKUP('Données projet'!$B$10,Paramètres!$A$1:$I$89,5,0)</f>
        <v>-2.1282176021486519E-13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199.36309817800088</v>
      </c>
      <c r="AO193" s="62">
        <f t="shared" si="144"/>
        <v>151.91120569748284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-1.7053025658242404E-13</v>
      </c>
      <c r="BE193" s="14">
        <f>BD193*VLOOKUP('Données projet'!$B$11,Paramètres!$A$1:$I$89,3,0)*VLOOKUP('Données projet'!$B$11,Paramètres!$A$1:$I$89,5,0)</f>
        <v>-1.0197709343628959E-13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140.16059323013189</v>
      </c>
      <c r="BJ193" s="62">
        <f t="shared" si="146"/>
        <v>219.0992563594865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0.45416016774156714</v>
      </c>
      <c r="BQ193" s="23">
        <f>EXP(-LN(2)/25)*BQ192+(1-EXP(-LN(2)/25))/(LN(2)/25)*Calculateur!BL193*Calculateur!BN193*VLOOKUP('Données projet'!$B$11,Paramètres!$A$1:$I$89,3,0)*0.475*44/12</f>
        <v>0.10731865582357258</v>
      </c>
      <c r="BR193" s="23">
        <f>EXP(-LN(2)/2)*BR192+(1-EXP(-LN(2)/2))/(LN(2)/2)*BL193*BO193*VLOOKUP('Données projet'!$B$11,Paramètres!$A$1:$I$89,3,0)*0.475*44/12</f>
        <v>8.9487604892414459E-24</v>
      </c>
      <c r="BS193" s="24">
        <f t="shared" si="169"/>
        <v>0.56147882356513978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2">
        <f t="shared" si="140"/>
        <v>36.306443674821708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70">
        <f t="shared" si="110"/>
        <v>600.4721460669806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6.3550942286383367E-14</v>
      </c>
      <c r="P194" s="14">
        <f t="shared" si="141"/>
        <v>1.0064464192543978E-12</v>
      </c>
      <c r="Q194" s="22">
        <f t="shared" si="162"/>
        <v>1.8635787380168604E-12</v>
      </c>
      <c r="R194" s="62">
        <f t="shared" si="109"/>
        <v>293.33333333333519</v>
      </c>
      <c r="S194" s="62">
        <f ca="1">AVERAGE(OFFSET($R$3,0,0,'Données projet'!$E$9+1,1))-AVERAGE(OFFSET($H$3,0,0,'Données projet'!$E$9+1,1))</f>
        <v>262.38865315945856</v>
      </c>
      <c r="T194" s="62">
        <f t="shared" si="142"/>
        <v>268.78503805457069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0.87430725595879455</v>
      </c>
      <c r="AA194" s="23">
        <f>EXP(-LN(2)/25)*AA193+(1-EXP(-LN(2)/25))/(LN(2)/25)*Calculateur!V194*Calculateur!X194*VLOOKUP('Données projet'!$B$9,Paramètres!$A$1:$I$89,3,0)*0.475*44/12</f>
        <v>2.3544179808488563E-2</v>
      </c>
      <c r="AB194" s="23">
        <f>EXP(-LN(2)/2)*AB193+(1-EXP(-LN(2)/2))/(LN(2)/2)*V194*Y194*VLOOKUP('Données projet'!$B$9,Paramètres!$A$1:$I$89,3,0)*0.475*44/12</f>
        <v>3.0311827068812695E-24</v>
      </c>
      <c r="AC194" s="24">
        <f t="shared" si="163"/>
        <v>0.8978514357672831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-4.5474735088646412E-13</v>
      </c>
      <c r="AJ194" s="14">
        <f>AI194*VLOOKUP('Données projet'!$B$10,Paramètres!$A$1:$I$89,3,0)*VLOOKUP('Données projet'!$B$10,Paramètres!$A$1:$I$89,5,0)</f>
        <v>-2.1282176021486519E-13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199.36309817800088</v>
      </c>
      <c r="AO194" s="62">
        <f t="shared" si="144"/>
        <v>151.91120569748284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-1.7053025658242404E-13</v>
      </c>
      <c r="BE194" s="14">
        <f>BD194*VLOOKUP('Données projet'!$B$11,Paramètres!$A$1:$I$89,3,0)*VLOOKUP('Données projet'!$B$11,Paramètres!$A$1:$I$89,5,0)</f>
        <v>-1.0197709343628959E-13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140.16059323013189</v>
      </c>
      <c r="BJ194" s="62">
        <f t="shared" si="146"/>
        <v>219.0992563594865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0.44525436386250483</v>
      </c>
      <c r="BQ194" s="23">
        <f>EXP(-LN(2)/25)*BQ193+(1-EXP(-LN(2)/25))/(LN(2)/25)*Calculateur!BL194*Calculateur!BN194*VLOOKUP('Données projet'!$B$11,Paramètres!$A$1:$I$89,3,0)*0.475*44/12</f>
        <v>0.10438402153643417</v>
      </c>
      <c r="BR194" s="23">
        <f>EXP(-LN(2)/2)*BR193+(1-EXP(-LN(2)/2))/(LN(2)/2)*BL194*BO194*VLOOKUP('Données projet'!$B$11,Paramètres!$A$1:$I$89,3,0)*0.475*44/12</f>
        <v>6.3277292251568732E-24</v>
      </c>
      <c r="BS194" s="24">
        <f t="shared" si="169"/>
        <v>0.54963838539893906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2">
        <f t="shared" si="140"/>
        <v>36.474352666172038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70">
        <f t="shared" si="110"/>
        <v>602.04157756024915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6.3550942286383367E-14</v>
      </c>
      <c r="P195" s="14">
        <f t="shared" si="141"/>
        <v>1.0064464192543978E-12</v>
      </c>
      <c r="Q195" s="22">
        <f t="shared" si="162"/>
        <v>1.8635787380168604E-12</v>
      </c>
      <c r="R195" s="62">
        <f t="shared" ref="R195:R203" si="191">Q195+(I195+J195)*44/12</f>
        <v>293.33333333333519</v>
      </c>
      <c r="S195" s="62">
        <f ca="1">AVERAGE(OFFSET($R$3,0,0,'Données projet'!$E$9+1,1))-AVERAGE(OFFSET($H$3,0,0,'Données projet'!$E$9+1,1))</f>
        <v>262.38865315945856</v>
      </c>
      <c r="T195" s="62">
        <f t="shared" si="142"/>
        <v>268.78503805457069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0.85716262394421217</v>
      </c>
      <c r="AA195" s="23">
        <f>EXP(-LN(2)/25)*AA194+(1-EXP(-LN(2)/25))/(LN(2)/25)*Calculateur!V195*Calculateur!X195*VLOOKUP('Données projet'!$B$9,Paramètres!$A$1:$I$89,3,0)*0.475*44/12</f>
        <v>2.2900362973490837E-2</v>
      </c>
      <c r="AB195" s="23">
        <f>EXP(-LN(2)/2)*AB194+(1-EXP(-LN(2)/2))/(LN(2)/2)*V195*Y195*VLOOKUP('Données projet'!$B$9,Paramètres!$A$1:$I$89,3,0)*0.475*44/12</f>
        <v>2.1433698470511407E-24</v>
      </c>
      <c r="AC195" s="24">
        <f t="shared" si="163"/>
        <v>0.88006298691770302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-4.5474735088646412E-13</v>
      </c>
      <c r="AJ195" s="14">
        <f>AI195*VLOOKUP('Données projet'!$B$10,Paramètres!$A$1:$I$89,3,0)*VLOOKUP('Données projet'!$B$10,Paramètres!$A$1:$I$89,5,0)</f>
        <v>-2.1282176021486519E-13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199.36309817800088</v>
      </c>
      <c r="AO195" s="62">
        <f t="shared" si="144"/>
        <v>151.91120569748284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-1.7053025658242404E-13</v>
      </c>
      <c r="BE195" s="14">
        <f>BD195*VLOOKUP('Données projet'!$B$11,Paramètres!$A$1:$I$89,3,0)*VLOOKUP('Données projet'!$B$11,Paramètres!$A$1:$I$89,5,0)</f>
        <v>-1.0197709343628959E-13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140.16059323013189</v>
      </c>
      <c r="BJ195" s="62">
        <f t="shared" si="146"/>
        <v>219.0992563594865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0.43652319736550693</v>
      </c>
      <c r="BQ195" s="23">
        <f>EXP(-LN(2)/25)*BQ194+(1-EXP(-LN(2)/25))/(LN(2)/25)*Calculateur!BL195*Calculateur!BN195*VLOOKUP('Données projet'!$B$11,Paramètres!$A$1:$I$89,3,0)*0.475*44/12</f>
        <v>0.10152963497820326</v>
      </c>
      <c r="BR195" s="23">
        <f>EXP(-LN(2)/2)*BR194+(1-EXP(-LN(2)/2))/(LN(2)/2)*BL195*BO195*VLOOKUP('Données projet'!$B$11,Paramètres!$A$1:$I$89,3,0)*0.475*44/12</f>
        <v>4.474380244620723E-24</v>
      </c>
      <c r="BS195" s="24">
        <f t="shared" si="169"/>
        <v>0.53805283234371015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2">
        <f t="shared" si="140"/>
        <v>36.642159893059954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70">
        <f t="shared" ref="H196:H203" si="192">(B196+E196+F196)*44/12+(C196+D196)*0.475*44/12</f>
        <v>603.61083181374556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6.3550942286383367E-14</v>
      </c>
      <c r="P196" s="14">
        <f t="shared" si="141"/>
        <v>1.0064464192543978E-12</v>
      </c>
      <c r="Q196" s="22">
        <f t="shared" si="162"/>
        <v>1.8635787380168604E-12</v>
      </c>
      <c r="R196" s="62">
        <f t="shared" si="191"/>
        <v>293.33333333333519</v>
      </c>
      <c r="S196" s="62">
        <f ca="1">AVERAGE(OFFSET($R$3,0,0,'Données projet'!$E$9+1,1))-AVERAGE(OFFSET($H$3,0,0,'Données projet'!$E$9+1,1))</f>
        <v>262.38865315945856</v>
      </c>
      <c r="T196" s="62">
        <f t="shared" si="142"/>
        <v>268.78503805457069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0.84035418770624282</v>
      </c>
      <c r="AA196" s="23">
        <f>EXP(-LN(2)/25)*AA195+(1-EXP(-LN(2)/25))/(LN(2)/25)*Calculateur!V196*Calculateur!X196*VLOOKUP('Données projet'!$B$9,Paramètres!$A$1:$I$89,3,0)*0.475*44/12</f>
        <v>2.2274151343702982E-2</v>
      </c>
      <c r="AB196" s="23">
        <f>EXP(-LN(2)/2)*AB195+(1-EXP(-LN(2)/2))/(LN(2)/2)*V196*Y196*VLOOKUP('Données projet'!$B$9,Paramètres!$A$1:$I$89,3,0)*0.475*44/12</f>
        <v>1.5155913534406348E-24</v>
      </c>
      <c r="AC196" s="24">
        <f t="shared" si="163"/>
        <v>0.86262833904994585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-4.5474735088646412E-13</v>
      </c>
      <c r="AJ196" s="14">
        <f>AI196*VLOOKUP('Données projet'!$B$10,Paramètres!$A$1:$I$89,3,0)*VLOOKUP('Données projet'!$B$10,Paramètres!$A$1:$I$89,5,0)</f>
        <v>-2.1282176021486519E-13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199.36309817800088</v>
      </c>
      <c r="AO196" s="62">
        <f t="shared" si="144"/>
        <v>151.91120569748284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-1.7053025658242404E-13</v>
      </c>
      <c r="BE196" s="14">
        <f>BD196*VLOOKUP('Données projet'!$B$11,Paramètres!$A$1:$I$89,3,0)*VLOOKUP('Données projet'!$B$11,Paramètres!$A$1:$I$89,5,0)</f>
        <v>-1.0197709343628959E-13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140.16059323013189</v>
      </c>
      <c r="BJ196" s="62">
        <f t="shared" si="146"/>
        <v>219.0992563594865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0.42796324371802946</v>
      </c>
      <c r="BQ196" s="23">
        <f>EXP(-LN(2)/25)*BQ195+(1-EXP(-LN(2)/25))/(LN(2)/25)*Calculateur!BL196*Calculateur!BN196*VLOOKUP('Données projet'!$B$11,Paramètres!$A$1:$I$89,3,0)*0.475*44/12</f>
        <v>9.8753301770512836E-2</v>
      </c>
      <c r="BR196" s="23">
        <f>EXP(-LN(2)/2)*BR195+(1-EXP(-LN(2)/2))/(LN(2)/2)*BL196*BO196*VLOOKUP('Données projet'!$B$11,Paramètres!$A$1:$I$89,3,0)*0.475*44/12</f>
        <v>3.1638646125784366E-24</v>
      </c>
      <c r="BS196" s="24">
        <f t="shared" si="169"/>
        <v>0.5267165454885423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2">
        <f t="shared" ref="D197:D203" si="202">IFERROR(EXP(-1.0587+0.8836*LN(C197)+0.284),0)</f>
        <v>36.80986594396532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70">
        <f t="shared" si="192"/>
        <v>605.17990985240579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6.3550942286383367E-14</v>
      </c>
      <c r="P197" s="14">
        <f t="shared" ref="P197:P203" si="203">EXP(-1.0587+0.8836*LN(O197)+0.284)</f>
        <v>1.0064464192543978E-12</v>
      </c>
      <c r="Q197" s="22">
        <f t="shared" si="162"/>
        <v>1.8635787380168604E-12</v>
      </c>
      <c r="R197" s="62">
        <f t="shared" si="191"/>
        <v>293.33333333333519</v>
      </c>
      <c r="S197" s="62">
        <f ca="1">AVERAGE(OFFSET($R$3,0,0,'Données projet'!$E$9+1,1))-AVERAGE(OFFSET($H$3,0,0,'Données projet'!$E$9+1,1))</f>
        <v>262.38865315945856</v>
      </c>
      <c r="T197" s="62">
        <f t="shared" ref="T197:T203" si="204">$T$3</f>
        <v>268.78503805457069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0.82387535465076622</v>
      </c>
      <c r="AA197" s="23">
        <f>EXP(-LN(2)/25)*AA196+(1-EXP(-LN(2)/25))/(LN(2)/25)*Calculateur!V197*Calculateur!X197*VLOOKUP('Données projet'!$B$9,Paramètres!$A$1:$I$89,3,0)*0.475*44/12</f>
        <v>2.1665063503862714E-2</v>
      </c>
      <c r="AB197" s="23">
        <f>EXP(-LN(2)/2)*AB196+(1-EXP(-LN(2)/2))/(LN(2)/2)*V197*Y197*VLOOKUP('Données projet'!$B$9,Paramètres!$A$1:$I$89,3,0)*0.475*44/12</f>
        <v>1.0716849235255703E-24</v>
      </c>
      <c r="AC197" s="24">
        <f t="shared" si="163"/>
        <v>0.84554041815462888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-4.5474735088646412E-13</v>
      </c>
      <c r="AJ197" s="14">
        <f>AI197*VLOOKUP('Données projet'!$B$10,Paramètres!$A$1:$I$89,3,0)*VLOOKUP('Données projet'!$B$10,Paramètres!$A$1:$I$89,5,0)</f>
        <v>-2.1282176021486519E-13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199.36309817800088</v>
      </c>
      <c r="AO197" s="62">
        <f t="shared" ref="AO197:AO203" si="205">$AO$3</f>
        <v>151.91120569748284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-1.7053025658242404E-13</v>
      </c>
      <c r="BE197" s="14">
        <f>BD197*VLOOKUP('Données projet'!$B$11,Paramètres!$A$1:$I$89,3,0)*VLOOKUP('Données projet'!$B$11,Paramètres!$A$1:$I$89,5,0)</f>
        <v>-1.0197709343628959E-13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140.16059323013189</v>
      </c>
      <c r="BJ197" s="62">
        <f t="shared" ref="BJ197:BJ203" si="206">$BJ$3</f>
        <v>219.0992563594865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0.41957114554052283</v>
      </c>
      <c r="BQ197" s="23">
        <f>EXP(-LN(2)/25)*BQ196+(1-EXP(-LN(2)/25))/(LN(2)/25)*Calculateur!BL197*Calculateur!BN197*VLOOKUP('Données projet'!$B$11,Paramètres!$A$1:$I$89,3,0)*0.475*44/12</f>
        <v>9.6052887540387724E-2</v>
      </c>
      <c r="BR197" s="23">
        <f>EXP(-LN(2)/2)*BR196+(1-EXP(-LN(2)/2))/(LN(2)/2)*BL197*BO197*VLOOKUP('Données projet'!$B$11,Paramètres!$A$1:$I$89,3,0)*0.475*44/12</f>
        <v>2.2371901223103615E-24</v>
      </c>
      <c r="BS197" s="24">
        <f t="shared" si="169"/>
        <v>0.51562403308091054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2">
        <f t="shared" si="202"/>
        <v>36.977471400949966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70">
        <f t="shared" si="192"/>
        <v>606.7488126899874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6.3550942286383367E-14</v>
      </c>
      <c r="P198" s="14">
        <f t="shared" si="203"/>
        <v>1.0064464192543978E-12</v>
      </c>
      <c r="Q198" s="22">
        <f t="shared" si="162"/>
        <v>1.8635787380168604E-12</v>
      </c>
      <c r="R198" s="62">
        <f t="shared" si="191"/>
        <v>293.33333333333519</v>
      </c>
      <c r="S198" s="62">
        <f ca="1">AVERAGE(OFFSET($R$3,0,0,'Données projet'!$E$9+1,1))-AVERAGE(OFFSET($H$3,0,0,'Données projet'!$E$9+1,1))</f>
        <v>262.38865315945856</v>
      </c>
      <c r="T198" s="62">
        <f t="shared" si="204"/>
        <v>268.78503805457069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0.80771966146041185</v>
      </c>
      <c r="AA198" s="23">
        <f>EXP(-LN(2)/25)*AA197+(1-EXP(-LN(2)/25))/(LN(2)/25)*Calculateur!V198*Calculateur!X198*VLOOKUP('Données projet'!$B$9,Paramètres!$A$1:$I$89,3,0)*0.475*44/12</f>
        <v>2.1072631203033414E-2</v>
      </c>
      <c r="AB198" s="23">
        <f>EXP(-LN(2)/2)*AB197+(1-EXP(-LN(2)/2))/(LN(2)/2)*V198*Y198*VLOOKUP('Données projet'!$B$9,Paramètres!$A$1:$I$89,3,0)*0.475*44/12</f>
        <v>7.5779567672031739E-25</v>
      </c>
      <c r="AC198" s="24">
        <f t="shared" si="163"/>
        <v>0.82879229266344523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-4.5474735088646412E-13</v>
      </c>
      <c r="AJ198" s="14">
        <f>AI198*VLOOKUP('Données projet'!$B$10,Paramètres!$A$1:$I$89,3,0)*VLOOKUP('Données projet'!$B$10,Paramètres!$A$1:$I$89,5,0)</f>
        <v>-2.1282176021486519E-13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199.36309817800088</v>
      </c>
      <c r="AO198" s="62">
        <f t="shared" si="205"/>
        <v>151.91120569748284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-1.7053025658242404E-13</v>
      </c>
      <c r="BE198" s="14">
        <f>BD198*VLOOKUP('Données projet'!$B$11,Paramètres!$A$1:$I$89,3,0)*VLOOKUP('Données projet'!$B$11,Paramètres!$A$1:$I$89,5,0)</f>
        <v>-1.0197709343628959E-13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140.16059323013189</v>
      </c>
      <c r="BJ198" s="62">
        <f t="shared" si="206"/>
        <v>219.0992563594865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0.41134361128960262</v>
      </c>
      <c r="BQ198" s="23">
        <f>EXP(-LN(2)/25)*BQ197+(1-EXP(-LN(2)/25))/(LN(2)/25)*Calculateur!BL198*Calculateur!BN198*VLOOKUP('Données projet'!$B$11,Paramètres!$A$1:$I$89,3,0)*0.475*44/12</f>
        <v>9.3426316279394003E-2</v>
      </c>
      <c r="BR198" s="23">
        <f>EXP(-LN(2)/2)*BR197+(1-EXP(-LN(2)/2))/(LN(2)/2)*BL198*BO198*VLOOKUP('Données projet'!$B$11,Paramètres!$A$1:$I$89,3,0)*0.475*44/12</f>
        <v>1.5819323062892183E-24</v>
      </c>
      <c r="BS198" s="24">
        <f t="shared" si="169"/>
        <v>0.50476992756899663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2">
        <f t="shared" si="202"/>
        <v>37.144976839760147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70">
        <f t="shared" si="192"/>
        <v>608.31754132924857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6.3550942286383367E-14</v>
      </c>
      <c r="P199" s="14">
        <f t="shared" si="203"/>
        <v>1.0064464192543978E-12</v>
      </c>
      <c r="Q199" s="22">
        <f t="shared" si="162"/>
        <v>1.8635787380168604E-12</v>
      </c>
      <c r="R199" s="62">
        <f t="shared" si="191"/>
        <v>293.33333333333519</v>
      </c>
      <c r="S199" s="62">
        <f ca="1">AVERAGE(OFFSET($R$3,0,0,'Données projet'!$E$9+1,1))-AVERAGE(OFFSET($H$3,0,0,'Données projet'!$E$9+1,1))</f>
        <v>262.38865315945856</v>
      </c>
      <c r="T199" s="62">
        <f t="shared" si="204"/>
        <v>268.78503805457069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0.79188077155952052</v>
      </c>
      <c r="AA199" s="23">
        <f>EXP(-LN(2)/25)*AA198+(1-EXP(-LN(2)/25))/(LN(2)/25)*Calculateur!V199*Calculateur!X199*VLOOKUP('Données projet'!$B$9,Paramètres!$A$1:$I$89,3,0)*0.475*44/12</f>
        <v>2.0496398994624954E-2</v>
      </c>
      <c r="AB199" s="23">
        <f>EXP(-LN(2)/2)*AB198+(1-EXP(-LN(2)/2))/(LN(2)/2)*V199*Y199*VLOOKUP('Données projet'!$B$9,Paramètres!$A$1:$I$89,3,0)*0.475*44/12</f>
        <v>5.3584246176278516E-25</v>
      </c>
      <c r="AC199" s="24">
        <f t="shared" si="163"/>
        <v>0.81237717055414549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-4.5474735088646412E-13</v>
      </c>
      <c r="AJ199" s="14">
        <f>AI199*VLOOKUP('Données projet'!$B$10,Paramètres!$A$1:$I$89,3,0)*VLOOKUP('Données projet'!$B$10,Paramètres!$A$1:$I$89,5,0)</f>
        <v>-2.1282176021486519E-13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199.36309817800088</v>
      </c>
      <c r="AO199" s="62">
        <f t="shared" si="205"/>
        <v>151.91120569748284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-1.7053025658242404E-13</v>
      </c>
      <c r="BE199" s="14">
        <f>BD199*VLOOKUP('Données projet'!$B$11,Paramètres!$A$1:$I$89,3,0)*VLOOKUP('Données projet'!$B$11,Paramètres!$A$1:$I$89,5,0)</f>
        <v>-1.0197709343628959E-13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140.16059323013189</v>
      </c>
      <c r="BJ199" s="62">
        <f t="shared" si="206"/>
        <v>219.0992563594865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0.40327741396704259</v>
      </c>
      <c r="BQ199" s="23">
        <f>EXP(-LN(2)/25)*BQ198+(1-EXP(-LN(2)/25))/(LN(2)/25)*Calculateur!BL199*Calculateur!BN199*VLOOKUP('Données projet'!$B$11,Paramètres!$A$1:$I$89,3,0)*0.475*44/12</f>
        <v>9.0871568747657533E-2</v>
      </c>
      <c r="BR199" s="23">
        <f>EXP(-LN(2)/2)*BR198+(1-EXP(-LN(2)/2))/(LN(2)/2)*BL199*BO199*VLOOKUP('Données projet'!$B$11,Paramètres!$A$1:$I$89,3,0)*0.475*44/12</f>
        <v>1.1185950611551807E-24</v>
      </c>
      <c r="BS199" s="24">
        <f t="shared" si="169"/>
        <v>0.49414898271470009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2">
        <f t="shared" si="202"/>
        <v>37.312382829927017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70">
        <f t="shared" si="192"/>
        <v>609.88609676212241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6.3550942286383367E-14</v>
      </c>
      <c r="P200" s="14">
        <f t="shared" si="203"/>
        <v>1.0064464192543978E-12</v>
      </c>
      <c r="Q200" s="22">
        <f t="shared" si="162"/>
        <v>1.8635787380168604E-12</v>
      </c>
      <c r="R200" s="62">
        <f t="shared" si="191"/>
        <v>293.33333333333519</v>
      </c>
      <c r="S200" s="62">
        <f ca="1">AVERAGE(OFFSET($R$3,0,0,'Données projet'!$E$9+1,1))-AVERAGE(OFFSET($H$3,0,0,'Données projet'!$E$9+1,1))</f>
        <v>262.38865315945856</v>
      </c>
      <c r="T200" s="62">
        <f t="shared" si="204"/>
        <v>268.78503805457069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0.77635247262881668</v>
      </c>
      <c r="AA200" s="23">
        <f>EXP(-LN(2)/25)*AA199+(1-EXP(-LN(2)/25))/(LN(2)/25)*Calculateur!V200*Calculateur!X200*VLOOKUP('Données projet'!$B$9,Paramètres!$A$1:$I$89,3,0)*0.475*44/12</f>
        <v>1.9935923886258158E-2</v>
      </c>
      <c r="AB200" s="23">
        <f>EXP(-LN(2)/2)*AB199+(1-EXP(-LN(2)/2))/(LN(2)/2)*V200*Y200*VLOOKUP('Données projet'!$B$9,Paramètres!$A$1:$I$89,3,0)*0.475*44/12</f>
        <v>3.7889783836015869E-25</v>
      </c>
      <c r="AC200" s="24">
        <f t="shared" si="163"/>
        <v>0.79628839651507488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-4.5474735088646412E-13</v>
      </c>
      <c r="AJ200" s="14">
        <f>AI200*VLOOKUP('Données projet'!$B$10,Paramètres!$A$1:$I$89,3,0)*VLOOKUP('Données projet'!$B$10,Paramètres!$A$1:$I$89,5,0)</f>
        <v>-2.1282176021486519E-13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199.36309817800088</v>
      </c>
      <c r="AO200" s="62">
        <f t="shared" si="205"/>
        <v>151.91120569748284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-1.7053025658242404E-13</v>
      </c>
      <c r="BE200" s="14">
        <f>BD200*VLOOKUP('Données projet'!$B$11,Paramètres!$A$1:$I$89,3,0)*VLOOKUP('Données projet'!$B$11,Paramètres!$A$1:$I$89,5,0)</f>
        <v>-1.0197709343628959E-13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140.16059323013189</v>
      </c>
      <c r="BJ200" s="62">
        <f t="shared" si="206"/>
        <v>219.0992563594865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0.39536938985408338</v>
      </c>
      <c r="BQ200" s="23">
        <f>EXP(-LN(2)/25)*BQ199+(1-EXP(-LN(2)/25))/(LN(2)/25)*Calculateur!BL200*Calculateur!BN200*VLOOKUP('Données projet'!$B$11,Paramètres!$A$1:$I$89,3,0)*0.475*44/12</f>
        <v>8.8386680921524727E-2</v>
      </c>
      <c r="BR200" s="23">
        <f>EXP(-LN(2)/2)*BR199+(1-EXP(-LN(2)/2))/(LN(2)/2)*BL200*BO200*VLOOKUP('Données projet'!$B$11,Paramètres!$A$1:$I$89,3,0)*0.475*44/12</f>
        <v>7.9096615314460915E-25</v>
      </c>
      <c r="BS200" s="24">
        <f t="shared" si="169"/>
        <v>0.48375607077560812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2">
        <f t="shared" si="202"/>
        <v>37.479689934865021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70">
        <f t="shared" si="192"/>
        <v>611.45447996988946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6.3550942286383367E-14</v>
      </c>
      <c r="P201" s="14">
        <f t="shared" si="203"/>
        <v>1.0064464192543978E-12</v>
      </c>
      <c r="Q201" s="22">
        <f t="shared" si="162"/>
        <v>1.8635787380168604E-12</v>
      </c>
      <c r="R201" s="62">
        <f t="shared" si="191"/>
        <v>293.33333333333519</v>
      </c>
      <c r="S201" s="62">
        <f ca="1">AVERAGE(OFFSET($R$3,0,0,'Données projet'!$E$9+1,1))-AVERAGE(OFFSET($H$3,0,0,'Données projet'!$E$9+1,1))</f>
        <v>262.38865315945856</v>
      </c>
      <c r="T201" s="62">
        <f t="shared" si="204"/>
        <v>268.78503805457069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0.76112867416881691</v>
      </c>
      <c r="AA201" s="23">
        <f>EXP(-LN(2)/25)*AA200+(1-EXP(-LN(2)/25))/(LN(2)/25)*Calculateur!V201*Calculateur!X201*VLOOKUP('Données projet'!$B$9,Paramètres!$A$1:$I$89,3,0)*0.475*44/12</f>
        <v>1.9390774999203757E-2</v>
      </c>
      <c r="AB201" s="23">
        <f>EXP(-LN(2)/2)*AB200+(1-EXP(-LN(2)/2))/(LN(2)/2)*V201*Y201*VLOOKUP('Données projet'!$B$9,Paramètres!$A$1:$I$89,3,0)*0.475*44/12</f>
        <v>2.6792123088139258E-25</v>
      </c>
      <c r="AC201" s="24">
        <f t="shared" si="163"/>
        <v>0.78051944916802063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-4.5474735088646412E-13</v>
      </c>
      <c r="AJ201" s="14">
        <f>AI201*VLOOKUP('Données projet'!$B$10,Paramètres!$A$1:$I$89,3,0)*VLOOKUP('Données projet'!$B$10,Paramètres!$A$1:$I$89,5,0)</f>
        <v>-2.1282176021486519E-13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199.36309817800088</v>
      </c>
      <c r="AO201" s="62">
        <f t="shared" si="205"/>
        <v>151.91120569748284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-1.7053025658242404E-13</v>
      </c>
      <c r="BE201" s="14">
        <f>BD201*VLOOKUP('Données projet'!$B$11,Paramètres!$A$1:$I$89,3,0)*VLOOKUP('Données projet'!$B$11,Paramètres!$A$1:$I$89,5,0)</f>
        <v>-1.0197709343628959E-13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140.16059323013189</v>
      </c>
      <c r="BJ201" s="62">
        <f t="shared" si="206"/>
        <v>219.0992563594865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0.38761643727056089</v>
      </c>
      <c r="BQ201" s="23">
        <f>EXP(-LN(2)/25)*BQ200+(1-EXP(-LN(2)/25))/(LN(2)/25)*Calculateur!BL201*Calculateur!BN201*VLOOKUP('Données projet'!$B$11,Paramètres!$A$1:$I$89,3,0)*0.475*44/12</f>
        <v>8.596974248367209E-2</v>
      </c>
      <c r="BR201" s="23">
        <f>EXP(-LN(2)/2)*BR200+(1-EXP(-LN(2)/2))/(LN(2)/2)*BL201*BO201*VLOOKUP('Données projet'!$B$11,Paramètres!$A$1:$I$89,3,0)*0.475*44/12</f>
        <v>5.5929753057759037E-25</v>
      </c>
      <c r="BS201" s="24">
        <f t="shared" si="169"/>
        <v>0.47358617975423301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2">
        <f t="shared" si="202"/>
        <v>37.646898711967857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70">
        <f t="shared" si="192"/>
        <v>613.0226919233437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6.3550942286383367E-14</v>
      </c>
      <c r="P202" s="14">
        <f t="shared" si="203"/>
        <v>1.0064464192543978E-12</v>
      </c>
      <c r="Q202" s="22">
        <f t="shared" si="162"/>
        <v>1.8635787380168604E-12</v>
      </c>
      <c r="R202" s="62">
        <f t="shared" si="191"/>
        <v>293.33333333333519</v>
      </c>
      <c r="S202" s="62">
        <f ca="1">AVERAGE(OFFSET($R$3,0,0,'Données projet'!$E$9+1,1))-AVERAGE(OFFSET($H$3,0,0,'Données projet'!$E$9+1,1))</f>
        <v>262.38865315945856</v>
      </c>
      <c r="T202" s="62">
        <f t="shared" si="204"/>
        <v>268.78503805457069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0.74620340511101746</v>
      </c>
      <c r="AA202" s="23">
        <f>EXP(-LN(2)/25)*AA201+(1-EXP(-LN(2)/25))/(LN(2)/25)*Calculateur!V202*Calculateur!X202*VLOOKUP('Données projet'!$B$9,Paramètres!$A$1:$I$89,3,0)*0.475*44/12</f>
        <v>1.8860533237133992E-2</v>
      </c>
      <c r="AB202" s="23">
        <f>EXP(-LN(2)/2)*AB201+(1-EXP(-LN(2)/2))/(LN(2)/2)*V202*Y202*VLOOKUP('Données projet'!$B$9,Paramètres!$A$1:$I$89,3,0)*0.475*44/12</f>
        <v>1.8944891918007935E-25</v>
      </c>
      <c r="AC202" s="24">
        <f t="shared" si="163"/>
        <v>0.76506393834815145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-4.5474735088646412E-13</v>
      </c>
      <c r="AJ202" s="14">
        <f>AI202*VLOOKUP('Données projet'!$B$10,Paramètres!$A$1:$I$89,3,0)*VLOOKUP('Données projet'!$B$10,Paramètres!$A$1:$I$89,5,0)</f>
        <v>-2.1282176021486519E-13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199.36309817800088</v>
      </c>
      <c r="AO202" s="62">
        <f t="shared" si="205"/>
        <v>151.91120569748284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-1.7053025658242404E-13</v>
      </c>
      <c r="BE202" s="14">
        <f>BD202*VLOOKUP('Données projet'!$B$11,Paramètres!$A$1:$I$89,3,0)*VLOOKUP('Données projet'!$B$11,Paramètres!$A$1:$I$89,5,0)</f>
        <v>-1.0197709343628959E-13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140.16059323013189</v>
      </c>
      <c r="BJ202" s="62">
        <f t="shared" si="206"/>
        <v>219.0992563594865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0.38001551535836714</v>
      </c>
      <c r="BQ202" s="23">
        <f>EXP(-LN(2)/25)*BQ201+(1-EXP(-LN(2)/25))/(LN(2)/25)*Calculateur!BL202*Calculateur!BN202*VLOOKUP('Données projet'!$B$11,Paramètres!$A$1:$I$89,3,0)*0.475*44/12</f>
        <v>8.36188953545038E-2</v>
      </c>
      <c r="BR202" s="23">
        <f>EXP(-LN(2)/2)*BR201+(1-EXP(-LN(2)/2))/(LN(2)/2)*BL202*BO202*VLOOKUP('Données projet'!$B$11,Paramètres!$A$1:$I$89,3,0)*0.475*44/12</f>
        <v>3.9548307657230457E-25</v>
      </c>
      <c r="BS202" s="24">
        <f t="shared" si="169"/>
        <v>0.46363441071287093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2">
        <f t="shared" si="202"/>
        <v>37.81400971270299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70">
        <f t="shared" si="192"/>
        <v>614.59073358295734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6.3550942286383367E-14</v>
      </c>
      <c r="P203" s="14">
        <f t="shared" si="203"/>
        <v>1.0064464192543978E-12</v>
      </c>
      <c r="Q203" s="22">
        <f t="shared" si="162"/>
        <v>1.8635787380168604E-12</v>
      </c>
      <c r="R203" s="62">
        <f t="shared" si="191"/>
        <v>293.33333333333519</v>
      </c>
      <c r="S203" s="62">
        <f ca="1">AVERAGE(OFFSET($R$3,0,0,'Données projet'!$E$9+1,1))-AVERAGE(OFFSET($H$3,0,0,'Données projet'!$E$9+1,1))</f>
        <v>262.38865315945856</v>
      </c>
      <c r="T203" s="62">
        <f t="shared" si="204"/>
        <v>268.78503805457069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0.73157081147592629</v>
      </c>
      <c r="AA203" s="23">
        <f>EXP(-LN(2)/25)*AA202+(1-EXP(-LN(2)/25))/(LN(2)/25)*Calculateur!V203*Calculateur!X203*VLOOKUP('Données projet'!$B$9,Paramètres!$A$1:$I$89,3,0)*0.475*44/12</f>
        <v>1.8344790963932225E-2</v>
      </c>
      <c r="AB203" s="23">
        <f>EXP(-LN(2)/2)*AB202+(1-EXP(-LN(2)/2))/(LN(2)/2)*V203*Y203*VLOOKUP('Données projet'!$B$9,Paramètres!$A$1:$I$89,3,0)*0.475*44/12</f>
        <v>1.3396061544069629E-25</v>
      </c>
      <c r="AC203" s="24">
        <f t="shared" si="163"/>
        <v>0.74991560243985855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-4.5474735088646412E-13</v>
      </c>
      <c r="AJ203" s="14">
        <f>AI203*VLOOKUP('Données projet'!$B$10,Paramètres!$A$1:$I$89,3,0)*VLOOKUP('Données projet'!$B$10,Paramètres!$A$1:$I$89,5,0)</f>
        <v>-2.1282176021486519E-13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199.36309817800088</v>
      </c>
      <c r="AO203" s="62">
        <f t="shared" si="205"/>
        <v>151.91120569748284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-1.7053025658242404E-13</v>
      </c>
      <c r="BE203" s="14">
        <f>BD203*VLOOKUP('Données projet'!$B$11,Paramètres!$A$1:$I$89,3,0)*VLOOKUP('Données projet'!$B$11,Paramètres!$A$1:$I$89,5,0)</f>
        <v>-1.0197709343628959E-13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140.16059323013189</v>
      </c>
      <c r="BJ203" s="62">
        <f t="shared" si="206"/>
        <v>219.0992563594865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0.37256364288876692</v>
      </c>
      <c r="BQ203" s="23">
        <f>EXP(-LN(2)/25)*BQ202+(1-EXP(-LN(2)/25))/(LN(2)/25)*Calculateur!BL203*Calculateur!BN203*VLOOKUP('Données projet'!$B$11,Paramètres!$A$1:$I$89,3,0)*0.475*44/12</f>
        <v>8.1332332263708298E-2</v>
      </c>
      <c r="BR203" s="23">
        <f>EXP(-LN(2)/2)*BR202+(1-EXP(-LN(2)/2))/(LN(2)/2)*BL203*BO203*VLOOKUP('Données projet'!$B$11,Paramètres!$A$1:$I$89,3,0)*0.475*44/12</f>
        <v>2.7964876528879519E-25</v>
      </c>
      <c r="BS203" s="24">
        <f t="shared" si="169"/>
        <v>0.45389597515247521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1.3037606943669584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1.1922168590978506</v>
      </c>
      <c r="BA205" s="88">
        <f>EXP(LN('Données projet'!B88)/'Données projet'!A88)</f>
        <v>1.2990595333015609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9" sqref="M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0.69750000000000001</v>
      </c>
      <c r="C6" s="156">
        <f ca="1">IF(OR('Données projet'!B9="",'Données projet'!C9="",'Données projet'!C9=0%),0,Calculateur!S3)</f>
        <v>262.38865315945856</v>
      </c>
      <c r="D6" s="156">
        <f>IF(OR('Données projet'!B9="",'Données projet'!C9="",'Données projet'!C9=0%),0,Calculateur!T3)</f>
        <v>268.78503805457069</v>
      </c>
      <c r="E6" s="156">
        <f ca="1">MIN(C6,D6)</f>
        <v>262.38865315945856</v>
      </c>
      <c r="F6" s="156">
        <f ca="1">E6*B6</f>
        <v>183.01608557872234</v>
      </c>
      <c r="G6" s="156">
        <f ca="1">F6*(100%-'Données projet'!$C$24)*(100%-'Données projet'!$C$25)*(100%-'Données projet'!$C$26)*(100%-'Données projet'!$C$27)</f>
        <v>140.00730546772257</v>
      </c>
      <c r="H6" s="157">
        <f>IF(OR('Données projet'!B9="",'Données projet'!C9="",'Données projet'!C9=0%),0,AVERAGE(Calculateur!$AC$3:$AC$33)*B6)</f>
        <v>3.928649669278192</v>
      </c>
      <c r="I6" s="158">
        <f>H6*(100%-'Données projet'!$C$24)*(100%-'Données projet'!$C$25)*(100%-'Données projet'!$C$26)*(100%-'Données projet'!$C$27)</f>
        <v>3.0054169969978171</v>
      </c>
      <c r="J6" s="159">
        <f>IF(OR('Données projet'!B9="",'Données projet'!C9="",'Données projet'!C9=0%),0,SUM(Calculateur!$V$3:$V$33)*VLOOKUP('Données projet'!$B$9,Paramètres!$A$1:$I$89,9,0)*B6)</f>
        <v>39.647085749999995</v>
      </c>
      <c r="K6" s="160">
        <f>J6*(100%-'Données projet'!$C$24)*(100%-'Données projet'!$C$25)*(100%-'Données projet'!$C$26)*(100%-'Données projet'!$C$27)</f>
        <v>30.33002059875</v>
      </c>
      <c r="L6" s="161">
        <f ca="1">G6+I6+K6</f>
        <v>173.34274306347038</v>
      </c>
      <c r="M6" s="25">
        <f ca="1">L6/B6</f>
        <v>248.52006173974249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Cèdre de l'Atlas</v>
      </c>
      <c r="B7" s="163">
        <f>'Données projet'!D10</f>
        <v>3.4596</v>
      </c>
      <c r="C7" s="156">
        <f ca="1">IF(OR('Données projet'!B10="",'Données projet'!C10="",'Données projet'!C10=0%),0,Calculateur!AN3)</f>
        <v>199.36309817800088</v>
      </c>
      <c r="D7" s="156">
        <f>IF(OR('Données projet'!B10="",'Données projet'!C10="",'Données projet'!C10=0%),0,Calculateur!AO3)</f>
        <v>151.91120569748284</v>
      </c>
      <c r="E7" s="156">
        <f t="shared" ref="E7:E15" ca="1" si="0">MIN(C7,D7)</f>
        <v>151.91120569748284</v>
      </c>
      <c r="F7" s="156">
        <f t="shared" ref="F7:F15" ca="1" si="1">E7*B7</f>
        <v>525.55200723101166</v>
      </c>
      <c r="G7" s="156">
        <f ca="1">F7*(100%-'Données projet'!$C$24)*(100%-'Données projet'!$C$25)*(100%-'Données projet'!$C$26)*(100%-'Données projet'!$C$27)</f>
        <v>402.0472855317239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402.0472855317239</v>
      </c>
      <c r="M7" s="25">
        <f ca="1">L7/B7</f>
        <v>116.21207235857437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taeda</v>
      </c>
      <c r="B8" s="163">
        <f>'Données projet'!D11</f>
        <v>1.4229000000000001</v>
      </c>
      <c r="C8" s="156">
        <f ca="1">IF(OR('Données projet'!B11="",'Données projet'!C11="",'Données projet'!C11=0%),0,Calculateur!BI3)</f>
        <v>140.16059323013189</v>
      </c>
      <c r="D8" s="156">
        <f>IF(OR('Données projet'!B11="",'Données projet'!C11="",'Données projet'!C11=0%),0,Calculateur!BJ3)</f>
        <v>219.0992563594865</v>
      </c>
      <c r="E8" s="156">
        <f t="shared" ca="1" si="0"/>
        <v>140.16059323013189</v>
      </c>
      <c r="F8" s="156">
        <f t="shared" ca="1" si="1"/>
        <v>199.43450810715467</v>
      </c>
      <c r="G8" s="156">
        <f ca="1">F8*(100%-'Données projet'!$C$24)*(100%-'Données projet'!$C$25)*(100%-'Données projet'!$C$26)*(100%-'Données projet'!$C$27)</f>
        <v>152.56739870197333</v>
      </c>
      <c r="H8" s="164">
        <f>IF(OR('Données projet'!B11="",'Données projet'!C11="",'Données projet'!C11=0%),0,AVERAGE(Calculateur!$BS$3:$BS$33)*B8)</f>
        <v>7.9449919531139903</v>
      </c>
      <c r="I8" s="158">
        <f>H8*(100%-'Données projet'!$C$24)*(100%-'Données projet'!$C$25)*(100%-'Données projet'!$C$26)*(100%-'Données projet'!$C$27)</f>
        <v>6.0779188441322027</v>
      </c>
      <c r="J8" s="159">
        <f>IF(OR('Données projet'!B11="",'Données projet'!C11="",'Données projet'!C11=0%),0,SUM(Calculateur!$BL$3:$BL$33)*VLOOKUP('Données projet'!$B$11,Paramètres!$A$1:$I$89,9,0)*B8)</f>
        <v>69.750557999999998</v>
      </c>
      <c r="K8" s="160">
        <f>J8*(100%-'Données projet'!$C$24)*(100%-'Données projet'!$C$25)*(100%-'Données projet'!$C$26)*(100%-'Données projet'!$C$27)</f>
        <v>53.359176869999999</v>
      </c>
      <c r="L8" s="161">
        <f t="shared" ca="1" si="2"/>
        <v>212.00449441610553</v>
      </c>
      <c r="M8" s="25">
        <f ca="1">L8/B8</f>
        <v>148.99465487111217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908.0026009168887</v>
      </c>
      <c r="G16" s="175">
        <f t="shared" ca="1" si="3"/>
        <v>694.62198970141981</v>
      </c>
      <c r="H16" s="176">
        <f t="shared" si="3"/>
        <v>11.873641622392181</v>
      </c>
      <c r="I16" s="176">
        <f t="shared" si="3"/>
        <v>9.0833358411300189</v>
      </c>
      <c r="J16" s="177">
        <f t="shared" si="3"/>
        <v>109.39764374999999</v>
      </c>
      <c r="K16" s="177">
        <f t="shared" si="3"/>
        <v>83.689197468749995</v>
      </c>
      <c r="L16" s="178">
        <f t="shared" ca="1" si="3"/>
        <v>787.39452301129984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taeda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4" zoomScale="90" zoomScaleNormal="90" workbookViewId="0">
      <selection activeCell="J29" sqref="J2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4021.5825248999067</v>
      </c>
      <c r="U10" s="190">
        <f>'Données projet'!D9</f>
        <v>0.69750000000000001</v>
      </c>
      <c r="V10" s="189">
        <f>U10*T10</f>
        <v>2805.0538111176852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2125.2379535866239</v>
      </c>
      <c r="U11" s="190">
        <f>'Données projet'!D10</f>
        <v>3.4596</v>
      </c>
      <c r="V11" s="189">
        <f t="shared" ref="V11" si="0">U11*T11</f>
        <v>7352.4732242282844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taeda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2394.0634409631621</v>
      </c>
      <c r="U12" s="190">
        <f>'Données projet'!D11</f>
        <v>1.4229000000000001</v>
      </c>
      <c r="V12" s="189">
        <f t="shared" ref="V12:V19" si="1">U12*T12</f>
        <v>3406.5128701464832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40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12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480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4608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872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370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19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746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-24196.140394382357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21</v>
      </c>
      <c r="B24" s="193">
        <f>'Données projet'!D37</f>
        <v>64.58</v>
      </c>
      <c r="C24" s="206">
        <v>20</v>
      </c>
      <c r="D24" s="194">
        <f t="shared" ref="D24:D42" si="2">B24*C24</f>
        <v>1291.5999999999999</v>
      </c>
      <c r="E24" s="206"/>
      <c r="F24" s="264"/>
      <c r="H24" s="203">
        <v>4</v>
      </c>
      <c r="I24" s="204">
        <v>396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460.49383299251912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28</v>
      </c>
      <c r="B25" s="193">
        <f>'Données projet'!D38</f>
        <v>67.61</v>
      </c>
      <c r="C25" s="206">
        <v>30</v>
      </c>
      <c r="D25" s="194">
        <f t="shared" si="2"/>
        <v>2028.3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-24656.634227374878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86.68</v>
      </c>
      <c r="C26" s="206">
        <v>40</v>
      </c>
      <c r="D26" s="194">
        <f t="shared" si="2"/>
        <v>3467.2000000000003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42</v>
      </c>
      <c r="B27" s="193">
        <f>'Données projet'!D40</f>
        <v>99.98</v>
      </c>
      <c r="C27" s="206">
        <v>45</v>
      </c>
      <c r="D27" s="194">
        <f t="shared" si="2"/>
        <v>4499.1000000000004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49</v>
      </c>
      <c r="B28" s="193">
        <f>'Données projet'!D41</f>
        <v>112.61</v>
      </c>
      <c r="C28" s="206">
        <v>50</v>
      </c>
      <c r="D28" s="194">
        <f t="shared" si="2"/>
        <v>5630.5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56</v>
      </c>
      <c r="B29" s="193">
        <f>'Données projet'!D42</f>
        <v>94.57</v>
      </c>
      <c r="C29" s="206">
        <v>55</v>
      </c>
      <c r="D29" s="194">
        <f t="shared" si="2"/>
        <v>5201.3499999999995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63</v>
      </c>
      <c r="B30" s="193">
        <f>'Données projet'!D43</f>
        <v>99.49</v>
      </c>
      <c r="C30" s="206">
        <v>60</v>
      </c>
      <c r="D30" s="194">
        <f t="shared" si="2"/>
        <v>5969.4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69</v>
      </c>
      <c r="B31" s="193">
        <f>'Données projet'!D44</f>
        <v>0</v>
      </c>
      <c r="C31" s="206">
        <v>80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70</v>
      </c>
      <c r="B32" s="193">
        <f>'Données projet'!D45</f>
        <v>586.05999999999995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30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35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42</v>
      </c>
      <c r="B56" s="193">
        <f>'Données projet'!D64</f>
        <v>182.39</v>
      </c>
      <c r="C56" s="204">
        <v>30</v>
      </c>
      <c r="D56" s="191">
        <f t="shared" si="4"/>
        <v>5471.7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43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49</v>
      </c>
      <c r="B58" s="193">
        <f>'Données projet'!D66</f>
        <v>100.16</v>
      </c>
      <c r="C58" s="204">
        <v>40</v>
      </c>
      <c r="D58" s="191">
        <f t="shared" si="4"/>
        <v>4006.3999999999996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50</v>
      </c>
      <c r="B59" s="193">
        <f>'Données projet'!D67</f>
        <v>0</v>
      </c>
      <c r="C59" s="204">
        <v>40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56</v>
      </c>
      <c r="B60" s="193">
        <f>'Données projet'!D68</f>
        <v>79.39</v>
      </c>
      <c r="C60" s="204">
        <v>60</v>
      </c>
      <c r="D60" s="191">
        <f t="shared" si="4"/>
        <v>4763.3999999999996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57</v>
      </c>
      <c r="B61" s="193">
        <f>'Données projet'!D69</f>
        <v>0</v>
      </c>
      <c r="C61" s="204">
        <v>80</v>
      </c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63</v>
      </c>
      <c r="B62" s="193">
        <f>'Données projet'!D70</f>
        <v>79.099999999999994</v>
      </c>
      <c r="C62" s="204">
        <v>80</v>
      </c>
      <c r="D62" s="191">
        <f t="shared" si="4"/>
        <v>6328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64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71</v>
      </c>
      <c r="B64" s="193">
        <f>'Données projet'!D72</f>
        <v>90.8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72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79</v>
      </c>
      <c r="B66" s="193">
        <f>'Données projet'!D74</f>
        <v>87.99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87</v>
      </c>
      <c r="B68" s="193">
        <f>'Données projet'!D76</f>
        <v>88.62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88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94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95</v>
      </c>
      <c r="B71" s="193">
        <f>'Données projet'!D79</f>
        <v>268.81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96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105</v>
      </c>
      <c r="B73" s="193">
        <f>'Données projet'!D81</f>
        <v>356.68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taeda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18</v>
      </c>
      <c r="B85" s="193">
        <f>'Données projet'!D88</f>
        <v>29</v>
      </c>
      <c r="C85" s="204">
        <v>12</v>
      </c>
      <c r="D85" s="191">
        <f>B85*C85</f>
        <v>348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24</v>
      </c>
      <c r="B86" s="193">
        <f>'Données projet'!D89</f>
        <v>38</v>
      </c>
      <c r="C86" s="204">
        <v>18</v>
      </c>
      <c r="D86" s="191">
        <f t="shared" ref="D86:D104" si="6">B86*C86</f>
        <v>684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47</v>
      </c>
      <c r="C87" s="204">
        <v>22</v>
      </c>
      <c r="D87" s="191">
        <f t="shared" si="6"/>
        <v>1034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40</v>
      </c>
      <c r="B88" s="193">
        <f>'Données projet'!D91</f>
        <v>50</v>
      </c>
      <c r="C88" s="204">
        <v>30</v>
      </c>
      <c r="D88" s="191">
        <f t="shared" si="6"/>
        <v>1500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50</v>
      </c>
      <c r="B89" s="193">
        <f>'Données projet'!D92</f>
        <v>294</v>
      </c>
      <c r="C89" s="204">
        <v>45</v>
      </c>
      <c r="D89" s="191">
        <f t="shared" si="6"/>
        <v>13230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DE TRAVERSAY Albert</cp:lastModifiedBy>
  <dcterms:created xsi:type="dcterms:W3CDTF">2021-02-01T08:22:39Z</dcterms:created>
  <dcterms:modified xsi:type="dcterms:W3CDTF">2024-03-19T09:59:08Z</dcterms:modified>
</cp:coreProperties>
</file>