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63 - La tour d'Auvergne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2" i="1" l="1"/>
  <c r="D116" i="1"/>
  <c r="B116" i="1"/>
  <c r="B115" i="1"/>
  <c r="D93" i="1" l="1"/>
  <c r="D91" i="1"/>
  <c r="D89" i="1"/>
  <c r="D69" i="1"/>
  <c r="D65" i="1"/>
  <c r="B65" i="1"/>
  <c r="B64" i="1"/>
  <c r="D63" i="1"/>
  <c r="B63" i="1"/>
  <c r="D43" i="1"/>
  <c r="B36" i="1"/>
  <c r="D36" i="1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C155" i="2" l="1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60" i="2" l="1"/>
  <c r="CD69" i="2"/>
  <c r="CD25" i="2"/>
  <c r="CD142" i="2"/>
  <c r="CD14" i="2"/>
  <c r="CD42" i="2"/>
  <c r="CD155" i="2"/>
  <c r="CD163" i="2"/>
  <c r="CD62" i="2"/>
  <c r="CD36" i="2"/>
  <c r="CD158" i="2"/>
  <c r="CD80" i="2"/>
  <c r="CD130" i="2"/>
  <c r="CD131" i="2"/>
  <c r="CD22" i="2"/>
  <c r="CD47" i="2"/>
  <c r="CD146" i="2"/>
  <c r="CD180" i="2"/>
  <c r="CD90" i="2"/>
  <c r="CD66" i="2"/>
  <c r="CD43" i="2"/>
  <c r="CD86" i="2"/>
  <c r="CD170" i="2"/>
  <c r="CD134" i="2"/>
  <c r="CD50" i="2"/>
  <c r="CD95" i="2"/>
  <c r="CD114" i="2"/>
  <c r="CD8" i="2"/>
  <c r="CD81" i="2"/>
  <c r="CD12" i="2"/>
  <c r="CD197" i="2"/>
  <c r="CD167" i="2"/>
  <c r="CD71" i="2"/>
  <c r="CD9" i="2"/>
  <c r="CD32" i="2"/>
  <c r="CD193" i="2"/>
  <c r="CD55" i="2"/>
  <c r="CD70" i="2"/>
  <c r="CD33" i="2"/>
  <c r="CD92" i="2"/>
  <c r="CD35" i="2"/>
  <c r="CD49" i="2"/>
  <c r="CD83" i="2"/>
  <c r="CD107" i="2"/>
  <c r="CD190" i="2"/>
  <c r="CD168" i="2"/>
  <c r="CD57" i="2"/>
  <c r="CD122" i="2"/>
  <c r="CD117" i="2"/>
  <c r="CD84" i="2"/>
  <c r="CD46" i="2"/>
  <c r="CD20" i="2"/>
  <c r="CD26" i="2"/>
  <c r="CD125" i="2"/>
  <c r="CD178" i="2"/>
  <c r="CD118" i="2"/>
  <c r="CD173" i="2"/>
  <c r="CD135" i="2"/>
  <c r="CD85" i="2"/>
  <c r="CD171" i="2"/>
  <c r="CD203" i="2"/>
  <c r="CD73" i="2"/>
  <c r="CD89" i="2"/>
  <c r="CD133" i="2"/>
  <c r="CD65" i="2"/>
  <c r="CD72" i="2"/>
  <c r="CD98" i="2"/>
  <c r="CD30" i="2"/>
  <c r="CD166" i="2"/>
  <c r="CD183" i="2"/>
  <c r="CD37" i="2"/>
  <c r="CD143" i="2"/>
  <c r="CD141" i="2"/>
  <c r="CD129" i="2"/>
  <c r="CD54" i="2"/>
  <c r="CD103" i="2"/>
  <c r="CD128" i="2"/>
  <c r="CD123" i="2"/>
  <c r="CD175" i="2"/>
  <c r="CD78" i="2"/>
  <c r="CD159" i="2"/>
  <c r="CD126" i="2"/>
  <c r="CD21" i="2"/>
  <c r="CD112" i="2"/>
  <c r="CD152" i="2"/>
  <c r="CD116" i="2"/>
  <c r="CD24" i="2"/>
  <c r="CD45" i="2"/>
  <c r="CD105" i="2"/>
  <c r="CD34" i="2"/>
  <c r="CD3" i="2"/>
  <c r="C9" i="4" s="1"/>
  <c r="E9" i="4" s="1"/>
  <c r="F9" i="4" s="1"/>
  <c r="G9" i="4" s="1"/>
  <c r="L9" i="4" s="1"/>
  <c r="CD77" i="2"/>
  <c r="CD100" i="2"/>
  <c r="CD41" i="2"/>
  <c r="CD18" i="2"/>
  <c r="CD139" i="2"/>
  <c r="CD186" i="2"/>
  <c r="CD51" i="2"/>
  <c r="CD101" i="2"/>
  <c r="CD4" i="2"/>
  <c r="CD192" i="2"/>
  <c r="CD6" i="2"/>
  <c r="CD145" i="2"/>
  <c r="CD156" i="2"/>
  <c r="CD151" i="2"/>
  <c r="CD165" i="2"/>
  <c r="CD87" i="2"/>
  <c r="CD200" i="2"/>
  <c r="CD127" i="2"/>
  <c r="CD74" i="2"/>
  <c r="CD31" i="2"/>
  <c r="CD172" i="2"/>
  <c r="CD199" i="2"/>
  <c r="CD110" i="2"/>
  <c r="CD10" i="2"/>
  <c r="CD68" i="2"/>
  <c r="CD44" i="2"/>
  <c r="CD120" i="2"/>
  <c r="CD27" i="2"/>
  <c r="CD182" i="2"/>
  <c r="CD161" i="2"/>
  <c r="CD52" i="2"/>
  <c r="CD196" i="2"/>
  <c r="CD28" i="2"/>
  <c r="CD17" i="2"/>
  <c r="CD82" i="2"/>
  <c r="CD153" i="2"/>
  <c r="CD187" i="2"/>
  <c r="CD56" i="2"/>
  <c r="CD106" i="2"/>
  <c r="CD184" i="2"/>
  <c r="CD40" i="2"/>
  <c r="CD194" i="2"/>
  <c r="CD109" i="2"/>
  <c r="CD94" i="2"/>
  <c r="CD93" i="2"/>
  <c r="CD111" i="2"/>
  <c r="CD179" i="2"/>
  <c r="CD147" i="2"/>
  <c r="CD19" i="2"/>
  <c r="CD58" i="2"/>
  <c r="CD38" i="2"/>
  <c r="CD160" i="2"/>
  <c r="CD201" i="2"/>
  <c r="CD138" i="2"/>
  <c r="CD132" i="2"/>
  <c r="CD154" i="2"/>
  <c r="CD189" i="2"/>
  <c r="CD96" i="2"/>
  <c r="CD5" i="2"/>
  <c r="CD181" i="2"/>
  <c r="CD39" i="2"/>
  <c r="CD136" i="2"/>
  <c r="CD185" i="2"/>
  <c r="CD102" i="2"/>
  <c r="CD177" i="2"/>
  <c r="CD64" i="2"/>
  <c r="CD174" i="2"/>
  <c r="CD63" i="2"/>
  <c r="CD61" i="2"/>
  <c r="CD59" i="2"/>
  <c r="CD79" i="2"/>
  <c r="CD13" i="2"/>
  <c r="CD91" i="2"/>
  <c r="CD16" i="2"/>
  <c r="CD88" i="2"/>
  <c r="CD150" i="2"/>
  <c r="CD11" i="2"/>
  <c r="CD149" i="2"/>
  <c r="CD48" i="2"/>
  <c r="CD157" i="2"/>
  <c r="CD164" i="2"/>
  <c r="CD115" i="2"/>
  <c r="CD23" i="2"/>
  <c r="CD75" i="2"/>
  <c r="CD198" i="2"/>
  <c r="CD97" i="2"/>
  <c r="CD169" i="2"/>
  <c r="CD113" i="2"/>
  <c r="CD191" i="2"/>
  <c r="CD67" i="2"/>
  <c r="CD202" i="2"/>
  <c r="CD119" i="2"/>
  <c r="CD99" i="2"/>
  <c r="CD76" i="2"/>
  <c r="CD148" i="2"/>
  <c r="CD121" i="2"/>
  <c r="CD108" i="2"/>
  <c r="CD29" i="2"/>
  <c r="CD144" i="2"/>
  <c r="CD195" i="2"/>
  <c r="CD124" i="2"/>
  <c r="CD140" i="2"/>
  <c r="CD53" i="2"/>
  <c r="CD137" i="2"/>
  <c r="CD176" i="2"/>
  <c r="CD162" i="2"/>
  <c r="CD104" i="2"/>
  <c r="CD15" i="2"/>
  <c r="CD188" i="2"/>
  <c r="CD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<sst xmlns="http://schemas.openxmlformats.org/spreadsheetml/2006/main" count="1173" uniqueCount="324">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</sst>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6736"/>
        <c:axId val="792781296"/>
      </c:scatterChart>
      <c:valAx>
        <c:axId val="792786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1296"/>
        <c:crosses val="autoZero"/>
        <c:crossBetween val="midCat"/>
      </c:valAx>
      <c:valAx>
        <c:axId val="79278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6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79120"/>
        <c:axId val="792788912"/>
      </c:scatterChart>
      <c:valAx>
        <c:axId val="792779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8912"/>
        <c:crosses val="autoZero"/>
        <c:crossBetween val="midCat"/>
      </c:valAx>
      <c:valAx>
        <c:axId val="79278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79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180.31615722411632</c:v>
                </c:pt>
                <c:pt idx="20">
                  <c:v>204.61729834734879</c:v>
                </c:pt>
                <c:pt idx="21">
                  <c:v>228.85165326166091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250.56744586737622</c:v>
                </c:pt>
                <c:pt idx="26">
                  <c:v>269.56153594682701</c:v>
                </c:pt>
                <c:pt idx="27">
                  <c:v>288.52550750272945</c:v>
                </c:pt>
                <c:pt idx="28">
                  <c:v>307.46161813662519</c:v>
                </c:pt>
                <c:pt idx="29">
                  <c:v>326.37182464400212</c:v>
                </c:pt>
                <c:pt idx="30">
                  <c:v>345.25783856692897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304.34456023906199</c:v>
                </c:pt>
                <c:pt idx="35">
                  <c:v>321.4798037706671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7280"/>
        <c:axId val="792784560"/>
      </c:scatterChart>
      <c:valAx>
        <c:axId val="792787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4560"/>
        <c:crosses val="autoZero"/>
        <c:crossBetween val="midCat"/>
      </c:valAx>
      <c:valAx>
        <c:axId val="79278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7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82.357003551703173</c:v>
                </c:pt>
                <c:pt idx="17">
                  <c:v>97.435579235164482</c:v>
                </c:pt>
                <c:pt idx="18">
                  <c:v>112.45603690749546</c:v>
                </c:pt>
                <c:pt idx="19">
                  <c:v>127.42725117721011</c:v>
                </c:pt>
                <c:pt idx="20">
                  <c:v>142.35583160682572</c:v>
                </c:pt>
                <c:pt idx="21">
                  <c:v>94.63497747993533</c:v>
                </c:pt>
                <c:pt idx="22">
                  <c:v>121.86186167582692</c:v>
                </c:pt>
                <c:pt idx="23">
                  <c:v>148.93996563525323</c:v>
                </c:pt>
                <c:pt idx="24">
                  <c:v>175.90027726143936</c:v>
                </c:pt>
                <c:pt idx="25">
                  <c:v>202.76343275622807</c:v>
                </c:pt>
                <c:pt idx="26">
                  <c:v>213.75966826195815</c:v>
                </c:pt>
                <c:pt idx="27">
                  <c:v>224.74287942627927</c:v>
                </c:pt>
                <c:pt idx="28">
                  <c:v>235.71379290964839</c:v>
                </c:pt>
                <c:pt idx="29">
                  <c:v>246.67306214732389</c:v>
                </c:pt>
                <c:pt idx="30">
                  <c:v>257.62127772428227</c:v>
                </c:pt>
                <c:pt idx="31">
                  <c:v>189.34297444965307</c:v>
                </c:pt>
                <c:pt idx="32">
                  <c:v>217.19328512238812</c:v>
                </c:pt>
                <c:pt idx="33">
                  <c:v>244.96141929271744</c:v>
                </c:pt>
                <c:pt idx="34">
                  <c:v>272.6580023613389</c:v>
                </c:pt>
                <c:pt idx="35">
                  <c:v>300.2913216340458</c:v>
                </c:pt>
                <c:pt idx="36">
                  <c:v>307.10541864100418</c:v>
                </c:pt>
                <c:pt idx="37">
                  <c:v>313.91615631143895</c:v>
                </c:pt>
                <c:pt idx="38">
                  <c:v>320.7236178929042</c:v>
                </c:pt>
                <c:pt idx="39">
                  <c:v>327.52788280677856</c:v>
                </c:pt>
                <c:pt idx="40">
                  <c:v>334.32902690172892</c:v>
                </c:pt>
                <c:pt idx="41">
                  <c:v>262.40778495948558</c:v>
                </c:pt>
                <c:pt idx="42">
                  <c:v>285.97038929413475</c:v>
                </c:pt>
                <c:pt idx="43">
                  <c:v>309.48955460516714</c:v>
                </c:pt>
                <c:pt idx="44">
                  <c:v>332.96904422153949</c:v>
                </c:pt>
                <c:pt idx="45">
                  <c:v>356.41204743833867</c:v>
                </c:pt>
                <c:pt idx="46">
                  <c:v>360.82499034748622</c:v>
                </c:pt>
                <c:pt idx="47">
                  <c:v>365.2367529708078</c:v>
                </c:pt>
                <c:pt idx="48">
                  <c:v>369.64735159591169</c:v>
                </c:pt>
                <c:pt idx="49">
                  <c:v>374.05680208950554</c:v>
                </c:pt>
                <c:pt idx="50">
                  <c:v>378.46511991321876</c:v>
                </c:pt>
                <c:pt idx="51">
                  <c:v>330.58877943904662</c:v>
                </c:pt>
                <c:pt idx="52">
                  <c:v>348.94125427596026</c:v>
                </c:pt>
                <c:pt idx="53">
                  <c:v>367.2725575433945</c:v>
                </c:pt>
                <c:pt idx="54">
                  <c:v>385.58389424489491</c:v>
                </c:pt>
                <c:pt idx="55">
                  <c:v>403.87634562786894</c:v>
                </c:pt>
                <c:pt idx="56">
                  <c:v>407.93887014257706</c:v>
                </c:pt>
                <c:pt idx="57">
                  <c:v>412.00052062729009</c:v>
                </c:pt>
                <c:pt idx="58">
                  <c:v>416.06130692450489</c:v>
                </c:pt>
                <c:pt idx="59">
                  <c:v>420.12123866869621</c:v>
                </c:pt>
                <c:pt idx="60">
                  <c:v>424.18032529272637</c:v>
                </c:pt>
                <c:pt idx="61">
                  <c:v>393.71614391217787</c:v>
                </c:pt>
                <c:pt idx="62">
                  <c:v>405.56917103469499</c:v>
                </c:pt>
                <c:pt idx="63">
                  <c:v>417.41471198632934</c:v>
                </c:pt>
                <c:pt idx="64">
                  <c:v>429.25300917701105</c:v>
                </c:pt>
                <c:pt idx="65">
                  <c:v>441.08429055375791</c:v>
                </c:pt>
                <c:pt idx="66">
                  <c:v>443.7876210096145</c:v>
                </c:pt>
                <c:pt idx="67">
                  <c:v>446.49059866524152</c:v>
                </c:pt>
                <c:pt idx="68">
                  <c:v>449.19322596047977</c:v>
                </c:pt>
                <c:pt idx="69">
                  <c:v>451.89550530337857</c:v>
                </c:pt>
                <c:pt idx="70">
                  <c:v>454.59743907080457</c:v>
                </c:pt>
                <c:pt idx="71">
                  <c:v>428.57672614990469</c:v>
                </c:pt>
                <c:pt idx="72">
                  <c:v>438.04261900487001</c:v>
                </c:pt>
                <c:pt idx="73">
                  <c:v>447.50412482878806</c:v>
                </c:pt>
                <c:pt idx="74">
                  <c:v>456.96134948264512</c:v>
                </c:pt>
                <c:pt idx="75">
                  <c:v>466.41439408694424</c:v>
                </c:pt>
                <c:pt idx="76">
                  <c:v>456.28597323169151</c:v>
                </c:pt>
                <c:pt idx="77">
                  <c:v>461.35077692036316</c:v>
                </c:pt>
                <c:pt idx="78">
                  <c:v>466.41439408694424</c:v>
                </c:pt>
                <c:pt idx="79">
                  <c:v>471.47683944067677</c:v>
                </c:pt>
                <c:pt idx="80">
                  <c:v>476.5381273489059</c:v>
                </c:pt>
                <c:pt idx="81">
                  <c:v>4.7326673552561798E-12</c:v>
                </c:pt>
                <c:pt idx="82">
                  <c:v>4.7326673552561798E-12</c:v>
                </c:pt>
                <c:pt idx="83">
                  <c:v>4.7326673552561798E-12</c:v>
                </c:pt>
                <c:pt idx="84">
                  <c:v>4.7326673552561798E-12</c:v>
                </c:pt>
                <c:pt idx="85">
                  <c:v>4.7326673552561798E-12</c:v>
                </c:pt>
                <c:pt idx="86">
                  <c:v>4.7326673552561798E-12</c:v>
                </c:pt>
                <c:pt idx="87">
                  <c:v>4.7326673552561798E-12</c:v>
                </c:pt>
                <c:pt idx="88">
                  <c:v>4.7326673552561798E-12</c:v>
                </c:pt>
                <c:pt idx="89">
                  <c:v>4.7326673552561798E-12</c:v>
                </c:pt>
                <c:pt idx="90">
                  <c:v>4.7326673552561798E-12</c:v>
                </c:pt>
                <c:pt idx="91">
                  <c:v>4.7326673552561798E-12</c:v>
                </c:pt>
                <c:pt idx="92">
                  <c:v>4.7326673552561798E-12</c:v>
                </c:pt>
                <c:pt idx="93">
                  <c:v>4.7326673552561798E-12</c:v>
                </c:pt>
                <c:pt idx="94">
                  <c:v>4.7326673552561798E-12</c:v>
                </c:pt>
                <c:pt idx="95">
                  <c:v>4.7326673552561798E-12</c:v>
                </c:pt>
                <c:pt idx="96">
                  <c:v>4.7326673552561798E-12</c:v>
                </c:pt>
                <c:pt idx="97">
                  <c:v>4.7326673552561798E-12</c:v>
                </c:pt>
                <c:pt idx="98">
                  <c:v>4.7326673552561798E-12</c:v>
                </c:pt>
                <c:pt idx="99">
                  <c:v>4.7326673552561798E-12</c:v>
                </c:pt>
                <c:pt idx="100">
                  <c:v>4.7326673552561798E-12</c:v>
                </c:pt>
                <c:pt idx="101">
                  <c:v>4.7326673552561798E-12</c:v>
                </c:pt>
                <c:pt idx="102">
                  <c:v>4.7326673552561798E-12</c:v>
                </c:pt>
                <c:pt idx="103">
                  <c:v>4.7326673552561798E-12</c:v>
                </c:pt>
                <c:pt idx="104">
                  <c:v>4.7326673552561798E-12</c:v>
                </c:pt>
                <c:pt idx="105">
                  <c:v>4.7326673552561798E-12</c:v>
                </c:pt>
                <c:pt idx="106">
                  <c:v>4.7326673552561798E-12</c:v>
                </c:pt>
                <c:pt idx="107">
                  <c:v>4.7326673552561798E-12</c:v>
                </c:pt>
                <c:pt idx="108">
                  <c:v>4.7326673552561798E-12</c:v>
                </c:pt>
                <c:pt idx="109">
                  <c:v>4.7326673552561798E-12</c:v>
                </c:pt>
                <c:pt idx="110">
                  <c:v>4.7326673552561798E-12</c:v>
                </c:pt>
                <c:pt idx="111">
                  <c:v>4.7326673552561798E-12</c:v>
                </c:pt>
                <c:pt idx="112">
                  <c:v>4.7326673552561798E-12</c:v>
                </c:pt>
                <c:pt idx="113">
                  <c:v>4.7326673552561798E-12</c:v>
                </c:pt>
                <c:pt idx="114">
                  <c:v>4.7326673552561798E-12</c:v>
                </c:pt>
                <c:pt idx="115">
                  <c:v>4.7326673552561798E-12</c:v>
                </c:pt>
                <c:pt idx="116">
                  <c:v>4.7326673552561798E-12</c:v>
                </c:pt>
                <c:pt idx="117">
                  <c:v>4.7326673552561798E-12</c:v>
                </c:pt>
                <c:pt idx="118">
                  <c:v>4.7326673552561798E-12</c:v>
                </c:pt>
                <c:pt idx="119">
                  <c:v>4.7326673552561798E-12</c:v>
                </c:pt>
                <c:pt idx="120">
                  <c:v>4.7326673552561798E-12</c:v>
                </c:pt>
                <c:pt idx="121">
                  <c:v>4.7326673552561798E-12</c:v>
                </c:pt>
                <c:pt idx="122">
                  <c:v>4.7326673552561798E-12</c:v>
                </c:pt>
                <c:pt idx="123">
                  <c:v>4.7326673552561798E-12</c:v>
                </c:pt>
                <c:pt idx="124">
                  <c:v>4.7326673552561798E-12</c:v>
                </c:pt>
                <c:pt idx="125">
                  <c:v>4.7326673552561798E-12</c:v>
                </c:pt>
                <c:pt idx="126">
                  <c:v>4.7326673552561798E-12</c:v>
                </c:pt>
                <c:pt idx="127">
                  <c:v>4.7326673552561798E-12</c:v>
                </c:pt>
                <c:pt idx="128">
                  <c:v>4.7326673552561798E-12</c:v>
                </c:pt>
                <c:pt idx="129">
                  <c:v>4.7326673552561798E-12</c:v>
                </c:pt>
                <c:pt idx="130">
                  <c:v>4.7326673552561798E-12</c:v>
                </c:pt>
                <c:pt idx="131">
                  <c:v>4.7326673552561798E-12</c:v>
                </c:pt>
                <c:pt idx="132">
                  <c:v>4.7326673552561798E-12</c:v>
                </c:pt>
                <c:pt idx="133">
                  <c:v>4.7326673552561798E-12</c:v>
                </c:pt>
                <c:pt idx="134">
                  <c:v>4.7326673552561798E-12</c:v>
                </c:pt>
                <c:pt idx="135">
                  <c:v>4.7326673552561798E-12</c:v>
                </c:pt>
                <c:pt idx="136">
                  <c:v>4.7326673552561798E-12</c:v>
                </c:pt>
                <c:pt idx="137">
                  <c:v>4.7326673552561798E-12</c:v>
                </c:pt>
                <c:pt idx="138">
                  <c:v>4.7326673552561798E-12</c:v>
                </c:pt>
                <c:pt idx="139">
                  <c:v>4.7326673552561798E-12</c:v>
                </c:pt>
                <c:pt idx="140">
                  <c:v>4.7326673552561798E-12</c:v>
                </c:pt>
                <c:pt idx="141">
                  <c:v>4.7326673552561798E-12</c:v>
                </c:pt>
                <c:pt idx="142">
                  <c:v>4.7326673552561798E-12</c:v>
                </c:pt>
                <c:pt idx="143">
                  <c:v>4.7326673552561798E-12</c:v>
                </c:pt>
                <c:pt idx="144">
                  <c:v>4.7326673552561798E-12</c:v>
                </c:pt>
                <c:pt idx="145">
                  <c:v>4.7326673552561798E-12</c:v>
                </c:pt>
                <c:pt idx="146">
                  <c:v>4.7326673552561798E-12</c:v>
                </c:pt>
                <c:pt idx="147">
                  <c:v>4.7326673552561798E-12</c:v>
                </c:pt>
                <c:pt idx="148">
                  <c:v>4.7326673552561798E-12</c:v>
                </c:pt>
                <c:pt idx="149">
                  <c:v>4.7326673552561798E-12</c:v>
                </c:pt>
                <c:pt idx="150">
                  <c:v>4.7326673552561798E-12</c:v>
                </c:pt>
                <c:pt idx="151">
                  <c:v>4.7326673552561798E-12</c:v>
                </c:pt>
                <c:pt idx="152">
                  <c:v>4.7326673552561798E-12</c:v>
                </c:pt>
                <c:pt idx="153">
                  <c:v>4.7326673552561798E-12</c:v>
                </c:pt>
                <c:pt idx="154">
                  <c:v>4.7326673552561798E-12</c:v>
                </c:pt>
                <c:pt idx="155">
                  <c:v>4.7326673552561798E-12</c:v>
                </c:pt>
                <c:pt idx="156">
                  <c:v>4.7326673552561798E-12</c:v>
                </c:pt>
                <c:pt idx="157">
                  <c:v>4.7326673552561798E-12</c:v>
                </c:pt>
                <c:pt idx="158">
                  <c:v>4.7326673552561798E-12</c:v>
                </c:pt>
                <c:pt idx="159">
                  <c:v>4.7326673552561798E-12</c:v>
                </c:pt>
                <c:pt idx="160">
                  <c:v>4.7326673552561798E-12</c:v>
                </c:pt>
                <c:pt idx="161">
                  <c:v>4.7326673552561798E-12</c:v>
                </c:pt>
                <c:pt idx="162">
                  <c:v>4.7326673552561798E-12</c:v>
                </c:pt>
                <c:pt idx="163">
                  <c:v>4.7326673552561798E-12</c:v>
                </c:pt>
                <c:pt idx="164">
                  <c:v>4.7326673552561798E-12</c:v>
                </c:pt>
                <c:pt idx="165">
                  <c:v>4.7326673552561798E-12</c:v>
                </c:pt>
                <c:pt idx="166">
                  <c:v>4.7326673552561798E-12</c:v>
                </c:pt>
                <c:pt idx="167">
                  <c:v>4.7326673552561798E-12</c:v>
                </c:pt>
                <c:pt idx="168">
                  <c:v>4.7326673552561798E-12</c:v>
                </c:pt>
                <c:pt idx="169">
                  <c:v>4.7326673552561798E-12</c:v>
                </c:pt>
                <c:pt idx="170">
                  <c:v>4.7326673552561798E-12</c:v>
                </c:pt>
                <c:pt idx="171">
                  <c:v>4.7326673552561798E-12</c:v>
                </c:pt>
                <c:pt idx="172">
                  <c:v>4.7326673552561798E-12</c:v>
                </c:pt>
                <c:pt idx="173">
                  <c:v>4.7326673552561798E-12</c:v>
                </c:pt>
                <c:pt idx="174">
                  <c:v>4.7326673552561798E-12</c:v>
                </c:pt>
                <c:pt idx="175">
                  <c:v>4.7326673552561798E-12</c:v>
                </c:pt>
                <c:pt idx="176">
                  <c:v>4.7326673552561798E-12</c:v>
                </c:pt>
                <c:pt idx="177">
                  <c:v>4.7326673552561798E-12</c:v>
                </c:pt>
                <c:pt idx="178">
                  <c:v>4.7326673552561798E-12</c:v>
                </c:pt>
                <c:pt idx="179">
                  <c:v>4.7326673552561798E-12</c:v>
                </c:pt>
                <c:pt idx="180">
                  <c:v>4.7326673552561798E-12</c:v>
                </c:pt>
                <c:pt idx="181">
                  <c:v>4.7326673552561798E-12</c:v>
                </c:pt>
                <c:pt idx="182">
                  <c:v>4.7326673552561798E-12</c:v>
                </c:pt>
                <c:pt idx="183">
                  <c:v>4.7326673552561798E-12</c:v>
                </c:pt>
                <c:pt idx="184">
                  <c:v>4.7326673552561798E-12</c:v>
                </c:pt>
                <c:pt idx="185">
                  <c:v>4.7326673552561798E-12</c:v>
                </c:pt>
                <c:pt idx="186">
                  <c:v>4.7326673552561798E-12</c:v>
                </c:pt>
                <c:pt idx="187">
                  <c:v>4.7326673552561798E-12</c:v>
                </c:pt>
                <c:pt idx="188">
                  <c:v>4.7326673552561798E-12</c:v>
                </c:pt>
                <c:pt idx="189">
                  <c:v>4.7326673552561798E-12</c:v>
                </c:pt>
                <c:pt idx="190">
                  <c:v>4.7326673552561798E-12</c:v>
                </c:pt>
                <c:pt idx="191">
                  <c:v>4.7326673552561798E-12</c:v>
                </c:pt>
                <c:pt idx="192">
                  <c:v>4.7326673552561798E-12</c:v>
                </c:pt>
                <c:pt idx="193">
                  <c:v>4.7326673552561798E-12</c:v>
                </c:pt>
                <c:pt idx="194">
                  <c:v>4.7326673552561798E-12</c:v>
                </c:pt>
                <c:pt idx="195">
                  <c:v>4.7326673552561798E-12</c:v>
                </c:pt>
                <c:pt idx="196">
                  <c:v>4.7326673552561798E-12</c:v>
                </c:pt>
                <c:pt idx="197">
                  <c:v>4.7326673552561798E-12</c:v>
                </c:pt>
                <c:pt idx="198">
                  <c:v>4.7326673552561798E-12</c:v>
                </c:pt>
                <c:pt idx="199">
                  <c:v>4.7326673552561798E-12</c:v>
                </c:pt>
                <c:pt idx="200">
                  <c:v>4.7326673552561798E-12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2928"/>
        <c:axId val="792778032"/>
      </c:scatterChart>
      <c:valAx>
        <c:axId val="792782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78032"/>
        <c:crosses val="autoZero"/>
        <c:crossBetween val="midCat"/>
      </c:valAx>
      <c:valAx>
        <c:axId val="79277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2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7824"/>
        <c:axId val="792783472"/>
      </c:scatterChart>
      <c:valAx>
        <c:axId val="792787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3472"/>
        <c:crosses val="autoZero"/>
        <c:crossBetween val="midCat"/>
      </c:valAx>
      <c:valAx>
        <c:axId val="79278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7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92176"/>
        <c:axId val="792792720"/>
      </c:scatterChart>
      <c:valAx>
        <c:axId val="792792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92720"/>
        <c:crosses val="autoZero"/>
        <c:crossBetween val="midCat"/>
      </c:valAx>
      <c:valAx>
        <c:axId val="79279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92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4016"/>
        <c:axId val="792791088"/>
      </c:scatterChart>
      <c:valAx>
        <c:axId val="792784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91088"/>
        <c:crosses val="autoZero"/>
        <c:crossBetween val="midCat"/>
      </c:valAx>
      <c:valAx>
        <c:axId val="79279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6192"/>
        <c:axId val="792791632"/>
      </c:scatterChart>
      <c:valAx>
        <c:axId val="792786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91632"/>
        <c:crosses val="autoZero"/>
        <c:crossBetween val="midCat"/>
      </c:valAx>
      <c:valAx>
        <c:axId val="79279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6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9456"/>
        <c:axId val="792793264"/>
      </c:scatterChart>
      <c:valAx>
        <c:axId val="7927894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93264"/>
        <c:crosses val="autoZero"/>
        <c:crossBetween val="midCat"/>
      </c:valAx>
      <c:valAx>
        <c:axId val="79279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9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788368"/>
        <c:axId val="792785104"/>
      </c:scatterChart>
      <c:valAx>
        <c:axId val="7927883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5104"/>
        <c:crosses val="autoZero"/>
        <c:crossBetween val="midCat"/>
      </c:valAx>
      <c:valAx>
        <c:axId val="79278510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92788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3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3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3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3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3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3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3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3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3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3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3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3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3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3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3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3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3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3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74" zoomScaleNormal="55" workbookViewId="0">
      <selection activeCell="E13" sqref="E1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7" t="s">
        <v>192</v>
      </c>
      <c r="C3" s="298"/>
      <c r="D3" s="298"/>
      <c r="E3" s="298"/>
      <c r="F3" s="299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3" t="s">
        <v>231</v>
      </c>
      <c r="B5" s="303"/>
      <c r="C5" s="26">
        <v>5.96</v>
      </c>
      <c r="D5" s="304" t="s">
        <v>229</v>
      </c>
      <c r="E5" s="305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7"/>
      <c r="B6" s="97"/>
      <c r="C6" s="98"/>
      <c r="D6" s="91"/>
      <c r="E6" s="91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5.8" x14ac:dyDescent="0.3">
      <c r="A7" s="301" t="s">
        <v>226</v>
      </c>
      <c r="B7" s="301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0.5</v>
      </c>
      <c r="D9" s="36">
        <f t="shared" ref="D9:D18" si="0">C9*$C$5</f>
        <v>2.98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27</v>
      </c>
      <c r="C10" s="35">
        <v>0.2</v>
      </c>
      <c r="D10" s="36">
        <f t="shared" si="0"/>
        <v>1.1919999999999999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22</v>
      </c>
      <c r="C11" s="35">
        <v>0.15</v>
      </c>
      <c r="D11" s="36">
        <f t="shared" si="0"/>
        <v>0.89400000000000002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29</v>
      </c>
      <c r="C12" s="35">
        <v>7.4999999999999997E-2</v>
      </c>
      <c r="D12" s="36">
        <f t="shared" si="0"/>
        <v>0.44700000000000001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9"/>
      <c r="B19" s="39" t="s">
        <v>175</v>
      </c>
      <c r="C19" s="40">
        <f>SUM(C9:C18)</f>
        <v>0.92499999999999993</v>
      </c>
      <c r="D19" s="41">
        <f>SUM(D9:D18)</f>
        <v>5.5129999999999999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0" t="s">
        <v>232</v>
      </c>
      <c r="B22" s="300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0.1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2" t="s">
        <v>227</v>
      </c>
      <c r="B30" s="302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0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21</v>
      </c>
      <c r="B36" s="63">
        <f>10*21</f>
        <v>210</v>
      </c>
      <c r="C36" s="63">
        <v>1</v>
      </c>
      <c r="D36" s="63">
        <f>B36-147</f>
        <v>63</v>
      </c>
      <c r="E36" s="54"/>
      <c r="F36" s="54">
        <v>0.5</v>
      </c>
      <c r="G36" s="54">
        <v>0.5</v>
      </c>
      <c r="H36" s="92"/>
      <c r="I36" s="52">
        <f>IFERROR(B36/A36,"")</f>
        <v>10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28</v>
      </c>
      <c r="B37" s="63">
        <v>280</v>
      </c>
      <c r="C37" s="63">
        <v>2</v>
      </c>
      <c r="D37" s="63">
        <v>64</v>
      </c>
      <c r="E37" s="54"/>
      <c r="F37" s="54">
        <v>0.5</v>
      </c>
      <c r="G37" s="54">
        <v>0.5</v>
      </c>
      <c r="H37" s="92"/>
      <c r="I37" s="56">
        <f t="shared" ref="I37:I55" si="1">IF(A37&lt;&gt;0,(B37-(B36-D36))/(A37-A36),"")</f>
        <v>19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355</v>
      </c>
      <c r="C38" s="63">
        <v>3</v>
      </c>
      <c r="D38" s="63">
        <v>73</v>
      </c>
      <c r="E38" s="92"/>
      <c r="F38" s="92"/>
      <c r="G38" s="92"/>
      <c r="H38" s="92"/>
      <c r="I38" s="56">
        <f t="shared" si="1"/>
        <v>19.857142857142858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42</v>
      </c>
      <c r="B39" s="63">
        <v>419</v>
      </c>
      <c r="C39" s="63">
        <v>4</v>
      </c>
      <c r="D39" s="63">
        <v>77</v>
      </c>
      <c r="E39" s="92"/>
      <c r="F39" s="92"/>
      <c r="G39" s="92"/>
      <c r="H39" s="92"/>
      <c r="I39" s="52">
        <f t="shared" si="1"/>
        <v>19.571428571428573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49</v>
      </c>
      <c r="B40" s="63">
        <v>473</v>
      </c>
      <c r="C40" s="63">
        <v>5</v>
      </c>
      <c r="D40" s="63">
        <v>80</v>
      </c>
      <c r="E40" s="92"/>
      <c r="F40" s="92"/>
      <c r="G40" s="92"/>
      <c r="H40" s="92"/>
      <c r="I40" s="52">
        <f t="shared" si="1"/>
        <v>18.714285714285715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56</v>
      </c>
      <c r="B41" s="63">
        <v>514</v>
      </c>
      <c r="C41" s="63">
        <v>6</v>
      </c>
      <c r="D41" s="63">
        <v>85</v>
      </c>
      <c r="E41" s="92"/>
      <c r="F41" s="92"/>
      <c r="G41" s="92"/>
      <c r="H41" s="92"/>
      <c r="I41" s="56">
        <f t="shared" si="1"/>
        <v>17.285714285714285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63</v>
      </c>
      <c r="B42" s="63">
        <v>538</v>
      </c>
      <c r="C42" s="63">
        <v>7</v>
      </c>
      <c r="D42" s="63">
        <v>84</v>
      </c>
      <c r="E42" s="92"/>
      <c r="F42" s="92"/>
      <c r="G42" s="92"/>
      <c r="H42" s="92"/>
      <c r="I42" s="56">
        <f t="shared" si="1"/>
        <v>15.571428571428571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63">
        <v>70</v>
      </c>
      <c r="B43" s="63">
        <v>551</v>
      </c>
      <c r="C43" s="63">
        <v>8</v>
      </c>
      <c r="D43" s="63">
        <f>B43</f>
        <v>551</v>
      </c>
      <c r="E43" s="92"/>
      <c r="F43" s="92"/>
      <c r="G43" s="92"/>
      <c r="H43" s="92"/>
      <c r="I43" s="52">
        <f t="shared" si="1"/>
        <v>13.857142857142858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Mélèze d'Europe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0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18</v>
      </c>
      <c r="B62" s="63">
        <v>112</v>
      </c>
      <c r="C62" s="63">
        <v>1</v>
      </c>
      <c r="D62" s="63"/>
      <c r="E62" s="54"/>
      <c r="F62" s="54"/>
      <c r="G62" s="54"/>
      <c r="H62" s="54"/>
      <c r="I62" s="56">
        <f>IFERROR(B62/A62,"")</f>
        <v>6.2222222222222223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21</v>
      </c>
      <c r="B63" s="63">
        <f>146+20</f>
        <v>166</v>
      </c>
      <c r="C63" s="63">
        <v>2</v>
      </c>
      <c r="D63" s="63">
        <f>26+20</f>
        <v>46</v>
      </c>
      <c r="E63" s="54"/>
      <c r="F63" s="54">
        <v>0.5</v>
      </c>
      <c r="G63" s="54">
        <v>0.5</v>
      </c>
      <c r="H63" s="54"/>
      <c r="I63" s="52">
        <f>IF(A63&lt;&gt;0,(B63-(B62-D62))/(A63-A62),"")</f>
        <v>18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24</v>
      </c>
      <c r="B64" s="63">
        <f>168</f>
        <v>168</v>
      </c>
      <c r="C64" s="63">
        <v>3</v>
      </c>
      <c r="D64" s="63"/>
      <c r="E64" s="54"/>
      <c r="F64" s="54"/>
      <c r="G64" s="54"/>
      <c r="H64" s="54"/>
      <c r="I64" s="52">
        <f>IF(A64&lt;&gt;0,(B64-(B63-D63))/(A64-A63),"")</f>
        <v>16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f>224+29</f>
        <v>253</v>
      </c>
      <c r="C65" s="63">
        <v>4</v>
      </c>
      <c r="D65" s="63">
        <f>53+29</f>
        <v>82</v>
      </c>
      <c r="E65" s="54"/>
      <c r="F65" s="54">
        <v>0.5</v>
      </c>
      <c r="G65" s="54">
        <v>0.5</v>
      </c>
      <c r="H65" s="54"/>
      <c r="I65" s="52">
        <f>IF(A65&lt;&gt;0,(B65-(B64-D64))/(A65-A64),"")</f>
        <v>14.166666666666666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36</v>
      </c>
      <c r="B66" s="63">
        <v>248</v>
      </c>
      <c r="C66" s="63">
        <v>5</v>
      </c>
      <c r="D66" s="63">
        <v>62</v>
      </c>
      <c r="E66" s="54"/>
      <c r="F66" s="54"/>
      <c r="G66" s="54"/>
      <c r="H66" s="54"/>
      <c r="I66" s="52">
        <f t="shared" ref="I66:I81" si="2">IF(A66&lt;&gt;0,(B66-(B65-D65))/(A66-A65),"")</f>
        <v>12.833333333333334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42</v>
      </c>
      <c r="B67" s="63">
        <v>255</v>
      </c>
      <c r="C67" s="63">
        <v>6</v>
      </c>
      <c r="D67" s="63">
        <v>67</v>
      </c>
      <c r="E67" s="54"/>
      <c r="F67" s="54"/>
      <c r="G67" s="54"/>
      <c r="H67" s="54"/>
      <c r="I67" s="52">
        <f t="shared" si="2"/>
        <v>11.5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48</v>
      </c>
      <c r="B68" s="63">
        <v>252</v>
      </c>
      <c r="C68" s="63">
        <v>7</v>
      </c>
      <c r="D68" s="63">
        <v>65</v>
      </c>
      <c r="E68" s="54"/>
      <c r="F68" s="54"/>
      <c r="G68" s="54"/>
      <c r="H68" s="54"/>
      <c r="I68" s="52">
        <f t="shared" si="2"/>
        <v>10.666666666666666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2">
        <v>60</v>
      </c>
      <c r="B69" s="63">
        <v>304</v>
      </c>
      <c r="C69" s="63">
        <v>8</v>
      </c>
      <c r="D69" s="63">
        <f>B69</f>
        <v>304</v>
      </c>
      <c r="E69" s="54"/>
      <c r="F69" s="54"/>
      <c r="G69" s="54"/>
      <c r="H69" s="54"/>
      <c r="I69" s="52">
        <f t="shared" si="2"/>
        <v>9.75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plane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0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37</v>
      </c>
      <c r="C88" s="63"/>
      <c r="D88" s="63"/>
      <c r="E88" s="54"/>
      <c r="F88" s="54"/>
      <c r="G88" s="54"/>
      <c r="H88" s="54"/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80</v>
      </c>
      <c r="C89" s="63">
        <v>1</v>
      </c>
      <c r="D89" s="63">
        <f>15+28</f>
        <v>43</v>
      </c>
      <c r="E89" s="54"/>
      <c r="F89" s="54"/>
      <c r="G89" s="54"/>
      <c r="H89" s="54">
        <v>1</v>
      </c>
      <c r="I89" s="56">
        <f t="shared" ref="I89:I107" si="3">IF(A89&lt;&gt;0,(B89-(B88-D88))/(A89-A88),"")</f>
        <v>8.6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115</v>
      </c>
      <c r="C90" s="63"/>
      <c r="D90" s="63"/>
      <c r="E90" s="54"/>
      <c r="F90" s="54"/>
      <c r="G90" s="54"/>
      <c r="H90" s="54"/>
      <c r="I90" s="56">
        <f t="shared" si="3"/>
        <v>15.6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3">
        <v>147</v>
      </c>
      <c r="C91" s="63">
        <v>2</v>
      </c>
      <c r="D91" s="63">
        <f>28+28</f>
        <v>56</v>
      </c>
      <c r="E91" s="54"/>
      <c r="F91" s="54"/>
      <c r="G91" s="54"/>
      <c r="H91" s="54">
        <v>1</v>
      </c>
      <c r="I91" s="56">
        <f t="shared" si="3"/>
        <v>6.4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3">
        <v>172</v>
      </c>
      <c r="C92" s="63"/>
      <c r="D92" s="63"/>
      <c r="E92" s="54"/>
      <c r="F92" s="54"/>
      <c r="G92" s="54"/>
      <c r="H92" s="54"/>
      <c r="I92" s="56">
        <f t="shared" si="3"/>
        <v>16.2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3">
        <v>192</v>
      </c>
      <c r="C93" s="63">
        <v>3</v>
      </c>
      <c r="D93" s="63">
        <f>28+28</f>
        <v>56</v>
      </c>
      <c r="E93" s="54"/>
      <c r="F93" s="54"/>
      <c r="G93" s="54"/>
      <c r="H93" s="54"/>
      <c r="I93" s="56">
        <f t="shared" si="3"/>
        <v>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45</v>
      </c>
      <c r="B94" s="63">
        <v>205</v>
      </c>
      <c r="C94" s="53"/>
      <c r="D94" s="63"/>
      <c r="E94" s="54"/>
      <c r="F94" s="54"/>
      <c r="G94" s="54"/>
      <c r="H94" s="54"/>
      <c r="I94" s="56">
        <f t="shared" si="3"/>
        <v>13.8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50</v>
      </c>
      <c r="B95" s="63">
        <v>218</v>
      </c>
      <c r="C95" s="53">
        <v>4</v>
      </c>
      <c r="D95" s="63">
        <v>39</v>
      </c>
      <c r="E95" s="54"/>
      <c r="F95" s="54"/>
      <c r="G95" s="54"/>
      <c r="H95" s="54"/>
      <c r="I95" s="56">
        <f t="shared" si="3"/>
        <v>2.6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55</v>
      </c>
      <c r="B96" s="63">
        <v>233</v>
      </c>
      <c r="C96" s="53"/>
      <c r="D96" s="63"/>
      <c r="E96" s="54"/>
      <c r="F96" s="54"/>
      <c r="G96" s="54"/>
      <c r="H96" s="54"/>
      <c r="I96" s="56">
        <f t="shared" si="3"/>
        <v>10.8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60</v>
      </c>
      <c r="B97" s="63">
        <v>245</v>
      </c>
      <c r="C97" s="53">
        <v>5</v>
      </c>
      <c r="D97" s="63">
        <v>25</v>
      </c>
      <c r="E97" s="54"/>
      <c r="F97" s="54"/>
      <c r="G97" s="54"/>
      <c r="H97" s="54"/>
      <c r="I97" s="56">
        <f t="shared" si="3"/>
        <v>2.4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65</v>
      </c>
      <c r="B98" s="63">
        <v>255</v>
      </c>
      <c r="C98" s="53"/>
      <c r="D98" s="63"/>
      <c r="E98" s="54"/>
      <c r="F98" s="54"/>
      <c r="G98" s="54"/>
      <c r="H98" s="54"/>
      <c r="I98" s="56">
        <f t="shared" si="3"/>
        <v>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70</v>
      </c>
      <c r="B99" s="63">
        <v>263</v>
      </c>
      <c r="C99" s="53">
        <v>6</v>
      </c>
      <c r="D99" s="63">
        <v>21</v>
      </c>
      <c r="E99" s="54"/>
      <c r="F99" s="54"/>
      <c r="G99" s="54"/>
      <c r="H99" s="54"/>
      <c r="I99" s="56">
        <f t="shared" si="3"/>
        <v>1.6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75</v>
      </c>
      <c r="B100" s="63">
        <v>270</v>
      </c>
      <c r="C100" s="53">
        <v>7</v>
      </c>
      <c r="D100" s="63">
        <v>9</v>
      </c>
      <c r="E100" s="54"/>
      <c r="F100" s="54"/>
      <c r="G100" s="54"/>
      <c r="H100" s="54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80</v>
      </c>
      <c r="B101" s="63">
        <v>276</v>
      </c>
      <c r="C101" s="53">
        <v>8</v>
      </c>
      <c r="D101" s="63">
        <v>276</v>
      </c>
      <c r="E101" s="54"/>
      <c r="F101" s="54"/>
      <c r="G101" s="54"/>
      <c r="H101" s="54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Merisier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0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3">
        <v>40</v>
      </c>
      <c r="C114" s="53"/>
      <c r="D114" s="63"/>
      <c r="E114" s="54"/>
      <c r="F114" s="54"/>
      <c r="G114" s="54"/>
      <c r="H114" s="54"/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3">
        <f>85+3</f>
        <v>88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3">
        <f>113+3+25</f>
        <v>141</v>
      </c>
      <c r="C116" s="53">
        <v>1</v>
      </c>
      <c r="D116" s="63">
        <f>3+25+27</f>
        <v>55</v>
      </c>
      <c r="E116" s="54"/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31</v>
      </c>
      <c r="B117" s="63">
        <v>155</v>
      </c>
      <c r="C117" s="53">
        <v>2</v>
      </c>
      <c r="D117" s="63">
        <v>36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37</v>
      </c>
      <c r="B118" s="63">
        <v>188</v>
      </c>
      <c r="C118" s="53">
        <v>3</v>
      </c>
      <c r="D118" s="63">
        <v>36</v>
      </c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44</v>
      </c>
      <c r="B119" s="63">
        <v>230</v>
      </c>
      <c r="C119" s="53">
        <v>4</v>
      </c>
      <c r="D119" s="63">
        <v>43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52</v>
      </c>
      <c r="B120" s="63">
        <v>270</v>
      </c>
      <c r="C120" s="63">
        <v>5</v>
      </c>
      <c r="D120" s="63">
        <v>48</v>
      </c>
      <c r="E120" s="92"/>
      <c r="F120" s="92"/>
      <c r="G120" s="92"/>
      <c r="H120" s="92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60</v>
      </c>
      <c r="B121" s="63">
        <v>297</v>
      </c>
      <c r="C121" s="63">
        <v>6</v>
      </c>
      <c r="D121" s="63">
        <v>47</v>
      </c>
      <c r="E121" s="92"/>
      <c r="F121" s="92"/>
      <c r="G121" s="92"/>
      <c r="H121" s="92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69</v>
      </c>
      <c r="B122" s="63">
        <v>328</v>
      </c>
      <c r="C122" s="63">
        <v>7</v>
      </c>
      <c r="D122" s="63">
        <f>B122</f>
        <v>328</v>
      </c>
      <c r="E122" s="92"/>
      <c r="F122" s="92"/>
      <c r="G122" s="92"/>
      <c r="H122" s="92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53"/>
      <c r="C123" s="53"/>
      <c r="D123" s="53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53"/>
      <c r="C124" s="53"/>
      <c r="D124" s="53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53"/>
      <c r="C125" s="53"/>
      <c r="D125" s="53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53"/>
      <c r="C126" s="53"/>
      <c r="D126" s="53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53"/>
      <c r="C127" s="53"/>
      <c r="D127" s="53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0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0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0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0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3"/>
      <c r="B231" s="63"/>
      <c r="C231" s="93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0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3"/>
      <c r="B257" s="63"/>
      <c r="C257" s="93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0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9" sqref="F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3">
      <c r="A8" s="113">
        <v>1</v>
      </c>
      <c r="B8" s="64">
        <v>0</v>
      </c>
      <c r="C8" s="52" t="s">
        <v>177</v>
      </c>
      <c r="D8" s="25"/>
      <c r="E8" s="113">
        <v>4</v>
      </c>
      <c r="F8" s="64">
        <v>1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1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3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4">
        <f>SUM(B16:B18)</f>
        <v>0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0" bestFit="1" customWidth="1"/>
    <col min="2" max="4" width="11.44140625" style="70"/>
    <col min="5" max="5" width="9.5546875" style="70" customWidth="1"/>
    <col min="6" max="7" width="11.44140625" style="70"/>
    <col min="8" max="8" width="10.6640625" style="70" customWidth="1"/>
    <col min="9" max="9" width="9.44140625" style="70" customWidth="1"/>
    <col min="10" max="11" width="10.5546875" style="70" bestFit="1" customWidth="1"/>
    <col min="12" max="12" width="14" style="70" bestFit="1" customWidth="1"/>
    <col min="13" max="13" width="14" style="70" customWidth="1"/>
    <col min="14" max="23" width="11.44140625" style="70"/>
    <col min="24" max="24" width="11.6640625" style="70" bestFit="1" customWidth="1"/>
    <col min="25" max="25" width="14.5546875" style="70" bestFit="1" customWidth="1"/>
    <col min="26" max="26" width="12.44140625" style="70" bestFit="1" customWidth="1"/>
    <col min="27" max="27" width="9.6640625" style="70" bestFit="1" customWidth="1"/>
    <col min="28" max="28" width="11" style="70" bestFit="1" customWidth="1"/>
    <col min="29" max="29" width="9.44140625" style="70" bestFit="1" customWidth="1"/>
    <col min="30" max="31" width="9.44140625" style="70" customWidth="1"/>
    <col min="32" max="32" width="11.44140625" style="70"/>
    <col min="33" max="34" width="14" style="70" bestFit="1" customWidth="1"/>
    <col min="35" max="35" width="10.5546875" style="70" bestFit="1" customWidth="1"/>
    <col min="36" max="36" width="9.44140625" style="70" bestFit="1" customWidth="1"/>
    <col min="37" max="38" width="10.5546875" style="70" bestFit="1" customWidth="1"/>
    <col min="39" max="41" width="10.5546875" style="70" customWidth="1"/>
    <col min="42" max="42" width="9" style="70" bestFit="1" customWidth="1"/>
    <col min="43" max="43" width="10.5546875" style="70" bestFit="1" customWidth="1"/>
    <col min="44" max="44" width="9.33203125" style="70" bestFit="1" customWidth="1"/>
    <col min="45" max="45" width="11.6640625" style="70" bestFit="1" customWidth="1"/>
    <col min="46" max="46" width="8.44140625" style="70" bestFit="1" customWidth="1"/>
    <col min="47" max="47" width="9.44140625" style="70" bestFit="1" customWidth="1"/>
    <col min="48" max="48" width="9.6640625" style="70" bestFit="1" customWidth="1"/>
    <col min="49" max="49" width="11" style="70" bestFit="1" customWidth="1"/>
    <col min="50" max="50" width="9.44140625" style="70" bestFit="1" customWidth="1"/>
    <col min="51" max="52" width="9.44140625" style="70" customWidth="1"/>
    <col min="53" max="53" width="10.5546875" style="70" bestFit="1" customWidth="1"/>
    <col min="54" max="54" width="14.33203125" style="70" customWidth="1"/>
    <col min="55" max="55" width="14" style="70" customWidth="1"/>
    <col min="56" max="56" width="10.5546875" style="70" bestFit="1" customWidth="1"/>
    <col min="57" max="57" width="9.44140625" style="70" bestFit="1" customWidth="1"/>
    <col min="58" max="59" width="10.5546875" style="70" bestFit="1" customWidth="1"/>
    <col min="60" max="62" width="10.5546875" style="70" customWidth="1"/>
    <col min="63" max="63" width="9" style="70" bestFit="1" customWidth="1"/>
    <col min="64" max="64" width="10.5546875" style="70" bestFit="1" customWidth="1"/>
    <col min="65" max="65" width="9.33203125" style="70" bestFit="1" customWidth="1"/>
    <col min="66" max="66" width="11.6640625" style="70" bestFit="1" customWidth="1"/>
    <col min="67" max="67" width="8.44140625" style="70" bestFit="1" customWidth="1"/>
    <col min="68" max="68" width="9.44140625" style="70" bestFit="1" customWidth="1"/>
    <col min="69" max="69" width="9.6640625" style="70" bestFit="1" customWidth="1"/>
    <col min="70" max="70" width="11" style="70" bestFit="1" customWidth="1"/>
    <col min="71" max="71" width="9.44140625" style="70" bestFit="1" customWidth="1"/>
    <col min="72" max="73" width="9.44140625" style="70" customWidth="1"/>
    <col min="74" max="74" width="10.5546875" style="70" bestFit="1" customWidth="1"/>
    <col min="75" max="75" width="14" style="70" bestFit="1" customWidth="1"/>
    <col min="76" max="76" width="13.88671875" style="70" customWidth="1"/>
    <col min="77" max="77" width="10.5546875" style="70" bestFit="1" customWidth="1"/>
    <col min="78" max="78" width="9.44140625" style="70" bestFit="1" customWidth="1"/>
    <col min="79" max="80" width="10.5546875" style="70" bestFit="1" customWidth="1"/>
    <col min="81" max="83" width="10.5546875" style="70" customWidth="1"/>
    <col min="84" max="84" width="11.44140625" style="70"/>
    <col min="85" max="85" width="10.5546875" style="70" bestFit="1" customWidth="1"/>
    <col min="86" max="86" width="9.33203125" style="70" bestFit="1" customWidth="1"/>
    <col min="87" max="87" width="11.6640625" style="70" bestFit="1" customWidth="1"/>
    <col min="88" max="88" width="8.44140625" style="70" bestFit="1" customWidth="1"/>
    <col min="89" max="89" width="9.44140625" style="70" bestFit="1" customWidth="1"/>
    <col min="90" max="90" width="9.6640625" style="70" bestFit="1" customWidth="1"/>
    <col min="91" max="91" width="11" style="70" bestFit="1" customWidth="1"/>
    <col min="92" max="92" width="9.44140625" style="70" bestFit="1" customWidth="1"/>
    <col min="93" max="94" width="9.44140625" style="70" customWidth="1"/>
    <col min="95" max="95" width="11.44140625" style="70"/>
    <col min="96" max="97" width="14" style="70" customWidth="1"/>
    <col min="98" max="98" width="10.5546875" style="70" bestFit="1" customWidth="1"/>
    <col min="99" max="99" width="9.44140625" style="70" bestFit="1" customWidth="1"/>
    <col min="100" max="101" width="10.5546875" style="70" bestFit="1" customWidth="1"/>
    <col min="102" max="104" width="10.5546875" style="70" customWidth="1"/>
    <col min="105" max="105" width="9" style="70" bestFit="1" customWidth="1"/>
    <col min="106" max="106" width="10.5546875" style="70" bestFit="1" customWidth="1"/>
    <col min="107" max="107" width="9.33203125" style="70" bestFit="1" customWidth="1"/>
    <col min="108" max="108" width="11.6640625" style="70" bestFit="1" customWidth="1"/>
    <col min="109" max="109" width="8.44140625" style="70" bestFit="1" customWidth="1"/>
    <col min="110" max="110" width="9.44140625" style="70" bestFit="1" customWidth="1"/>
    <col min="111" max="111" width="9.6640625" style="70" bestFit="1" customWidth="1"/>
    <col min="112" max="112" width="11" style="70" bestFit="1" customWidth="1"/>
    <col min="113" max="113" width="9.44140625" style="70" bestFit="1" customWidth="1"/>
    <col min="114" max="115" width="9.44140625" style="70" customWidth="1"/>
    <col min="116" max="116" width="10.5546875" style="70" bestFit="1" customWidth="1"/>
    <col min="117" max="117" width="14.33203125" style="70" customWidth="1"/>
    <col min="118" max="118" width="14" style="70" bestFit="1" customWidth="1"/>
    <col min="119" max="119" width="10.5546875" style="70" bestFit="1" customWidth="1"/>
    <col min="120" max="120" width="9.44140625" style="70" bestFit="1" customWidth="1"/>
    <col min="121" max="122" width="10.5546875" style="70" bestFit="1" customWidth="1"/>
    <col min="123" max="125" width="10.5546875" style="70" customWidth="1"/>
    <col min="126" max="126" width="9" style="70" bestFit="1" customWidth="1"/>
    <col min="127" max="127" width="10.5546875" style="70" bestFit="1" customWidth="1"/>
    <col min="128" max="128" width="9.33203125" style="70" bestFit="1" customWidth="1"/>
    <col min="129" max="129" width="11.6640625" style="70" bestFit="1" customWidth="1"/>
    <col min="130" max="130" width="8.44140625" style="70" bestFit="1" customWidth="1"/>
    <col min="131" max="131" width="9.44140625" style="70" bestFit="1" customWidth="1"/>
    <col min="132" max="132" width="9.6640625" style="70" bestFit="1" customWidth="1"/>
    <col min="133" max="133" width="11" style="70" bestFit="1" customWidth="1"/>
    <col min="134" max="134" width="9.44140625" style="70" bestFit="1" customWidth="1"/>
    <col min="135" max="136" width="9.44140625" style="70" customWidth="1"/>
    <col min="137" max="137" width="10.5546875" style="70" bestFit="1" customWidth="1"/>
    <col min="138" max="139" width="14" style="70" customWidth="1"/>
    <col min="140" max="140" width="10.5546875" style="70" bestFit="1" customWidth="1"/>
    <col min="141" max="141" width="9.44140625" style="70" bestFit="1" customWidth="1"/>
    <col min="142" max="143" width="10.5546875" style="70" bestFit="1" customWidth="1"/>
    <col min="144" max="146" width="10.5546875" style="70" customWidth="1"/>
    <col min="147" max="147" width="9" style="70" bestFit="1" customWidth="1"/>
    <col min="148" max="148" width="10.5546875" style="70" bestFit="1" customWidth="1"/>
    <col min="149" max="149" width="9.33203125" style="70" bestFit="1" customWidth="1"/>
    <col min="150" max="150" width="11.6640625" style="70" bestFit="1" customWidth="1"/>
    <col min="151" max="151" width="8.44140625" style="70" bestFit="1" customWidth="1"/>
    <col min="152" max="152" width="9.44140625" style="70" bestFit="1" customWidth="1"/>
    <col min="153" max="153" width="9.6640625" style="70" bestFit="1" customWidth="1"/>
    <col min="154" max="154" width="11" style="70" bestFit="1" customWidth="1"/>
    <col min="155" max="155" width="9.44140625" style="70" bestFit="1" customWidth="1"/>
    <col min="156" max="157" width="9.44140625" style="70" customWidth="1"/>
    <col min="158" max="158" width="11.44140625" style="70"/>
    <col min="159" max="160" width="14" style="70" bestFit="1" customWidth="1"/>
    <col min="161" max="161" width="10.5546875" style="70" bestFit="1" customWidth="1"/>
    <col min="162" max="162" width="9.44140625" style="70" bestFit="1" customWidth="1"/>
    <col min="163" max="164" width="10.5546875" style="70" bestFit="1" customWidth="1"/>
    <col min="165" max="167" width="10.5546875" style="70" customWidth="1"/>
    <col min="168" max="168" width="9" style="70" bestFit="1" customWidth="1"/>
    <col min="169" max="169" width="10.5546875" style="70" bestFit="1" customWidth="1"/>
    <col min="170" max="170" width="9.33203125" style="70" bestFit="1" customWidth="1"/>
    <col min="171" max="171" width="11.6640625" style="70" bestFit="1" customWidth="1"/>
    <col min="172" max="172" width="8.109375" style="70" bestFit="1" customWidth="1"/>
    <col min="173" max="173" width="9.44140625" style="70" bestFit="1" customWidth="1"/>
    <col min="174" max="174" width="9.6640625" style="70" bestFit="1" customWidth="1"/>
    <col min="175" max="175" width="11" style="70" bestFit="1" customWidth="1"/>
    <col min="176" max="176" width="9.44140625" style="70" bestFit="1" customWidth="1"/>
    <col min="177" max="178" width="9.44140625" style="70" customWidth="1"/>
    <col min="179" max="179" width="10.5546875" style="70" bestFit="1" customWidth="1"/>
    <col min="180" max="181" width="14" style="70" bestFit="1" customWidth="1"/>
    <col min="182" max="182" width="10.5546875" style="70" bestFit="1" customWidth="1"/>
    <col min="183" max="183" width="9.44140625" style="70" bestFit="1" customWidth="1"/>
    <col min="184" max="185" width="10.5546875" style="70" bestFit="1" customWidth="1"/>
    <col min="186" max="188" width="10.5546875" style="70" customWidth="1"/>
    <col min="189" max="189" width="9" style="70" bestFit="1" customWidth="1"/>
    <col min="190" max="190" width="10.5546875" style="70" bestFit="1" customWidth="1"/>
    <col min="191" max="191" width="9.33203125" style="70" bestFit="1" customWidth="1"/>
    <col min="192" max="192" width="11.44140625" style="70"/>
    <col min="193" max="193" width="8.44140625" style="70" bestFit="1" customWidth="1"/>
    <col min="194" max="194" width="9.44140625" style="70" bestFit="1" customWidth="1"/>
    <col min="195" max="195" width="9.6640625" style="70" bestFit="1" customWidth="1"/>
    <col min="196" max="196" width="11" style="70" bestFit="1" customWidth="1"/>
    <col min="197" max="197" width="9.44140625" style="70" bestFit="1" customWidth="1"/>
    <col min="198" max="199" width="9.44140625" style="70" customWidth="1"/>
    <col min="200" max="200" width="10.5546875" style="70" bestFit="1" customWidth="1"/>
    <col min="201" max="201" width="14" style="70" customWidth="1"/>
    <col min="202" max="202" width="14.33203125" style="70" customWidth="1"/>
    <col min="203" max="203" width="10.5546875" style="70" bestFit="1" customWidth="1"/>
    <col min="204" max="204" width="9.44140625" style="70" bestFit="1" customWidth="1"/>
    <col min="205" max="206" width="10.5546875" style="70" bestFit="1" customWidth="1"/>
    <col min="207" max="209" width="10.5546875" style="70" customWidth="1"/>
    <col min="210" max="210" width="9" style="70" bestFit="1" customWidth="1"/>
    <col min="211" max="211" width="10.5546875" style="70" bestFit="1" customWidth="1"/>
    <col min="212" max="212" width="9.33203125" style="70" bestFit="1" customWidth="1"/>
    <col min="213" max="213" width="11.6640625" style="70" bestFit="1" customWidth="1"/>
    <col min="214" max="214" width="8.44140625" style="70" bestFit="1" customWidth="1"/>
    <col min="215" max="215" width="9.44140625" style="70" bestFit="1" customWidth="1"/>
    <col min="216" max="216" width="9.6640625" style="70" bestFit="1" customWidth="1"/>
    <col min="217" max="217" width="11" style="70" bestFit="1" customWidth="1"/>
    <col min="218" max="218" width="9.44140625" style="70" bestFit="1" customWidth="1"/>
    <col min="219" max="16384" width="11.44140625" style="70"/>
  </cols>
  <sheetData>
    <row r="1" spans="1:218" s="5" customFormat="1" ht="26.4" thickBot="1" x14ac:dyDescent="0.55000000000000004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Douglas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Mélèze d'Europe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Erable plane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Merisier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58.2" thickBot="1" x14ac:dyDescent="0.35">
      <c r="A2" s="74" t="s">
        <v>178</v>
      </c>
      <c r="B2" s="75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8" t="s">
        <v>299</v>
      </c>
      <c r="I2" s="71" t="s">
        <v>298</v>
      </c>
      <c r="J2" s="72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298</v>
      </c>
      <c r="AE2" s="72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298</v>
      </c>
      <c r="AZ2" s="72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298</v>
      </c>
      <c r="BU2" s="72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298</v>
      </c>
      <c r="CP2" s="72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298</v>
      </c>
      <c r="DK2" s="72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298</v>
      </c>
      <c r="EF2" s="72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298</v>
      </c>
      <c r="FA2" s="72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298</v>
      </c>
      <c r="FV2" s="72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298</v>
      </c>
      <c r="GQ2" s="72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6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9">
        <f>(B3+E3+F3)*44/12+(C3+D3)*0.475*44/12</f>
        <v>293.33333333333331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302.20483575440988</v>
      </c>
      <c r="T3" s="62">
        <f>IF('Données projet'!E9&gt;30,$R$33-$H$33,LOOKUP('Données projet'!$E$9,$A$3:$A$203,R3:R203)-LOOKUP('Données projet'!$E$9,$A$3:$A$203,$H$3:$H$203))</f>
        <v>275.32862097158687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180.20749454145079</v>
      </c>
      <c r="AO3" s="62">
        <f>IF('Données projet'!E10&gt;30,$AM$33-$H$33,LOOKUP('Données projet'!$E$10,$A$3:$A$203,AM3:AM203)-LOOKUP('Données projet'!$E$10,$A$3:$A$203,$H$3:$H$203))</f>
        <v>307.23455947678775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219.61164494001008</v>
      </c>
      <c r="BJ3" s="62">
        <f>IF('Données projet'!E11&gt;30,$BH$33-$H$33,LOOKUP('Données projet'!$E$11,$A$3:$A$203,BH3:BH203)-LOOKUP('Données projet'!$E$11,$A$3:$A$203,$H$3:$H$203))</f>
        <v>219.59799863414111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220.70608186257931</v>
      </c>
      <c r="CE3" s="62">
        <f>IF('Données projet'!E12&gt;30,$CC$33-$H$33,LOOKUP('Données projet'!$E$12,$A$3:$A$203,CC3:CC203)-LOOKUP('Données projet'!$E$12,$A$3:$A$203,$H$3:$H$203))</f>
        <v>208.79744153433245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6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9">
        <f t="shared" ref="H4:H67" si="1">(B4+E4+F4)*44/12+(C4+D4)*0.475*44/12</f>
        <v>294.75450271279925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10</v>
      </c>
      <c r="N4" s="14">
        <f>IF('Données projet'!$A$36&gt;35,N3+M4-V3,IF(A4&lt;'Données projet'!$A$36,$K$205^A4,IF(A4='Données projet'!$A$36,'Données projet'!$B$36,N3+M4-V3)))</f>
        <v>1.289976715395158</v>
      </c>
      <c r="O4" s="14">
        <f>N4*VLOOKUP('Données projet'!$B$9,Paramètres!$A$1:$I$89,3,0)*VLOOKUP('Données projet'!$B$9,Paramètres!$A$1:$I$89,5,0)</f>
        <v>0.72109698390589339</v>
      </c>
      <c r="P4" s="14">
        <f>EXP(-1.0587+0.8836*LN(O4)+0.284)</f>
        <v>0.34520357101002697</v>
      </c>
      <c r="Q4" s="22">
        <f t="shared" ref="Q4:Q34" si="2">(O4+P4)*0.475*44/12</f>
        <v>1.8571401331452277</v>
      </c>
      <c r="R4" s="62">
        <f t="shared" si="0"/>
        <v>295.19047346647852</v>
      </c>
      <c r="S4" s="62">
        <f ca="1">AVERAGE(OFFSET($R$3,0,0,'Données projet'!$E$9+1,1))-AVERAGE(OFFSET($H$3,0,0,'Données projet'!$E$9+1,1))</f>
        <v>302.20483575440988</v>
      </c>
      <c r="T4" s="62">
        <f>$T$3</f>
        <v>275.32862097158687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6.2222222222222223</v>
      </c>
      <c r="AI4" s="14">
        <f>IF('Données projet'!$A$62&gt;35,AI3+AH4-AQ3,IF(A4&lt;'Données projet'!$A$62,$AF$205^A4,IF(A4='Données projet'!$A$62,'Données projet'!$B$62,AI3+AH4-AQ3)))</f>
        <v>1.2997069632623315</v>
      </c>
      <c r="AJ4" s="14">
        <f>AI4*VLOOKUP('Données projet'!$B$10,Paramètres!$A$1:$I$89,3,0)*VLOOKUP('Données projet'!$B$10,Paramètres!$A$1:$I$89,5,0)</f>
        <v>0.81101714507569489</v>
      </c>
      <c r="AK4" s="14">
        <f>EXP(-1.0587+0.8836*LN(AJ4)+0.284)</f>
        <v>0.38297551084354686</v>
      </c>
      <c r="AL4" s="22">
        <f t="shared" ref="AL4:AL67" si="4">(AJ4+AK4)*0.475*44/12</f>
        <v>2.0795372090593456</v>
      </c>
      <c r="AM4" s="62">
        <f t="shared" ref="AM4:AM67" si="5">AL4+(AD4+AE4)*44/12</f>
        <v>295.41287054239268</v>
      </c>
      <c r="AN4" s="62">
        <f ca="1">AVERAGE(OFFSET($AM$3,0,0,'Données projet'!$E$10+1,1))-AVERAGE(OFFSET($H$3,0,0,'Données projet'!$E$10+1,1))</f>
        <v>180.20749454145079</v>
      </c>
      <c r="AO4" s="62">
        <f>$AO$3</f>
        <v>307.23455947678775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1.0121422546683387</v>
      </c>
      <c r="BF4" s="14">
        <f>EXP(-1.0587+0.8836*LN(BE4)+0.284)</f>
        <v>0.46578286063395047</v>
      </c>
      <c r="BG4" s="22">
        <f t="shared" ref="BG4:BG67" si="7">(BE4+BF4)*0.475*44/12</f>
        <v>2.574052909151487</v>
      </c>
      <c r="BH4" s="62">
        <f t="shared" ref="BH4:BH67" si="8">BG4+(AY4+AZ4)*44/12</f>
        <v>295.90738624248479</v>
      </c>
      <c r="BI4" s="62">
        <f ca="1">AVERAGE(OFFSET($BH$3,0,0,'Données projet'!$E$11+1,1))-AVERAGE(OFFSET($H$3,0,0,'Données projet'!$E$11+1,1))</f>
        <v>219.61164494001008</v>
      </c>
      <c r="BJ4" s="62">
        <f>$BJ$3</f>
        <v>219.59799863414111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295.87142521462209</v>
      </c>
      <c r="CD4" s="62">
        <f ca="1">AVERAGE(OFFSET($CC$3,0,0,'Données projet'!$E$12+1,1))-AVERAGE(OFFSET($H$3,0,0,'Données projet'!$E$12+1,1))</f>
        <v>220.70608186257931</v>
      </c>
      <c r="CE4" s="62">
        <f>$CE$3</f>
        <v>208.79744153433245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6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9">
        <f t="shared" si="1"/>
        <v>296.10277557080786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10</v>
      </c>
      <c r="N5" s="14">
        <f>IF('Données projet'!$A$36&gt;35,N4+M5-V4,IF(A5&lt;'Données projet'!$A$36,$K$205^A5,IF(A5='Données projet'!$A$36,'Données projet'!$B$36,N4+M5-V4)))</f>
        <v>1.6640399262616805</v>
      </c>
      <c r="O5" s="14">
        <f>N5*VLOOKUP('Données projet'!$B$9,Paramètres!$A$1:$I$89,3,0)*VLOOKUP('Données projet'!$B$9,Paramètres!$A$1:$I$89,5,0)</f>
        <v>0.93019831878027937</v>
      </c>
      <c r="P5" s="14">
        <f t="shared" ref="P5:P68" si="33">EXP(-1.0587+0.8836*LN(O5)+0.284)</f>
        <v>0.43230018467776149</v>
      </c>
      <c r="Q5" s="22">
        <f t="shared" si="2"/>
        <v>2.3730182268560873</v>
      </c>
      <c r="R5" s="62">
        <f t="shared" si="0"/>
        <v>295.70635156018938</v>
      </c>
      <c r="S5" s="62">
        <f ca="1">AVERAGE(OFFSET($R$3,0,0,'Données projet'!$E$9+1,1))-AVERAGE(OFFSET($H$3,0,0,'Données projet'!$E$9+1,1))</f>
        <v>302.20483575440988</v>
      </c>
      <c r="T5" s="62">
        <f t="shared" ref="T5:T68" si="34">$T$3</f>
        <v>275.32862097158687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6.2222222222222223</v>
      </c>
      <c r="AI5" s="14">
        <f>IF('Données projet'!$A$62&gt;35,AI4+AH5-AQ4,IF(A5&lt;'Données projet'!$A$62,$AF$205^A5,IF(A5='Données projet'!$A$62,'Données projet'!$B$62,AI4+AH5-AQ4)))</f>
        <v>1.6892381903525915</v>
      </c>
      <c r="AJ5" s="14">
        <f>AI5*VLOOKUP('Données projet'!$B$10,Paramètres!$A$1:$I$89,3,0)*VLOOKUP('Données projet'!$B$10,Paramètres!$A$1:$I$89,5,0)</f>
        <v>1.0540846307800171</v>
      </c>
      <c r="AK5" s="14">
        <f t="shared" ref="AK5:AK68" si="35">EXP(-1.0587+0.8836*LN(AJ5)+0.284)</f>
        <v>0.48279730809434274</v>
      </c>
      <c r="AL5" s="22">
        <f t="shared" si="4"/>
        <v>2.6767360435395098</v>
      </c>
      <c r="AM5" s="62">
        <f t="shared" si="5"/>
        <v>296.01006937687282</v>
      </c>
      <c r="AN5" s="62">
        <f ca="1">AVERAGE(OFFSET($AM$3,0,0,'Données projet'!$E$10+1,1))-AVERAGE(OFFSET($H$3,0,0,'Données projet'!$E$10+1,1))</f>
        <v>180.20749454145079</v>
      </c>
      <c r="AO5" s="62">
        <f t="shared" ref="AO5:AO68" si="36">$AO$3</f>
        <v>307.23455947678775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1.2876218497801761</v>
      </c>
      <c r="BF5" s="14">
        <f t="shared" ref="BF5:BF68" si="37">EXP(-1.0587+0.8836*LN(BE5)+0.284)</f>
        <v>0.57618379541883336</v>
      </c>
      <c r="BG5" s="22">
        <f t="shared" si="7"/>
        <v>3.2461281653882743</v>
      </c>
      <c r="BH5" s="62">
        <f t="shared" si="8"/>
        <v>296.57946149872157</v>
      </c>
      <c r="BI5" s="62">
        <f ca="1">AVERAGE(OFFSET($BH$3,0,0,'Données projet'!$E$11+1,1))-AVERAGE(OFFSET($H$3,0,0,'Données projet'!$E$11+1,1))</f>
        <v>219.61164494001008</v>
      </c>
      <c r="BJ5" s="62">
        <f t="shared" ref="BJ5:BJ68" si="38">$BJ$3</f>
        <v>219.59799863414111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296.55015514501702</v>
      </c>
      <c r="CD5" s="62">
        <f ca="1">AVERAGE(OFFSET($CC$3,0,0,'Données projet'!$E$12+1,1))-AVERAGE(OFFSET($H$3,0,0,'Données projet'!$E$12+1,1))</f>
        <v>220.70608186257931</v>
      </c>
      <c r="CE5" s="62">
        <f t="shared" ref="CE5:CE68" si="40">$CE$3</f>
        <v>208.79744153433245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6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9">
        <f t="shared" si="1"/>
        <v>297.42750651156223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10</v>
      </c>
      <c r="N6" s="14">
        <f>IF('Données projet'!$A$36&gt;35,N5+M6-V5,IF(A6&lt;'Données projet'!$A$36,$K$205^A6,IF(A6='Données projet'!$A$36,'Données projet'!$B$36,N5+M6-V5)))</f>
        <v>2.1465727583654437</v>
      </c>
      <c r="O6" s="14">
        <f>N6*VLOOKUP('Données projet'!$B$9,Paramètres!$A$1:$I$89,3,0)*VLOOKUP('Données projet'!$B$9,Paramètres!$A$1:$I$89,5,0)</f>
        <v>1.199934171926283</v>
      </c>
      <c r="P6" s="14">
        <f t="shared" si="33"/>
        <v>0.54137171618945512</v>
      </c>
      <c r="Q6" s="22">
        <f t="shared" si="2"/>
        <v>3.0327744218015771</v>
      </c>
      <c r="R6" s="62">
        <f t="shared" si="0"/>
        <v>296.36610775513492</v>
      </c>
      <c r="S6" s="62">
        <f ca="1">AVERAGE(OFFSET($R$3,0,0,'Données projet'!$E$9+1,1))-AVERAGE(OFFSET($H$3,0,0,'Données projet'!$E$9+1,1))</f>
        <v>302.20483575440988</v>
      </c>
      <c r="T6" s="62">
        <f t="shared" si="34"/>
        <v>275.32862097158687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6.2222222222222223</v>
      </c>
      <c r="AI6" s="14">
        <f>IF('Données projet'!$A$62&gt;35,AI5+AH6-AQ5,IF(A6&lt;'Données projet'!$A$62,$AF$205^A6,IF(A6='Données projet'!$A$62,'Données projet'!$B$62,AI5+AH6-AQ5)))</f>
        <v>2.1955146386099229</v>
      </c>
      <c r="AJ6" s="14">
        <f>AI6*VLOOKUP('Données projet'!$B$10,Paramètres!$A$1:$I$89,3,0)*VLOOKUP('Données projet'!$B$10,Paramètres!$A$1:$I$89,5,0)</f>
        <v>1.3700011344925918</v>
      </c>
      <c r="AK6" s="14">
        <f t="shared" si="35"/>
        <v>0.60863745619068288</v>
      </c>
      <c r="AL6" s="22">
        <f t="shared" si="4"/>
        <v>3.4461288787733699</v>
      </c>
      <c r="AM6" s="62">
        <f t="shared" si="5"/>
        <v>296.77946221210669</v>
      </c>
      <c r="AN6" s="62">
        <f ca="1">AVERAGE(OFFSET($AM$3,0,0,'Données projet'!$E$10+1,1))-AVERAGE(OFFSET($H$3,0,0,'Données projet'!$E$10+1,1))</f>
        <v>180.20749454145079</v>
      </c>
      <c r="AO6" s="62">
        <f t="shared" si="36"/>
        <v>307.23455947678775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1.6380800429823084</v>
      </c>
      <c r="BF6" s="14">
        <f t="shared" si="37"/>
        <v>0.71275221602487127</v>
      </c>
      <c r="BG6" s="22">
        <f t="shared" si="7"/>
        <v>4.0943661844375043</v>
      </c>
      <c r="BH6" s="62">
        <f t="shared" si="8"/>
        <v>297.4276995177708</v>
      </c>
      <c r="BI6" s="62">
        <f ca="1">AVERAGE(OFFSET($BH$3,0,0,'Données projet'!$E$11+1,1))-AVERAGE(OFFSET($H$3,0,0,'Données projet'!$E$11+1,1))</f>
        <v>219.61164494001008</v>
      </c>
      <c r="BJ6" s="62">
        <f t="shared" si="38"/>
        <v>219.59799863414111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297.41110313686249</v>
      </c>
      <c r="CD6" s="62">
        <f ca="1">AVERAGE(OFFSET($CC$3,0,0,'Données projet'!$E$12+1,1))-AVERAGE(OFFSET($H$3,0,0,'Données projet'!$E$12+1,1))</f>
        <v>220.70608186257931</v>
      </c>
      <c r="CE6" s="62">
        <f t="shared" si="40"/>
        <v>208.79744153433245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6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9">
        <f t="shared" si="1"/>
        <v>298.73772566676109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10</v>
      </c>
      <c r="N7" s="14">
        <f>IF('Données projet'!$A$36&gt;35,N6+M7-V6,IF(A7&lt;'Données projet'!$A$36,$K$205^A7,IF(A7='Données projet'!$A$36,'Données projet'!$B$36,N6+M7-V6)))</f>
        <v>2.7690288761929791</v>
      </c>
      <c r="O7" s="14">
        <f>N7*VLOOKUP('Données projet'!$B$9,Paramètres!$A$1:$I$89,3,0)*VLOOKUP('Données projet'!$B$9,Paramètres!$A$1:$I$89,5,0)</f>
        <v>1.5478871417918754</v>
      </c>
      <c r="P7" s="14">
        <f t="shared" si="33"/>
        <v>0.67796254889037699</v>
      </c>
      <c r="Q7" s="22">
        <f t="shared" si="2"/>
        <v>3.8766882112715897</v>
      </c>
      <c r="R7" s="62">
        <f t="shared" si="0"/>
        <v>297.2100215446049</v>
      </c>
      <c r="S7" s="62">
        <f ca="1">AVERAGE(OFFSET($R$3,0,0,'Données projet'!$E$9+1,1))-AVERAGE(OFFSET($H$3,0,0,'Données projet'!$E$9+1,1))</f>
        <v>302.20483575440988</v>
      </c>
      <c r="T7" s="62">
        <f t="shared" si="34"/>
        <v>275.32862097158687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6.2222222222222223</v>
      </c>
      <c r="AI7" s="14">
        <f>IF('Données projet'!$A$62&gt;35,AI6+AH7-AQ6,IF(A7&lt;'Données projet'!$A$62,$AF$205^A7,IF(A7='Données projet'!$A$62,'Données projet'!$B$62,AI6+AH7-AQ6)))</f>
        <v>2.8535256637456983</v>
      </c>
      <c r="AJ7" s="14">
        <f>AI7*VLOOKUP('Données projet'!$B$10,Paramètres!$A$1:$I$89,3,0)*VLOOKUP('Données projet'!$B$10,Paramètres!$A$1:$I$89,5,0)</f>
        <v>1.7806000141773157</v>
      </c>
      <c r="AK7" s="14">
        <f t="shared" si="35"/>
        <v>0.76727758599241935</v>
      </c>
      <c r="AL7" s="22">
        <f t="shared" si="4"/>
        <v>4.4375534869622877</v>
      </c>
      <c r="AM7" s="62">
        <f t="shared" si="5"/>
        <v>297.77088682029563</v>
      </c>
      <c r="AN7" s="62">
        <f ca="1">AVERAGE(OFFSET($AM$3,0,0,'Données projet'!$E$10+1,1))-AVERAGE(OFFSET($H$3,0,0,'Données projet'!$E$10+1,1))</f>
        <v>180.20749454145079</v>
      </c>
      <c r="AO7" s="62">
        <f t="shared" si="36"/>
        <v>307.23455947678775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2.0839241176864287</v>
      </c>
      <c r="BF7" s="14">
        <f t="shared" si="37"/>
        <v>0.88169040068036508</v>
      </c>
      <c r="BG7" s="22">
        <f t="shared" si="7"/>
        <v>5.1651119528221656</v>
      </c>
      <c r="BH7" s="62">
        <f t="shared" si="8"/>
        <v>298.49844528615546</v>
      </c>
      <c r="BI7" s="62">
        <f ca="1">AVERAGE(OFFSET($BH$3,0,0,'Données projet'!$E$11+1,1))-AVERAGE(OFFSET($H$3,0,0,'Données projet'!$E$11+1,1))</f>
        <v>219.61164494001008</v>
      </c>
      <c r="BJ7" s="62">
        <f t="shared" si="38"/>
        <v>219.59799863414111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298.50336976728875</v>
      </c>
      <c r="CD7" s="62">
        <f ca="1">AVERAGE(OFFSET($CC$3,0,0,'Données projet'!$E$12+1,1))-AVERAGE(OFFSET($H$3,0,0,'Données projet'!$E$12+1,1))</f>
        <v>220.70608186257931</v>
      </c>
      <c r="CE7" s="62">
        <f t="shared" si="40"/>
        <v>208.79744153433245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6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9">
        <f t="shared" si="1"/>
        <v>300.03752578811759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10</v>
      </c>
      <c r="N8" s="14">
        <f>IF('Données projet'!$A$36&gt;35,N7+M8-V7,IF(A8&lt;'Données projet'!$A$36,$K$205^A8,IF(A8='Données projet'!$A$36,'Données projet'!$B$36,N7+M8-V7)))</f>
        <v>3.5719827745457646</v>
      </c>
      <c r="O8" s="14">
        <f>N8*VLOOKUP('Données projet'!$B$9,Paramètres!$A$1:$I$89,3,0)*VLOOKUP('Données projet'!$B$9,Paramètres!$A$1:$I$89,5,0)</f>
        <v>1.9967383709710824</v>
      </c>
      <c r="P8" s="14">
        <f t="shared" si="33"/>
        <v>0.84901594219430265</v>
      </c>
      <c r="Q8" s="22">
        <f t="shared" si="2"/>
        <v>4.9563554287630449</v>
      </c>
      <c r="R8" s="62">
        <f t="shared" si="0"/>
        <v>298.28968876209638</v>
      </c>
      <c r="S8" s="62">
        <f ca="1">AVERAGE(OFFSET($R$3,0,0,'Données projet'!$E$9+1,1))-AVERAGE(OFFSET($H$3,0,0,'Données projet'!$E$9+1,1))</f>
        <v>302.20483575440988</v>
      </c>
      <c r="T8" s="62">
        <f t="shared" si="34"/>
        <v>275.32862097158687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6.2222222222222223</v>
      </c>
      <c r="AI8" s="14">
        <f>IF('Données projet'!$A$62&gt;35,AI7+AH8-AQ7,IF(A8&lt;'Données projet'!$A$62,$AF$205^A8,IF(A8='Données projet'!$A$62,'Données projet'!$B$62,AI7+AH8-AQ7)))</f>
        <v>3.7087471750180505</v>
      </c>
      <c r="AJ8" s="14">
        <f>AI8*VLOOKUP('Données projet'!$B$10,Paramètres!$A$1:$I$89,3,0)*VLOOKUP('Données projet'!$B$10,Paramètres!$A$1:$I$89,5,0)</f>
        <v>2.3142582372112632</v>
      </c>
      <c r="AK8" s="14">
        <f t="shared" si="35"/>
        <v>0.96726694681425085</v>
      </c>
      <c r="AL8" s="22">
        <f t="shared" si="4"/>
        <v>5.7153230288444377</v>
      </c>
      <c r="AM8" s="62">
        <f t="shared" si="5"/>
        <v>299.04865636217778</v>
      </c>
      <c r="AN8" s="62">
        <f ca="1">AVERAGE(OFFSET($AM$3,0,0,'Données projet'!$E$10+1,1))-AVERAGE(OFFSET($H$3,0,0,'Données projet'!$E$10+1,1))</f>
        <v>180.20749454145079</v>
      </c>
      <c r="AO8" s="62">
        <f t="shared" si="36"/>
        <v>307.23455947678775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2.6511157051695204</v>
      </c>
      <c r="BF8" s="14">
        <f t="shared" si="37"/>
        <v>1.0906707059957799</v>
      </c>
      <c r="BG8" s="22">
        <f t="shared" si="7"/>
        <v>6.5169446661128978</v>
      </c>
      <c r="BH8" s="62">
        <f t="shared" si="8"/>
        <v>299.85027799944623</v>
      </c>
      <c r="BI8" s="62">
        <f ca="1">AVERAGE(OFFSET($BH$3,0,0,'Données projet'!$E$11+1,1))-AVERAGE(OFFSET($H$3,0,0,'Données projet'!$E$11+1,1))</f>
        <v>219.61164494001008</v>
      </c>
      <c r="BJ8" s="62">
        <f t="shared" si="38"/>
        <v>219.59799863414111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299.88933181485606</v>
      </c>
      <c r="CD8" s="62">
        <f ca="1">AVERAGE(OFFSET($CC$3,0,0,'Données projet'!$E$12+1,1))-AVERAGE(OFFSET($H$3,0,0,'Données projet'!$E$12+1,1))</f>
        <v>220.70608186257931</v>
      </c>
      <c r="CE8" s="62">
        <f t="shared" si="40"/>
        <v>208.79744153433245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6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9">
        <f t="shared" si="1"/>
        <v>301.3292415520861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10</v>
      </c>
      <c r="N9" s="14">
        <f>IF('Données projet'!$A$36&gt;35,N8+M9-V8,IF(A9&lt;'Données projet'!$A$36,$K$205^A9,IF(A9='Données projet'!$A$36,'Données projet'!$B$36,N8+M9-V8)))</f>
        <v>4.607774606956629</v>
      </c>
      <c r="O9" s="14">
        <f>N9*VLOOKUP('Données projet'!$B$9,Paramètres!$A$1:$I$89,3,0)*VLOOKUP('Données projet'!$B$9,Paramètres!$A$1:$I$89,5,0)</f>
        <v>2.5757460052887557</v>
      </c>
      <c r="P9" s="14">
        <f t="shared" si="33"/>
        <v>1.0632269751181105</v>
      </c>
      <c r="Q9" s="22">
        <f t="shared" si="2"/>
        <v>6.3378779408752912</v>
      </c>
      <c r="R9" s="62">
        <f t="shared" si="0"/>
        <v>299.67121127420859</v>
      </c>
      <c r="S9" s="62">
        <f ca="1">AVERAGE(OFFSET($R$3,0,0,'Données projet'!$E$9+1,1))-AVERAGE(OFFSET($H$3,0,0,'Données projet'!$E$9+1,1))</f>
        <v>302.20483575440988</v>
      </c>
      <c r="T9" s="62">
        <f t="shared" si="34"/>
        <v>275.32862097158687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6.2222222222222223</v>
      </c>
      <c r="AI9" s="14">
        <f>IF('Données projet'!$A$62&gt;35,AI8+AH9-AQ8,IF(A9&lt;'Données projet'!$A$62,$AF$205^A9,IF(A9='Données projet'!$A$62,'Données projet'!$B$62,AI8+AH9-AQ8)))</f>
        <v>4.8202845283504612</v>
      </c>
      <c r="AJ9" s="14">
        <f>AI9*VLOOKUP('Données projet'!$B$10,Paramètres!$A$1:$I$89,3,0)*VLOOKUP('Données projet'!$B$10,Paramètres!$A$1:$I$89,5,0)</f>
        <v>3.0078575456906878</v>
      </c>
      <c r="AK9" s="14">
        <f t="shared" si="35"/>
        <v>1.2193831326236693</v>
      </c>
      <c r="AL9" s="22">
        <f t="shared" si="4"/>
        <v>7.3624441813975059</v>
      </c>
      <c r="AM9" s="62">
        <f t="shared" si="5"/>
        <v>300.69577751473082</v>
      </c>
      <c r="AN9" s="62">
        <f ca="1">AVERAGE(OFFSET($AM$3,0,0,'Données projet'!$E$10+1,1))-AVERAGE(OFFSET($H$3,0,0,'Données projet'!$E$10+1,1))</f>
        <v>180.20749454145079</v>
      </c>
      <c r="AO9" s="62">
        <f t="shared" si="36"/>
        <v>307.23455947678775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3.3726825379800407</v>
      </c>
      <c r="BF9" s="14">
        <f t="shared" si="37"/>
        <v>1.3491840083541735</v>
      </c>
      <c r="BG9" s="22">
        <f t="shared" si="7"/>
        <v>8.2239175681987557</v>
      </c>
      <c r="BH9" s="62">
        <f t="shared" si="8"/>
        <v>301.55725090153209</v>
      </c>
      <c r="BI9" s="62">
        <f ca="1">AVERAGE(OFFSET($BH$3,0,0,'Données projet'!$E$11+1,1))-AVERAGE(OFFSET($H$3,0,0,'Données projet'!$E$11+1,1))</f>
        <v>219.61164494001008</v>
      </c>
      <c r="BJ9" s="62">
        <f t="shared" si="38"/>
        <v>219.59799863414111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301.64824341856627</v>
      </c>
      <c r="CD9" s="62">
        <f ca="1">AVERAGE(OFFSET($CC$3,0,0,'Données projet'!$E$12+1,1))-AVERAGE(OFFSET($H$3,0,0,'Données projet'!$E$12+1,1))</f>
        <v>220.70608186257931</v>
      </c>
      <c r="CE9" s="62">
        <f t="shared" si="40"/>
        <v>208.79744153433245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6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9">
        <f t="shared" si="1"/>
        <v>302.6143780343051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10</v>
      </c>
      <c r="N10" s="14">
        <f>IF('Données projet'!$A$36&gt;35,N9+M10-V9,IF(A10&lt;'Données projet'!$A$36,$K$205^A10,IF(A10='Données projet'!$A$36,'Données projet'!$B$36,N9+M10-V9)))</f>
        <v>5.9439219527631275</v>
      </c>
      <c r="O10" s="14">
        <f>N10*VLOOKUP('Données projet'!$B$9,Paramètres!$A$1:$I$89,3,0)*VLOOKUP('Données projet'!$B$9,Paramètres!$A$1:$I$89,5,0)</f>
        <v>3.3226523715945881</v>
      </c>
      <c r="P10" s="14">
        <f t="shared" si="33"/>
        <v>1.3314845392621566</v>
      </c>
      <c r="Q10" s="22">
        <f t="shared" si="2"/>
        <v>8.1059551197421627</v>
      </c>
      <c r="R10" s="62">
        <f t="shared" si="0"/>
        <v>301.43928845307551</v>
      </c>
      <c r="S10" s="62">
        <f ca="1">AVERAGE(OFFSET($R$3,0,0,'Données projet'!$E$9+1,1))-AVERAGE(OFFSET($H$3,0,0,'Données projet'!$E$9+1,1))</f>
        <v>302.20483575440988</v>
      </c>
      <c r="T10" s="62">
        <f t="shared" si="34"/>
        <v>275.32862097158687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6.2222222222222223</v>
      </c>
      <c r="AI10" s="14">
        <f>IF('Données projet'!$A$62&gt;35,AI9+AH10-AQ9,IF(A10&lt;'Données projet'!$A$62,$AF$205^A10,IF(A10='Données projet'!$A$62,'Données projet'!$B$62,AI9+AH10-AQ9)))</f>
        <v>6.2649573664027773</v>
      </c>
      <c r="AJ10" s="14">
        <f>AI10*VLOOKUP('Données projet'!$B$10,Paramètres!$A$1:$I$89,3,0)*VLOOKUP('Données projet'!$B$10,Paramètres!$A$1:$I$89,5,0)</f>
        <v>3.9093333966353332</v>
      </c>
      <c r="AK10" s="14">
        <f t="shared" si="35"/>
        <v>1.5372128955964925</v>
      </c>
      <c r="AL10" s="22">
        <f t="shared" si="4"/>
        <v>9.4860681256370967</v>
      </c>
      <c r="AM10" s="62">
        <f t="shared" si="5"/>
        <v>302.81940145897039</v>
      </c>
      <c r="AN10" s="62">
        <f ca="1">AVERAGE(OFFSET($AM$3,0,0,'Données projet'!$E$10+1,1))-AVERAGE(OFFSET($H$3,0,0,'Données projet'!$E$10+1,1))</f>
        <v>180.20749454145079</v>
      </c>
      <c r="AO10" s="62">
        <f t="shared" si="36"/>
        <v>307.23455947678775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4.2906416644942853</v>
      </c>
      <c r="BF10" s="14">
        <f t="shared" si="37"/>
        <v>1.6689707336887791</v>
      </c>
      <c r="BG10" s="22">
        <f t="shared" si="7"/>
        <v>10.379658260168837</v>
      </c>
      <c r="BH10" s="62">
        <f t="shared" si="8"/>
        <v>303.71299159350212</v>
      </c>
      <c r="BI10" s="62">
        <f ca="1">AVERAGE(OFFSET($BH$3,0,0,'Données projet'!$E$11+1,1))-AVERAGE(OFFSET($H$3,0,0,'Données projet'!$E$11+1,1))</f>
        <v>219.61164494001008</v>
      </c>
      <c r="BJ10" s="62">
        <f t="shared" si="38"/>
        <v>219.59799863414111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303.88081691020608</v>
      </c>
      <c r="CD10" s="62">
        <f ca="1">AVERAGE(OFFSET($CC$3,0,0,'Données projet'!$E$12+1,1))-AVERAGE(OFFSET($H$3,0,0,'Données projet'!$E$12+1,1))</f>
        <v>220.70608186257931</v>
      </c>
      <c r="CE10" s="62">
        <f t="shared" si="40"/>
        <v>208.79744153433245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6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9">
        <f t="shared" si="1"/>
        <v>303.89398357937728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10</v>
      </c>
      <c r="N11" s="14">
        <f>IF('Données projet'!$A$36&gt;35,N10+M11-V10,IF(A11&lt;'Données projet'!$A$36,$K$205^A11,IF(A11='Données projet'!$A$36,'Données projet'!$B$36,N10+M11-V10)))</f>
        <v>7.6675209171905525</v>
      </c>
      <c r="O11" s="14">
        <f>N11*VLOOKUP('Données projet'!$B$9,Paramètres!$A$1:$I$89,3,0)*VLOOKUP('Données projet'!$B$9,Paramètres!$A$1:$I$89,5,0)</f>
        <v>4.2861441927095187</v>
      </c>
      <c r="P11" s="14">
        <f t="shared" si="33"/>
        <v>1.6674248488637313</v>
      </c>
      <c r="Q11" s="22">
        <f t="shared" si="2"/>
        <v>10.369132747406743</v>
      </c>
      <c r="R11" s="62">
        <f t="shared" si="0"/>
        <v>303.70246608074007</v>
      </c>
      <c r="S11" s="62">
        <f ca="1">AVERAGE(OFFSET($R$3,0,0,'Données projet'!$E$9+1,1))-AVERAGE(OFFSET($H$3,0,0,'Données projet'!$E$9+1,1))</f>
        <v>302.20483575440988</v>
      </c>
      <c r="T11" s="62">
        <f t="shared" si="34"/>
        <v>275.32862097158687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6.2222222222222223</v>
      </c>
      <c r="AI11" s="14">
        <f>IF('Données projet'!$A$62&gt;35,AI10+AH11-AQ10,IF(A11&lt;'Données projet'!$A$62,$AF$205^A11,IF(A11='Données projet'!$A$62,'Données projet'!$B$62,AI10+AH11-AQ10)))</f>
        <v>8.1426087136553278</v>
      </c>
      <c r="AJ11" s="14">
        <f>AI11*VLOOKUP('Données projet'!$B$10,Paramètres!$A$1:$I$89,3,0)*VLOOKUP('Données projet'!$B$10,Paramètres!$A$1:$I$89,5,0)</f>
        <v>5.080987837320925</v>
      </c>
      <c r="AK11" s="14">
        <f t="shared" si="35"/>
        <v>1.9378843475584122</v>
      </c>
      <c r="AL11" s="22">
        <f t="shared" si="4"/>
        <v>12.224535721998178</v>
      </c>
      <c r="AM11" s="62">
        <f t="shared" si="5"/>
        <v>305.55786905533148</v>
      </c>
      <c r="AN11" s="62">
        <f ca="1">AVERAGE(OFFSET($AM$3,0,0,'Données projet'!$E$10+1,1))-AVERAGE(OFFSET($H$3,0,0,'Données projet'!$E$10+1,1))</f>
        <v>180.20749454145079</v>
      </c>
      <c r="AO11" s="62">
        <f t="shared" si="36"/>
        <v>307.23455947678775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5.4584461139707896</v>
      </c>
      <c r="BF11" s="14">
        <f t="shared" si="37"/>
        <v>2.0645540509389519</v>
      </c>
      <c r="BG11" s="22">
        <f t="shared" si="7"/>
        <v>13.102558620551131</v>
      </c>
      <c r="BH11" s="62">
        <f t="shared" si="8"/>
        <v>306.43589195388444</v>
      </c>
      <c r="BI11" s="62">
        <f ca="1">AVERAGE(OFFSET($BH$3,0,0,'Données projet'!$E$11+1,1))-AVERAGE(OFFSET($H$3,0,0,'Données projet'!$E$11+1,1))</f>
        <v>219.61164494001008</v>
      </c>
      <c r="BJ11" s="62">
        <f t="shared" si="38"/>
        <v>219.59799863414111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306.71505054813269</v>
      </c>
      <c r="CD11" s="62">
        <f ca="1">AVERAGE(OFFSET($CC$3,0,0,'Données projet'!$E$12+1,1))-AVERAGE(OFFSET($H$3,0,0,'Données projet'!$E$12+1,1))</f>
        <v>220.70608186257931</v>
      </c>
      <c r="CE11" s="62">
        <f t="shared" si="40"/>
        <v>208.79744153433245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6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9">
        <f t="shared" si="1"/>
        <v>305.16882873392143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10</v>
      </c>
      <c r="N12" s="14">
        <f>IF('Données projet'!$A$36&gt;35,N11+M12-V11,IF(A12&lt;'Données projet'!$A$36,$K$205^A12,IF(A12='Données projet'!$A$36,'Données projet'!$B$36,N11+M12-V11)))</f>
        <v>9.8909234479811374</v>
      </c>
      <c r="O12" s="14">
        <f>N12*VLOOKUP('Données projet'!$B$9,Paramètres!$A$1:$I$89,3,0)*VLOOKUP('Données projet'!$B$9,Paramètres!$A$1:$I$89,5,0)</f>
        <v>5.529026207421456</v>
      </c>
      <c r="P12" s="14">
        <f t="shared" si="33"/>
        <v>2.0881246042473354</v>
      </c>
      <c r="Q12" s="22">
        <f t="shared" si="2"/>
        <v>13.266537663656479</v>
      </c>
      <c r="R12" s="62">
        <f t="shared" si="0"/>
        <v>306.59987099698981</v>
      </c>
      <c r="S12" s="62">
        <f ca="1">AVERAGE(OFFSET($R$3,0,0,'Données projet'!$E$9+1,1))-AVERAGE(OFFSET($H$3,0,0,'Données projet'!$E$9+1,1))</f>
        <v>302.20483575440988</v>
      </c>
      <c r="T12" s="62">
        <f t="shared" si="34"/>
        <v>275.32862097158687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6.2222222222222223</v>
      </c>
      <c r="AI12" s="14">
        <f>IF('Données projet'!$A$62&gt;35,AI11+AH12-AQ11,IF(A12&lt;'Données projet'!$A$62,$AF$205^A12,IF(A12='Données projet'!$A$62,'Données projet'!$B$62,AI11+AH12-AQ11)))</f>
        <v>10.583005244258365</v>
      </c>
      <c r="AJ12" s="14">
        <f>AI12*VLOOKUP('Données projet'!$B$10,Paramètres!$A$1:$I$89,3,0)*VLOOKUP('Données projet'!$B$10,Paramètres!$A$1:$I$89,5,0)</f>
        <v>6.6037952724172193</v>
      </c>
      <c r="AK12" s="14">
        <f t="shared" si="35"/>
        <v>2.4429900082608067</v>
      </c>
      <c r="AL12" s="22">
        <f t="shared" si="4"/>
        <v>15.75648436384756</v>
      </c>
      <c r="AM12" s="62">
        <f t="shared" si="5"/>
        <v>309.08981769718088</v>
      </c>
      <c r="AN12" s="62">
        <f ca="1">AVERAGE(OFFSET($AM$3,0,0,'Données projet'!$E$10+1,1))-AVERAGE(OFFSET($H$3,0,0,'Données projet'!$E$10+1,1))</f>
        <v>180.20749454145079</v>
      </c>
      <c r="AO12" s="62">
        <f t="shared" si="36"/>
        <v>307.23455947678775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6.9440974821267289</v>
      </c>
      <c r="BF12" s="14">
        <f t="shared" si="37"/>
        <v>2.5538994442566798</v>
      </c>
      <c r="BG12" s="22">
        <f t="shared" si="7"/>
        <v>16.542344646784436</v>
      </c>
      <c r="BH12" s="62">
        <f t="shared" si="8"/>
        <v>309.87567798011776</v>
      </c>
      <c r="BI12" s="62">
        <f ca="1">AVERAGE(OFFSET($BH$3,0,0,'Données projet'!$E$11+1,1))-AVERAGE(OFFSET($H$3,0,0,'Données projet'!$E$11+1,1))</f>
        <v>219.61164494001008</v>
      </c>
      <c r="BJ12" s="62">
        <f t="shared" si="38"/>
        <v>219.59799863414111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310.31364345073507</v>
      </c>
      <c r="CD12" s="62">
        <f ca="1">AVERAGE(OFFSET($CC$3,0,0,'Données projet'!$E$12+1,1))-AVERAGE(OFFSET($H$3,0,0,'Données projet'!$E$12+1,1))</f>
        <v>220.70608186257931</v>
      </c>
      <c r="CE12" s="62">
        <f t="shared" si="40"/>
        <v>208.79744153433245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6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9">
        <f t="shared" si="1"/>
        <v>306.43950276659285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10</v>
      </c>
      <c r="N13" s="14">
        <f>IF('Données projet'!$A$36&gt;35,N12+M13-V12,IF(A13&lt;'Données projet'!$A$36,$K$205^A13,IF(A13='Données projet'!$A$36,'Données projet'!$B$36,N12+M13-V12)))</f>
        <v>12.75906094165166</v>
      </c>
      <c r="O13" s="14">
        <f>N13*VLOOKUP('Données projet'!$B$9,Paramètres!$A$1:$I$89,3,0)*VLOOKUP('Données projet'!$B$9,Paramètres!$A$1:$I$89,5,0)</f>
        <v>7.1323150663832777</v>
      </c>
      <c r="P13" s="14">
        <f t="shared" si="33"/>
        <v>2.6149690439328648</v>
      </c>
      <c r="Q13" s="22">
        <f t="shared" si="2"/>
        <v>16.976519825467278</v>
      </c>
      <c r="R13" s="62">
        <f t="shared" si="0"/>
        <v>310.30985315880059</v>
      </c>
      <c r="S13" s="62">
        <f ca="1">AVERAGE(OFFSET($R$3,0,0,'Données projet'!$E$9+1,1))-AVERAGE(OFFSET($H$3,0,0,'Données projet'!$E$9+1,1))</f>
        <v>302.20483575440988</v>
      </c>
      <c r="T13" s="62">
        <f t="shared" si="34"/>
        <v>275.32862097158687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6.2222222222222223</v>
      </c>
      <c r="AI13" s="14">
        <f>IF('Données projet'!$A$62&gt;35,AI12+AH13-AQ12,IF(A13&lt;'Données projet'!$A$62,$AF$205^A13,IF(A13='Données projet'!$A$62,'Données projet'!$B$62,AI12+AH13-AQ12)))</f>
        <v>13.754805608204368</v>
      </c>
      <c r="AJ13" s="14">
        <f>AI13*VLOOKUP('Données projet'!$B$10,Paramètres!$A$1:$I$89,3,0)*VLOOKUP('Données projet'!$B$10,Paramètres!$A$1:$I$89,5,0)</f>
        <v>8.5829986995195267</v>
      </c>
      <c r="AK13" s="14">
        <f t="shared" si="35"/>
        <v>3.0797504443346257</v>
      </c>
      <c r="AL13" s="22">
        <f t="shared" si="4"/>
        <v>20.312621425545984</v>
      </c>
      <c r="AM13" s="62">
        <f t="shared" si="5"/>
        <v>313.64595475887927</v>
      </c>
      <c r="AN13" s="62">
        <f ca="1">AVERAGE(OFFSET($AM$3,0,0,'Données projet'!$E$10+1,1))-AVERAGE(OFFSET($H$3,0,0,'Données projet'!$E$10+1,1))</f>
        <v>180.20749454145079</v>
      </c>
      <c r="AO13" s="62">
        <f t="shared" si="36"/>
        <v>307.23455947678775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8.8341056840076444</v>
      </c>
      <c r="BF13" s="14">
        <f t="shared" si="37"/>
        <v>3.1592306185484516</v>
      </c>
      <c r="BG13" s="22">
        <f t="shared" si="7"/>
        <v>20.888394060285197</v>
      </c>
      <c r="BH13" s="62">
        <f t="shared" si="8"/>
        <v>314.22172739361849</v>
      </c>
      <c r="BI13" s="62">
        <f ca="1">AVERAGE(OFFSET($BH$3,0,0,'Données projet'!$E$11+1,1))-AVERAGE(OFFSET($H$3,0,0,'Données projet'!$E$11+1,1))</f>
        <v>219.61164494001008</v>
      </c>
      <c r="BJ13" s="62">
        <f t="shared" si="38"/>
        <v>219.59799863414111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314.88343112207497</v>
      </c>
      <c r="CD13" s="62">
        <f ca="1">AVERAGE(OFFSET($CC$3,0,0,'Données projet'!$E$12+1,1))-AVERAGE(OFFSET($H$3,0,0,'Données projet'!$E$12+1,1))</f>
        <v>220.70608186257931</v>
      </c>
      <c r="CE13" s="62">
        <f t="shared" si="40"/>
        <v>208.79744153433245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6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9">
        <f t="shared" si="1"/>
        <v>307.70647027243518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</v>
      </c>
      <c r="N14" s="14">
        <f>IF('Données projet'!$A$36&gt;35,N13+M14-V13,IF(A14&lt;'Données projet'!$A$36,$K$205^A14,IF(A14='Données projet'!$A$36,'Données projet'!$B$36,N13+M14-V13)))</f>
        <v>16.45889152503846</v>
      </c>
      <c r="O14" s="14">
        <f>N14*VLOOKUP('Données projet'!$B$9,Paramètres!$A$1:$I$89,3,0)*VLOOKUP('Données projet'!$B$9,Paramètres!$A$1:$I$89,5,0)</f>
        <v>9.2005203624964995</v>
      </c>
      <c r="P14" s="14">
        <f t="shared" si="33"/>
        <v>3.2747390106980423</v>
      </c>
      <c r="Q14" s="22">
        <f t="shared" si="2"/>
        <v>21.727743408313824</v>
      </c>
      <c r="R14" s="62">
        <f t="shared" si="0"/>
        <v>315.06107674164713</v>
      </c>
      <c r="S14" s="62">
        <f ca="1">AVERAGE(OFFSET($R$3,0,0,'Données projet'!$E$9+1,1))-AVERAGE(OFFSET($H$3,0,0,'Données projet'!$E$9+1,1))</f>
        <v>302.20483575440988</v>
      </c>
      <c r="T14" s="62">
        <f t="shared" si="34"/>
        <v>275.32862097158687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6.2222222222222223</v>
      </c>
      <c r="AI14" s="14">
        <f>IF('Données projet'!$A$62&gt;35,AI13+AH14-AQ13,IF(A14&lt;'Données projet'!$A$62,$AF$205^A14,IF(A14='Données projet'!$A$62,'Données projet'!$B$62,AI13+AH14-AQ13)))</f>
        <v>17.877216627302985</v>
      </c>
      <c r="AJ14" s="14">
        <f>AI14*VLOOKUP('Données projet'!$B$10,Paramètres!$A$1:$I$89,3,0)*VLOOKUP('Données projet'!$B$10,Paramètres!$A$1:$I$89,5,0)</f>
        <v>11.155383175437063</v>
      </c>
      <c r="AK14" s="14">
        <f t="shared" si="35"/>
        <v>3.8824812083990929</v>
      </c>
      <c r="AL14" s="22">
        <f t="shared" si="4"/>
        <v>26.1909471351813</v>
      </c>
      <c r="AM14" s="62">
        <f t="shared" si="5"/>
        <v>319.52428046851463</v>
      </c>
      <c r="AN14" s="62">
        <f ca="1">AVERAGE(OFFSET($AM$3,0,0,'Données projet'!$E$10+1,1))-AVERAGE(OFFSET($H$3,0,0,'Données projet'!$E$10+1,1))</f>
        <v>180.20749454145079</v>
      </c>
      <c r="AO14" s="62">
        <f t="shared" si="36"/>
        <v>307.23455947678775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11.238526451721825</v>
      </c>
      <c r="BF14" s="14">
        <f t="shared" si="37"/>
        <v>3.9080387928425129</v>
      </c>
      <c r="BG14" s="22">
        <f t="shared" si="7"/>
        <v>26.380267800949554</v>
      </c>
      <c r="BH14" s="62">
        <f t="shared" si="8"/>
        <v>319.71360113428284</v>
      </c>
      <c r="BI14" s="62">
        <f ca="1">AVERAGE(OFFSET($BH$3,0,0,'Données projet'!$E$11+1,1))-AVERAGE(OFFSET($H$3,0,0,'Données projet'!$E$11+1,1))</f>
        <v>219.61164494001008</v>
      </c>
      <c r="BJ14" s="62">
        <f t="shared" si="38"/>
        <v>219.59799863414111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320.68739357896709</v>
      </c>
      <c r="CD14" s="62">
        <f ca="1">AVERAGE(OFFSET($CC$3,0,0,'Données projet'!$E$12+1,1))-AVERAGE(OFFSET($H$3,0,0,'Données projet'!$E$12+1,1))</f>
        <v>220.70608186257931</v>
      </c>
      <c r="CE14" s="62">
        <f t="shared" si="40"/>
        <v>208.79744153433245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6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9">
        <f t="shared" si="1"/>
        <v>308.97010652964002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</v>
      </c>
      <c r="N15" s="14">
        <f>IF('Données projet'!$A$36&gt;35,N14+M15-V14,IF(A15&lt;'Données projet'!$A$36,$K$205^A15,IF(A15='Données projet'!$A$36,'Données projet'!$B$36,N14+M15-V14)))</f>
        <v>21.231586828514317</v>
      </c>
      <c r="O15" s="14">
        <f>N15*VLOOKUP('Données projet'!$B$9,Paramètres!$A$1:$I$89,3,0)*VLOOKUP('Données projet'!$B$9,Paramètres!$A$1:$I$89,5,0)</f>
        <v>11.868457037139505</v>
      </c>
      <c r="P15" s="14">
        <f t="shared" si="33"/>
        <v>4.1009722899277703</v>
      </c>
      <c r="Q15" s="22">
        <f t="shared" si="2"/>
        <v>27.813422744642168</v>
      </c>
      <c r="R15" s="62">
        <f t="shared" si="0"/>
        <v>321.14675607797551</v>
      </c>
      <c r="S15" s="62">
        <f ca="1">AVERAGE(OFFSET($R$3,0,0,'Données projet'!$E$9+1,1))-AVERAGE(OFFSET($H$3,0,0,'Données projet'!$E$9+1,1))</f>
        <v>302.20483575440988</v>
      </c>
      <c r="T15" s="62">
        <f t="shared" si="34"/>
        <v>275.32862097158687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6.2222222222222223</v>
      </c>
      <c r="AI15" s="14">
        <f>IF('Données projet'!$A$62&gt;35,AI14+AH15-AQ14,IF(A15&lt;'Données projet'!$A$62,$AF$205^A15,IF(A15='Données projet'!$A$62,'Données projet'!$B$62,AI14+AH15-AQ14)))</f>
        <v>23.235142934254824</v>
      </c>
      <c r="AJ15" s="14">
        <f>AI15*VLOOKUP('Données projet'!$B$10,Paramètres!$A$1:$I$89,3,0)*VLOOKUP('Données projet'!$B$10,Paramètres!$A$1:$I$89,5,0)</f>
        <v>14.498729190975009</v>
      </c>
      <c r="AK15" s="14">
        <f t="shared" si="35"/>
        <v>4.8944421329010357</v>
      </c>
      <c r="AL15" s="22">
        <f t="shared" si="4"/>
        <v>33.776440055750776</v>
      </c>
      <c r="AM15" s="62">
        <f t="shared" si="5"/>
        <v>327.10977338908407</v>
      </c>
      <c r="AN15" s="62">
        <f ca="1">AVERAGE(OFFSET($AM$3,0,0,'Données projet'!$E$10+1,1))-AVERAGE(OFFSET($H$3,0,0,'Données projet'!$E$10+1,1))</f>
        <v>180.20749454145079</v>
      </c>
      <c r="AO15" s="62">
        <f t="shared" si="36"/>
        <v>307.23455947678775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14.297369912010421</v>
      </c>
      <c r="BF15" s="14">
        <f t="shared" si="37"/>
        <v>4.8343312187127445</v>
      </c>
      <c r="BG15" s="22">
        <f t="shared" si="7"/>
        <v>33.321046136009507</v>
      </c>
      <c r="BH15" s="62">
        <f t="shared" si="8"/>
        <v>326.65437946934281</v>
      </c>
      <c r="BI15" s="62">
        <f ca="1">AVERAGE(OFFSET($BH$3,0,0,'Données projet'!$E$11+1,1))-AVERAGE(OFFSET($H$3,0,0,'Données projet'!$E$11+1,1))</f>
        <v>219.61164494001008</v>
      </c>
      <c r="BJ15" s="62">
        <f t="shared" si="38"/>
        <v>219.59799863414111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328.05993923876133</v>
      </c>
      <c r="CD15" s="62">
        <f ca="1">AVERAGE(OFFSET($CC$3,0,0,'Données projet'!$E$12+1,1))-AVERAGE(OFFSET($H$3,0,0,'Données projet'!$E$12+1,1))</f>
        <v>220.70608186257931</v>
      </c>
      <c r="CE15" s="62">
        <f t="shared" si="40"/>
        <v>208.79744153433245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6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9">
        <f t="shared" si="1"/>
        <v>310.23072070337594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</v>
      </c>
      <c r="N16" s="14">
        <f>IF('Données projet'!$A$36&gt;35,N15+M16-V15,IF(A16&lt;'Données projet'!$A$36,$K$205^A16,IF(A16='Données projet'!$A$36,'Données projet'!$B$36,N15+M16-V15)))</f>
        <v>27.388252639673997</v>
      </c>
      <c r="O16" s="14">
        <f>N16*VLOOKUP('Données projet'!$B$9,Paramètres!$A$1:$I$89,3,0)*VLOOKUP('Données projet'!$B$9,Paramètres!$A$1:$I$89,5,0)</f>
        <v>15.310033225577765</v>
      </c>
      <c r="P16" s="14">
        <f t="shared" si="33"/>
        <v>5.1356684205409415</v>
      </c>
      <c r="Q16" s="22">
        <f t="shared" si="2"/>
        <v>35.609597033656748</v>
      </c>
      <c r="R16" s="62">
        <f t="shared" si="0"/>
        <v>328.94293036699008</v>
      </c>
      <c r="S16" s="62">
        <f ca="1">AVERAGE(OFFSET($R$3,0,0,'Données projet'!$E$9+1,1))-AVERAGE(OFFSET($H$3,0,0,'Données projet'!$E$9+1,1))</f>
        <v>302.20483575440988</v>
      </c>
      <c r="T16" s="62">
        <f t="shared" si="34"/>
        <v>275.32862097158687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6.2222222222222223</v>
      </c>
      <c r="AI16" s="14">
        <f>IF('Données projet'!$A$62&gt;35,AI15+AH16-AQ15,IF(A16&lt;'Données projet'!$A$62,$AF$205^A16,IF(A16='Données projet'!$A$62,'Données projet'!$B$62,AI15+AH16-AQ15)))</f>
        <v>30.19887706404656</v>
      </c>
      <c r="AJ16" s="14">
        <f>AI16*VLOOKUP('Données projet'!$B$10,Paramètres!$A$1:$I$89,3,0)*VLOOKUP('Données projet'!$B$10,Paramètres!$A$1:$I$89,5,0)</f>
        <v>18.844099287965054</v>
      </c>
      <c r="AK16" s="14">
        <f t="shared" si="35"/>
        <v>6.1701686386769925</v>
      </c>
      <c r="AL16" s="22">
        <f t="shared" si="4"/>
        <v>43.566516638901568</v>
      </c>
      <c r="AM16" s="62">
        <f t="shared" si="5"/>
        <v>336.8998499722349</v>
      </c>
      <c r="AN16" s="62">
        <f ca="1">AVERAGE(OFFSET($AM$3,0,0,'Données projet'!$E$10+1,1))-AVERAGE(OFFSET($H$3,0,0,'Données projet'!$E$10+1,1))</f>
        <v>180.20749454145079</v>
      </c>
      <c r="AO16" s="62">
        <f t="shared" si="36"/>
        <v>307.23455947678775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18.188753417005401</v>
      </c>
      <c r="BF16" s="14">
        <f t="shared" si="37"/>
        <v>5.9801756254374139</v>
      </c>
      <c r="BG16" s="22">
        <f t="shared" si="7"/>
        <v>42.094218082254564</v>
      </c>
      <c r="BH16" s="62">
        <f t="shared" si="8"/>
        <v>335.42755141558786</v>
      </c>
      <c r="BI16" s="62">
        <f ca="1">AVERAGE(OFFSET($BH$3,0,0,'Données projet'!$E$11+1,1))-AVERAGE(OFFSET($H$3,0,0,'Données projet'!$E$11+1,1))</f>
        <v>219.61164494001008</v>
      </c>
      <c r="BJ16" s="62">
        <f t="shared" si="38"/>
        <v>219.59799863414111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337.42636035027664</v>
      </c>
      <c r="CD16" s="62">
        <f ca="1">AVERAGE(OFFSET($CC$3,0,0,'Données projet'!$E$12+1,1))-AVERAGE(OFFSET($H$3,0,0,'Données projet'!$E$12+1,1))</f>
        <v>220.70608186257931</v>
      </c>
      <c r="CE16" s="62">
        <f t="shared" si="40"/>
        <v>208.79744153433245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6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9">
        <f t="shared" si="1"/>
        <v>311.4885716930055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</v>
      </c>
      <c r="N17" s="14">
        <f>IF('Données projet'!$A$36&gt;35,N16+M17-V16,IF(A17&lt;'Données projet'!$A$36,$K$205^A17,IF(A17='Données projet'!$A$36,'Données projet'!$B$36,N16+M17-V16)))</f>
        <v>35.330208180539429</v>
      </c>
      <c r="O17" s="14">
        <f>N17*VLOOKUP('Données projet'!$B$9,Paramètres!$A$1:$I$89,3,0)*VLOOKUP('Données projet'!$B$9,Paramètres!$A$1:$I$89,5,0)</f>
        <v>19.749586372921542</v>
      </c>
      <c r="P17" s="14">
        <f t="shared" si="33"/>
        <v>6.4314236383699175</v>
      </c>
      <c r="Q17" s="22">
        <f t="shared" si="2"/>
        <v>45.598592436332616</v>
      </c>
      <c r="R17" s="62">
        <f t="shared" si="0"/>
        <v>338.93192576966595</v>
      </c>
      <c r="S17" s="62">
        <f ca="1">AVERAGE(OFFSET($R$3,0,0,'Données projet'!$E$9+1,1))-AVERAGE(OFFSET($H$3,0,0,'Données projet'!$E$9+1,1))</f>
        <v>302.20483575440988</v>
      </c>
      <c r="T17" s="62">
        <f t="shared" si="34"/>
        <v>275.32862097158687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6.2222222222222223</v>
      </c>
      <c r="AI17" s="14">
        <f>IF('Données projet'!$A$62&gt;35,AI16+AH17-AQ16,IF(A17&lt;'Données projet'!$A$62,$AF$205^A17,IF(A17='Données projet'!$A$62,'Données projet'!$B$62,AI16+AH17-AQ16)))</f>
        <v>39.249690802844427</v>
      </c>
      <c r="AJ17" s="14">
        <f>AI17*VLOOKUP('Données projet'!$B$10,Paramètres!$A$1:$I$89,3,0)*VLOOKUP('Données projet'!$B$10,Paramètres!$A$1:$I$89,5,0)</f>
        <v>24.491807060974921</v>
      </c>
      <c r="AK17" s="14">
        <f t="shared" si="35"/>
        <v>7.7784106944068903</v>
      </c>
      <c r="AL17" s="22">
        <f t="shared" si="4"/>
        <v>56.203962590623313</v>
      </c>
      <c r="AM17" s="62">
        <f t="shared" si="5"/>
        <v>349.53729592395661</v>
      </c>
      <c r="AN17" s="62">
        <f ca="1">AVERAGE(OFFSET($AM$3,0,0,'Données projet'!$E$10+1,1))-AVERAGE(OFFSET($H$3,0,0,'Données projet'!$E$10+1,1))</f>
        <v>180.20749454145079</v>
      </c>
      <c r="AO17" s="62">
        <f t="shared" si="36"/>
        <v>307.23455947678775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23.13927336990233</v>
      </c>
      <c r="BF17" s="14">
        <f t="shared" si="37"/>
        <v>7.3976107331343286</v>
      </c>
      <c r="BG17" s="22">
        <f t="shared" si="7"/>
        <v>53.185073146122171</v>
      </c>
      <c r="BH17" s="62">
        <f t="shared" si="8"/>
        <v>346.51840647945551</v>
      </c>
      <c r="BI17" s="62">
        <f ca="1">AVERAGE(OFFSET($BH$3,0,0,'Données projet'!$E$11+1,1))-AVERAGE(OFFSET($H$3,0,0,'Données projet'!$E$11+1,1))</f>
        <v>219.61164494001008</v>
      </c>
      <c r="BJ17" s="62">
        <f t="shared" si="38"/>
        <v>219.59799863414111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349.32760124744186</v>
      </c>
      <c r="CD17" s="62">
        <f ca="1">AVERAGE(OFFSET($CC$3,0,0,'Données projet'!$E$12+1,1))-AVERAGE(OFFSET($H$3,0,0,'Données projet'!$E$12+1,1))</f>
        <v>220.70608186257931</v>
      </c>
      <c r="CE17" s="62">
        <f t="shared" si="40"/>
        <v>208.79744153433245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6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9">
        <f t="shared" si="1"/>
        <v>312.74387931648818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10</v>
      </c>
      <c r="N18" s="14">
        <f>IF('Données projet'!$A$36&gt;35,N17+M18-V17,IF(A18&lt;'Données projet'!$A$36,$K$205^A18,IF(A18='Données projet'!$A$36,'Données projet'!$B$36,N17+M18-V17)))</f>
        <v>45.575145902959399</v>
      </c>
      <c r="O18" s="14">
        <f>N18*VLOOKUP('Données projet'!$B$9,Paramètres!$A$1:$I$89,3,0)*VLOOKUP('Données projet'!$B$9,Paramètres!$A$1:$I$89,5,0)</f>
        <v>25.476506559754306</v>
      </c>
      <c r="P18" s="14">
        <f t="shared" si="33"/>
        <v>8.0541044765944179</v>
      </c>
      <c r="Q18" s="22">
        <f t="shared" si="2"/>
        <v>58.399147554974014</v>
      </c>
      <c r="R18" s="62">
        <f t="shared" si="0"/>
        <v>351.73248088830735</v>
      </c>
      <c r="S18" s="62">
        <f ca="1">AVERAGE(OFFSET($R$3,0,0,'Données projet'!$E$9+1,1))-AVERAGE(OFFSET($H$3,0,0,'Données projet'!$E$9+1,1))</f>
        <v>302.20483575440988</v>
      </c>
      <c r="T18" s="62">
        <f t="shared" si="34"/>
        <v>275.32862097158687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6.2222222222222223</v>
      </c>
      <c r="AI18" s="14">
        <f>IF('Données projet'!$A$62&gt;35,AI17+AH18-AQ17,IF(A18&lt;'Données projet'!$A$62,$AF$205^A18,IF(A18='Données projet'!$A$62,'Données projet'!$B$62,AI17+AH18-AQ17)))</f>
        <v>51.013096442350388</v>
      </c>
      <c r="AJ18" s="14">
        <f>AI18*VLOOKUP('Données projet'!$B$10,Paramètres!$A$1:$I$89,3,0)*VLOOKUP('Données projet'!$B$10,Paramètres!$A$1:$I$89,5,0)</f>
        <v>31.832172180026642</v>
      </c>
      <c r="AK18" s="14">
        <f t="shared" si="35"/>
        <v>9.8058378099430179</v>
      </c>
      <c r="AL18" s="22">
        <f t="shared" si="4"/>
        <v>72.519534065863823</v>
      </c>
      <c r="AM18" s="62">
        <f t="shared" si="5"/>
        <v>365.85286739919712</v>
      </c>
      <c r="AN18" s="62">
        <f ca="1">AVERAGE(OFFSET($AM$3,0,0,'Données projet'!$E$10+1,1))-AVERAGE(OFFSET($H$3,0,0,'Données projet'!$E$10+1,1))</f>
        <v>180.20749454145079</v>
      </c>
      <c r="AO18" s="62">
        <f t="shared" si="36"/>
        <v>307.23455947678775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29.437200000000004</v>
      </c>
      <c r="BF18" s="14">
        <f t="shared" si="37"/>
        <v>9.1510096001539196</v>
      </c>
      <c r="BG18" s="22">
        <f t="shared" si="7"/>
        <v>67.207798386934755</v>
      </c>
      <c r="BH18" s="62">
        <f t="shared" si="8"/>
        <v>360.54113172026808</v>
      </c>
      <c r="BI18" s="62">
        <f ca="1">AVERAGE(OFFSET($BH$3,0,0,'Données projet'!$E$11+1,1))-AVERAGE(OFFSET($H$3,0,0,'Données projet'!$E$11+1,1))</f>
        <v>219.61164494001008</v>
      </c>
      <c r="BJ18" s="62">
        <f t="shared" si="38"/>
        <v>219.59799863414111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364.45179361618477</v>
      </c>
      <c r="CD18" s="62">
        <f ca="1">AVERAGE(OFFSET($CC$3,0,0,'Données projet'!$E$12+1,1))-AVERAGE(OFFSET($H$3,0,0,'Données projet'!$E$12+1,1))</f>
        <v>220.70608186257931</v>
      </c>
      <c r="CE18" s="62">
        <f t="shared" si="40"/>
        <v>208.79744153433245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6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9">
        <f t="shared" si="1"/>
        <v>313.99683242457326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10</v>
      </c>
      <c r="N19" s="14">
        <f>IF('Données projet'!$A$36&gt;35,N18+M19-V18,IF(A19&lt;'Données projet'!$A$36,$K$205^A19,IF(A19='Données projet'!$A$36,'Données projet'!$B$36,N18+M19-V18)))</f>
        <v>58.790877015554649</v>
      </c>
      <c r="O19" s="14">
        <f>N19*VLOOKUP('Données projet'!$B$9,Paramètres!$A$1:$I$89,3,0)*VLOOKUP('Données projet'!$B$9,Paramètres!$A$1:$I$89,5,0)</f>
        <v>32.864100251695049</v>
      </c>
      <c r="P19" s="14">
        <f t="shared" si="33"/>
        <v>10.086195929139501</v>
      </c>
      <c r="Q19" s="22">
        <f t="shared" si="2"/>
        <v>74.805099181620164</v>
      </c>
      <c r="R19" s="62">
        <f t="shared" si="0"/>
        <v>368.13843251495348</v>
      </c>
      <c r="S19" s="62">
        <f ca="1">AVERAGE(OFFSET($R$3,0,0,'Données projet'!$E$9+1,1))-AVERAGE(OFFSET($H$3,0,0,'Données projet'!$E$9+1,1))</f>
        <v>302.20483575440988</v>
      </c>
      <c r="T19" s="62">
        <f t="shared" si="34"/>
        <v>275.32862097158687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6.2222222222222223</v>
      </c>
      <c r="AI19" s="14">
        <f>IF('Données projet'!$A$62&gt;35,AI18+AH19-AQ18,IF(A19&lt;'Données projet'!$A$62,$AF$205^A19,IF(A19='Données projet'!$A$62,'Données projet'!$B$62,AI18+AH19-AQ18)))</f>
        <v>66.302076663695672</v>
      </c>
      <c r="AJ19" s="14">
        <f>AI19*VLOOKUP('Données projet'!$B$10,Paramètres!$A$1:$I$89,3,0)*VLOOKUP('Données projet'!$B$10,Paramètres!$A$1:$I$89,5,0)</f>
        <v>41.372495838146101</v>
      </c>
      <c r="AK19" s="14">
        <f t="shared" si="35"/>
        <v>12.361709728704412</v>
      </c>
      <c r="AL19" s="22">
        <f t="shared" si="4"/>
        <v>93.587074695597963</v>
      </c>
      <c r="AM19" s="62">
        <f t="shared" si="5"/>
        <v>386.92040802893126</v>
      </c>
      <c r="AN19" s="62">
        <f ca="1">AVERAGE(OFFSET($AM$3,0,0,'Données projet'!$E$10+1,1))-AVERAGE(OFFSET($H$3,0,0,'Données projet'!$E$10+1,1))</f>
        <v>180.20749454145079</v>
      </c>
      <c r="AO19" s="62">
        <f t="shared" si="36"/>
        <v>307.23455947678775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8.6</v>
      </c>
      <c r="BD19" s="13">
        <f>IF('Données projet'!$A$88&gt;35,BD18+BC19-BL18,IF(A19&lt;'Données projet'!$A$88,$BA$205^A19,IF(A19='Données projet'!$A$88,'Données projet'!$B$88,BD18+BC19-BL18)))</f>
        <v>45.6</v>
      </c>
      <c r="BE19" s="14">
        <f>BD19*VLOOKUP('Données projet'!$B$11,Paramètres!$A$1:$I$89,3,0)*VLOOKUP('Données projet'!$B$11,Paramètres!$A$1:$I$89,5,0)</f>
        <v>36.279360000000004</v>
      </c>
      <c r="BF19" s="14">
        <f t="shared" si="37"/>
        <v>11.006957828729092</v>
      </c>
      <c r="BG19" s="22">
        <f t="shared" si="7"/>
        <v>82.357003551703173</v>
      </c>
      <c r="BH19" s="62">
        <f t="shared" si="8"/>
        <v>375.69033688503646</v>
      </c>
      <c r="BI19" s="62">
        <f ca="1">AVERAGE(OFFSET($BH$3,0,0,'Données projet'!$E$11+1,1))-AVERAGE(OFFSET($H$3,0,0,'Données projet'!$E$11+1,1))</f>
        <v>219.61164494001008</v>
      </c>
      <c r="BJ19" s="62">
        <f t="shared" si="38"/>
        <v>219.59799863414111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projet'!$B$12,Paramètres!$A$1:$I$89,3,0)*VLOOKUP('Données projet'!$B$12,Paramètres!$A$1:$I$89,5,0)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2">
        <f t="shared" si="11"/>
        <v>381.00574898649381</v>
      </c>
      <c r="CD19" s="62">
        <f ca="1">AVERAGE(OFFSET($CC$3,0,0,'Données projet'!$E$12+1,1))-AVERAGE(OFFSET($H$3,0,0,'Données projet'!$E$12+1,1))</f>
        <v>220.70608186257931</v>
      </c>
      <c r="CE19" s="62">
        <f t="shared" si="40"/>
        <v>208.79744153433245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6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9">
        <f t="shared" si="1"/>
        <v>315.24759492743152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10</v>
      </c>
      <c r="N20" s="14">
        <f>IF('Données projet'!$A$36&gt;35,N19+M20-V19,IF(A20&lt;'Données projet'!$A$36,$K$205^A20,IF(A20='Données projet'!$A$36,'Données projet'!$B$36,N19+M20-V19)))</f>
        <v>75.838862427725871</v>
      </c>
      <c r="O20" s="14">
        <f>N20*VLOOKUP('Données projet'!$B$9,Paramètres!$A$1:$I$89,3,0)*VLOOKUP('Données projet'!$B$9,Paramètres!$A$1:$I$89,5,0)</f>
        <v>42.393924097098761</v>
      </c>
      <c r="P20" s="14">
        <f t="shared" si="33"/>
        <v>12.630994372698538</v>
      </c>
      <c r="Q20" s="22">
        <f t="shared" si="2"/>
        <v>95.835066334896965</v>
      </c>
      <c r="R20" s="62">
        <f t="shared" si="0"/>
        <v>389.16839966823028</v>
      </c>
      <c r="S20" s="62">
        <f ca="1">AVERAGE(OFFSET($R$3,0,0,'Données projet'!$E$9+1,1))-AVERAGE(OFFSET($H$3,0,0,'Données projet'!$E$9+1,1))</f>
        <v>302.20483575440988</v>
      </c>
      <c r="T20" s="62">
        <f t="shared" si="34"/>
        <v>275.32862097158687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6.2222222222222223</v>
      </c>
      <c r="AI20" s="14">
        <f>IF('Données projet'!$A$62&gt;35,AI19+AH20-AQ19,IF(A20&lt;'Données projet'!$A$62,$AF$205^A20,IF(A20='Données projet'!$A$62,'Données projet'!$B$62,AI19+AH20-AQ19)))</f>
        <v>86.1732707185582</v>
      </c>
      <c r="AJ20" s="14">
        <f>AI20*VLOOKUP('Données projet'!$B$10,Paramètres!$A$1:$I$89,3,0)*VLOOKUP('Données projet'!$B$10,Paramètres!$A$1:$I$89,5,0)</f>
        <v>53.772120928380318</v>
      </c>
      <c r="AK20" s="14">
        <f t="shared" si="35"/>
        <v>15.583764526657339</v>
      </c>
      <c r="AL20" s="22">
        <f t="shared" si="4"/>
        <v>120.79483383419057</v>
      </c>
      <c r="AM20" s="62">
        <f t="shared" si="5"/>
        <v>414.12816716752388</v>
      </c>
      <c r="AN20" s="62">
        <f ca="1">AVERAGE(OFFSET($AM$3,0,0,'Données projet'!$E$10+1,1))-AVERAGE(OFFSET($H$3,0,0,'Données projet'!$E$10+1,1))</f>
        <v>180.20749454145079</v>
      </c>
      <c r="AO20" s="62">
        <f t="shared" si="36"/>
        <v>307.23455947678775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8.6</v>
      </c>
      <c r="BD20" s="13">
        <f>IF('Données projet'!$A$88&gt;35,BD19+BC20-BL19,IF(A20&lt;'Données projet'!$A$88,$BA$205^A20,IF(A20='Données projet'!$A$88,'Données projet'!$B$88,BD19+BC20-BL19)))</f>
        <v>54.2</v>
      </c>
      <c r="BE20" s="14">
        <f>BD20*VLOOKUP('Données projet'!$B$11,Paramètres!$A$1:$I$89,3,0)*VLOOKUP('Données projet'!$B$11,Paramètres!$A$1:$I$89,5,0)</f>
        <v>43.121520000000004</v>
      </c>
      <c r="BF20" s="14">
        <f t="shared" si="37"/>
        <v>12.822353245070515</v>
      </c>
      <c r="BG20" s="22">
        <f t="shared" si="7"/>
        <v>97.435579235164482</v>
      </c>
      <c r="BH20" s="62">
        <f t="shared" si="8"/>
        <v>390.7689125684978</v>
      </c>
      <c r="BI20" s="62">
        <f ca="1">AVERAGE(OFFSET($BH$3,0,0,'Données projet'!$E$11+1,1))-AVERAGE(OFFSET($H$3,0,0,'Données projet'!$E$11+1,1))</f>
        <v>219.61164494001008</v>
      </c>
      <c r="BJ20" s="62">
        <f t="shared" si="38"/>
        <v>219.59799863414111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projet'!$B$12,Paramètres!$A$1:$I$89,3,0)*VLOOKUP('Données projet'!$B$12,Paramètres!$A$1:$I$89,5,0)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2">
        <f t="shared" si="11"/>
        <v>397.48093978929131</v>
      </c>
      <c r="CD20" s="62">
        <f ca="1">AVERAGE(OFFSET($CC$3,0,0,'Données projet'!$E$12+1,1))-AVERAGE(OFFSET($H$3,0,0,'Données projet'!$E$12+1,1))</f>
        <v>220.70608186257931</v>
      </c>
      <c r="CE20" s="62">
        <f t="shared" si="40"/>
        <v>208.79744153433245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6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9">
        <f t="shared" si="1"/>
        <v>316.49631036234257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10</v>
      </c>
      <c r="N21" s="14">
        <f>IF('Données projet'!$A$36&gt;35,N20+M21-V20,IF(A21&lt;'Données projet'!$A$36,$K$205^A21,IF(A21='Données projet'!$A$36,'Données projet'!$B$36,N20+M21-V20)))</f>
        <v>97.830366653823091</v>
      </c>
      <c r="O21" s="14">
        <f>N21*VLOOKUP('Données projet'!$B$9,Paramètres!$A$1:$I$89,3,0)*VLOOKUP('Données projet'!$B$9,Paramètres!$A$1:$I$89,5,0)</f>
        <v>54.687174959487109</v>
      </c>
      <c r="P21" s="14">
        <f t="shared" si="33"/>
        <v>15.817858384271306</v>
      </c>
      <c r="Q21" s="22">
        <f t="shared" si="2"/>
        <v>122.79626640704589</v>
      </c>
      <c r="R21" s="62">
        <f t="shared" si="0"/>
        <v>416.12959974037921</v>
      </c>
      <c r="S21" s="62">
        <f ca="1">AVERAGE(OFFSET($R$3,0,0,'Données projet'!$E$9+1,1))-AVERAGE(OFFSET($H$3,0,0,'Données projet'!$E$9+1,1))</f>
        <v>302.20483575440988</v>
      </c>
      <c r="T21" s="62">
        <f t="shared" si="34"/>
        <v>275.32862097158687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112</v>
      </c>
      <c r="AG21" s="13">
        <f>VLOOKUP(A21,'Données projet'!$A$61:$I$81,9,0)</f>
        <v>6.2222222222222223</v>
      </c>
      <c r="AH21" s="13">
        <f t="array" ref="AH21">INDEX(AG:AG,MIN(IF(ISNUMBER(AG21:AG217),ROW(AG21:AG217),"")))</f>
        <v>6.2222222222222223</v>
      </c>
      <c r="AI21" s="14">
        <f>IF('Données projet'!$A$62&gt;35,AI20+AH21-AQ20,IF(A21&lt;'Données projet'!$A$62,$AF$205^A21,IF(A21='Données projet'!$A$62,'Données projet'!$B$62,AI20+AH21-AQ20)))</f>
        <v>112</v>
      </c>
      <c r="AJ21" s="14">
        <f>AI21*VLOOKUP('Données projet'!$B$10,Paramètres!$A$1:$I$89,3,0)*VLOOKUP('Données projet'!$B$10,Paramètres!$A$1:$I$89,5,0)</f>
        <v>69.888000000000005</v>
      </c>
      <c r="AK21" s="14">
        <f t="shared" si="35"/>
        <v>19.645641432461961</v>
      </c>
      <c r="AL21" s="22">
        <f t="shared" si="4"/>
        <v>155.93775882820458</v>
      </c>
      <c r="AM21" s="62">
        <f t="shared" si="5"/>
        <v>449.27109216153792</v>
      </c>
      <c r="AN21" s="62">
        <f ca="1">AVERAGE(OFFSET($AM$3,0,0,'Données projet'!$E$10+1,1))-AVERAGE(OFFSET($H$3,0,0,'Données projet'!$E$10+1,1))</f>
        <v>180.20749454145079</v>
      </c>
      <c r="AO21" s="62">
        <f t="shared" si="36"/>
        <v>307.23455947678775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8.6</v>
      </c>
      <c r="BD21" s="13">
        <f>IF('Données projet'!$A$88&gt;35,BD20+BC21-BL20,IF(A21&lt;'Données projet'!$A$88,$BA$205^A21,IF(A21='Données projet'!$A$88,'Données projet'!$B$88,BD20+BC21-BL20)))</f>
        <v>62.800000000000004</v>
      </c>
      <c r="BE21" s="14">
        <f>BD21*VLOOKUP('Données projet'!$B$11,Paramètres!$A$1:$I$89,3,0)*VLOOKUP('Données projet'!$B$11,Paramètres!$A$1:$I$89,5,0)</f>
        <v>49.963680000000011</v>
      </c>
      <c r="BF21" s="14">
        <f t="shared" si="37"/>
        <v>14.604379468418438</v>
      </c>
      <c r="BG21" s="22">
        <f t="shared" si="7"/>
        <v>112.45603690749546</v>
      </c>
      <c r="BH21" s="62">
        <f t="shared" si="8"/>
        <v>405.78937024082876</v>
      </c>
      <c r="BI21" s="62">
        <f ca="1">AVERAGE(OFFSET($BH$3,0,0,'Données projet'!$E$11+1,1))-AVERAGE(OFFSET($H$3,0,0,'Données projet'!$E$11+1,1))</f>
        <v>219.61164494001008</v>
      </c>
      <c r="BJ21" s="62">
        <f t="shared" si="38"/>
        <v>219.59799863414111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projet'!$B$12,Paramètres!$A$1:$I$89,3,0)*VLOOKUP('Données projet'!$B$12,Paramètres!$A$1:$I$89,5,0)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2">
        <f t="shared" si="11"/>
        <v>413.89162884711146</v>
      </c>
      <c r="CD21" s="62">
        <f ca="1">AVERAGE(OFFSET($CC$3,0,0,'Données projet'!$E$12+1,1))-AVERAGE(OFFSET($H$3,0,0,'Données projet'!$E$12+1,1))</f>
        <v>220.70608186257931</v>
      </c>
      <c r="CE21" s="62">
        <f t="shared" si="40"/>
        <v>208.79744153433245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6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9">
        <f t="shared" si="1"/>
        <v>317.74310541723986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10</v>
      </c>
      <c r="N22" s="14">
        <f>IF('Données projet'!$A$36&gt;35,N21+M22-V21,IF(A22&lt;'Données projet'!$A$36,$K$205^A22,IF(A22='Données projet'!$A$36,'Données projet'!$B$36,N21+M22-V21)))</f>
        <v>126.1988950420027</v>
      </c>
      <c r="O22" s="14">
        <f>N22*VLOOKUP('Données projet'!$B$9,Paramètres!$A$1:$I$89,3,0)*VLOOKUP('Données projet'!$B$9,Paramètres!$A$1:$I$89,5,0)</f>
        <v>70.545182328479513</v>
      </c>
      <c r="P22" s="14">
        <f t="shared" si="33"/>
        <v>19.808784366626785</v>
      </c>
      <c r="Q22" s="22">
        <f t="shared" si="2"/>
        <v>157.36649199397678</v>
      </c>
      <c r="R22" s="62">
        <f t="shared" si="0"/>
        <v>450.69982532731012</v>
      </c>
      <c r="S22" s="62">
        <f ca="1">AVERAGE(OFFSET($R$3,0,0,'Données projet'!$E$9+1,1))-AVERAGE(OFFSET($H$3,0,0,'Données projet'!$E$9+1,1))</f>
        <v>302.20483575440988</v>
      </c>
      <c r="T22" s="62">
        <f t="shared" si="34"/>
        <v>275.32862097158687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18</v>
      </c>
      <c r="AI22" s="14">
        <f>IF('Données projet'!$A$62&gt;35,AI21+AH22-AQ21,IF(A22&lt;'Données projet'!$A$62,$AF$205^A22,IF(A22='Données projet'!$A$62,'Données projet'!$B$62,AI21+AH22-AQ21)))</f>
        <v>130</v>
      </c>
      <c r="AJ22" s="14">
        <f>AI22*VLOOKUP('Données projet'!$B$10,Paramètres!$A$1:$I$89,3,0)*VLOOKUP('Données projet'!$B$10,Paramètres!$A$1:$I$89,5,0)</f>
        <v>81.12</v>
      </c>
      <c r="AK22" s="14">
        <f t="shared" si="35"/>
        <v>22.410807975569174</v>
      </c>
      <c r="AL22" s="22">
        <f t="shared" si="4"/>
        <v>180.31615722411632</v>
      </c>
      <c r="AM22" s="62">
        <f t="shared" si="5"/>
        <v>473.64949055744967</v>
      </c>
      <c r="AN22" s="62">
        <f ca="1">AVERAGE(OFFSET($AM$3,0,0,'Données projet'!$E$10+1,1))-AVERAGE(OFFSET($H$3,0,0,'Données projet'!$E$10+1,1))</f>
        <v>180.20749454145079</v>
      </c>
      <c r="AO22" s="62">
        <f t="shared" si="36"/>
        <v>307.23455947678775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8.6</v>
      </c>
      <c r="BD22" s="13">
        <f>IF('Données projet'!$A$88&gt;35,BD21+BC22-BL21,IF(A22&lt;'Données projet'!$A$88,$BA$205^A22,IF(A22='Données projet'!$A$88,'Données projet'!$B$88,BD21+BC22-BL21)))</f>
        <v>71.400000000000006</v>
      </c>
      <c r="BE22" s="14">
        <f>BD22*VLOOKUP('Données projet'!$B$11,Paramètres!$A$1:$I$89,3,0)*VLOOKUP('Données projet'!$B$11,Paramètres!$A$1:$I$89,5,0)</f>
        <v>56.805840000000003</v>
      </c>
      <c r="BF22" s="14">
        <f t="shared" si="37"/>
        <v>16.358131967776131</v>
      </c>
      <c r="BG22" s="22">
        <f t="shared" si="7"/>
        <v>127.42725117721011</v>
      </c>
      <c r="BH22" s="62">
        <f t="shared" si="8"/>
        <v>420.76058451054342</v>
      </c>
      <c r="BI22" s="62">
        <f ca="1">AVERAGE(OFFSET($BH$3,0,0,'Données projet'!$E$11+1,1))-AVERAGE(OFFSET($H$3,0,0,'Données projet'!$E$11+1,1))</f>
        <v>219.61164494001008</v>
      </c>
      <c r="BJ22" s="62">
        <f t="shared" si="38"/>
        <v>219.59799863414111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projet'!$B$12,Paramètres!$A$1:$I$89,3,0)*VLOOKUP('Données projet'!$B$12,Paramètres!$A$1:$I$89,5,0)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2">
        <f t="shared" si="11"/>
        <v>430.24785322111575</v>
      </c>
      <c r="CD22" s="62">
        <f ca="1">AVERAGE(OFFSET($CC$3,0,0,'Données projet'!$E$12+1,1))-AVERAGE(OFFSET($H$3,0,0,'Données projet'!$E$12+1,1))</f>
        <v>220.70608186257931</v>
      </c>
      <c r="CE22" s="62">
        <f t="shared" si="40"/>
        <v>208.79744153433245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6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9">
        <f t="shared" si="1"/>
        <v>318.98809269129538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10</v>
      </c>
      <c r="N23" s="14">
        <f>IF('Données projet'!$A$36&gt;35,N22+M23-V22,IF(A23&lt;'Données projet'!$A$36,$K$205^A23,IF(A23='Données projet'!$A$36,'Données projet'!$B$36,N22+M23-V22)))</f>
        <v>162.79363611278094</v>
      </c>
      <c r="O23" s="14">
        <f>N23*VLOOKUP('Données projet'!$B$9,Paramètres!$A$1:$I$89,3,0)*VLOOKUP('Données projet'!$B$9,Paramètres!$A$1:$I$89,5,0)</f>
        <v>91.001642587044557</v>
      </c>
      <c r="P23" s="14">
        <f t="shared" si="33"/>
        <v>24.806641237456894</v>
      </c>
      <c r="Q23" s="22">
        <f t="shared" si="2"/>
        <v>201.69942766100667</v>
      </c>
      <c r="R23" s="62">
        <f t="shared" si="0"/>
        <v>495.03276099433998</v>
      </c>
      <c r="S23" s="62">
        <f ca="1">AVERAGE(OFFSET($R$3,0,0,'Données projet'!$E$9+1,1))-AVERAGE(OFFSET($H$3,0,0,'Données projet'!$E$9+1,1))</f>
        <v>302.20483575440988</v>
      </c>
      <c r="T23" s="62">
        <f t="shared" si="34"/>
        <v>275.32862097158687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7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18</v>
      </c>
      <c r="AI23" s="14">
        <f>IF('Données projet'!$A$62&gt;35,AI22+AH23-AQ22,IF(A23&lt;'Données projet'!$A$62,$AF$205^A23,IF(A23='Données projet'!$A$62,'Données projet'!$B$62,AI22+AH23-AQ22)))</f>
        <v>148</v>
      </c>
      <c r="AJ23" s="14">
        <f>AI23*VLOOKUP('Données projet'!$B$10,Paramètres!$A$1:$I$89,3,0)*VLOOKUP('Données projet'!$B$10,Paramètres!$A$1:$I$89,5,0)</f>
        <v>92.35199999999999</v>
      </c>
      <c r="AK23" s="14">
        <f t="shared" si="35"/>
        <v>25.131616275989753</v>
      </c>
      <c r="AL23" s="22">
        <f t="shared" si="4"/>
        <v>204.61729834734879</v>
      </c>
      <c r="AM23" s="62">
        <f t="shared" si="5"/>
        <v>497.95063168068214</v>
      </c>
      <c r="AN23" s="62">
        <f ca="1">AVERAGE(OFFSET($AM$3,0,0,'Données projet'!$E$10+1,1))-AVERAGE(OFFSET($H$3,0,0,'Données projet'!$E$10+1,1))</f>
        <v>180.20749454145079</v>
      </c>
      <c r="AO23" s="62">
        <f t="shared" si="36"/>
        <v>307.23455947678775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80</v>
      </c>
      <c r="BB23" s="13">
        <f>VLOOKUP(A23,'Données projet'!$A$87:$I$107,9,0)</f>
        <v>8.6</v>
      </c>
      <c r="BC23" s="13">
        <f t="array" ref="BC23">INDEX(BB:BB,MIN(IF(ISNUMBER(BB23:BB219),ROW(BB23:BB219),"")))</f>
        <v>8.6</v>
      </c>
      <c r="BD23" s="13">
        <f>IF('Données projet'!$A$88&gt;35,BD22+BC23-BL22,IF(A23&lt;'Données projet'!$A$88,$BA$205^A23,IF(A23='Données projet'!$A$88,'Données projet'!$B$88,BD22+BC23-BL22)))</f>
        <v>80</v>
      </c>
      <c r="BE23" s="14">
        <f>BD23*VLOOKUP('Données projet'!$B$11,Paramètres!$A$1:$I$89,3,0)*VLOOKUP('Données projet'!$B$11,Paramètres!$A$1:$I$89,5,0)</f>
        <v>63.647999999999996</v>
      </c>
      <c r="BF23" s="14">
        <f t="shared" si="37"/>
        <v>18.087405707268363</v>
      </c>
      <c r="BG23" s="22">
        <f t="shared" si="7"/>
        <v>142.35583160682572</v>
      </c>
      <c r="BH23" s="62">
        <f t="shared" si="8"/>
        <v>435.689164940159</v>
      </c>
      <c r="BI23" s="62">
        <f ca="1">AVERAGE(OFFSET($BH$3,0,0,'Données projet'!$E$11+1,1))-AVERAGE(OFFSET($H$3,0,0,'Données projet'!$E$11+1,1))</f>
        <v>219.61164494001008</v>
      </c>
      <c r="BJ23" s="62">
        <f t="shared" si="38"/>
        <v>219.59799863414111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43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projet'!$B$12,Paramètres!$A$1:$I$89,3,0)*VLOOKUP('Données projet'!$B$12,Paramètres!$A$1:$I$89,5,0)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2">
        <f t="shared" si="11"/>
        <v>446.55704519948165</v>
      </c>
      <c r="CD23" s="62">
        <f ca="1">AVERAGE(OFFSET($CC$3,0,0,'Données projet'!$E$12+1,1))-AVERAGE(OFFSET($H$3,0,0,'Données projet'!$E$12+1,1))</f>
        <v>220.70608186257931</v>
      </c>
      <c r="CE23" s="62">
        <f t="shared" si="40"/>
        <v>208.79744153433245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6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9">
        <f t="shared" si="1"/>
        <v>320.23137288769698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210</v>
      </c>
      <c r="L24" s="13">
        <f>VLOOKUP(A24,'Données projet'!$A$35:$I$55,9,0)</f>
        <v>10</v>
      </c>
      <c r="M24" s="13">
        <f t="array" ref="M24">INDEX(L:L,MIN(IF(ISNUMBER(L24:L220),ROW(L24:L220),"")))</f>
        <v>10</v>
      </c>
      <c r="N24" s="14">
        <f>IF('Données projet'!$A$36&gt;35,N23+M24-V23,IF(A24&lt;'Données projet'!$A$36,$K$205^A24,IF(A24='Données projet'!$A$36,'Données projet'!$B$36,N23+M24-V23)))</f>
        <v>210</v>
      </c>
      <c r="O24" s="14">
        <f>N24*VLOOKUP('Données projet'!$B$9,Paramètres!$A$1:$I$89,3,0)*VLOOKUP('Données projet'!$B$9,Paramètres!$A$1:$I$89,5,0)</f>
        <v>117.39</v>
      </c>
      <c r="P24" s="14">
        <f t="shared" si="33"/>
        <v>31.065482772413461</v>
      </c>
      <c r="Q24" s="22">
        <f t="shared" si="2"/>
        <v>258.55996582862014</v>
      </c>
      <c r="R24" s="62">
        <f t="shared" si="0"/>
        <v>551.89329916195345</v>
      </c>
      <c r="S24" s="62">
        <f ca="1">AVERAGE(OFFSET($R$3,0,0,'Données projet'!$E$9+1,1))-AVERAGE(OFFSET($H$3,0,0,'Données projet'!$E$9+1,1))</f>
        <v>302.20483575440988</v>
      </c>
      <c r="T24" s="62">
        <f t="shared" si="34"/>
        <v>275.32862097158687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63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0.27500000000000002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12.796760722565436</v>
      </c>
      <c r="AB24" s="23">
        <f>EXP(-LN(2)/2)*AB23+(1-EXP(-LN(2)/2))/(LN(2)/2)*V24*Y24*VLOOKUP('Données projet'!$B$9,Paramètres!$A$1:$I$89,3,0)*0.475*44/12</f>
        <v>19.936912410994776</v>
      </c>
      <c r="AC24" s="24">
        <f t="shared" si="3"/>
        <v>32.73367313356021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>
        <f>VLOOKUP(A24,'Données projet'!$A$61:$I$81,2,0)</f>
        <v>166</v>
      </c>
      <c r="AG24" s="13">
        <f>VLOOKUP(A24,'Données projet'!$A$61:$I$81,9,0)</f>
        <v>18</v>
      </c>
      <c r="AH24" s="13">
        <f t="array" ref="AH24">INDEX(AG:AG,MIN(IF(ISNUMBER(AG24:AG220),ROW(AG24:AG220),"")))</f>
        <v>18</v>
      </c>
      <c r="AI24" s="14">
        <f>IF('Données projet'!$A$62&gt;35,AI23+AH24-AQ23,IF(A24&lt;'Données projet'!$A$62,$AF$205^A24,IF(A24='Données projet'!$A$62,'Données projet'!$B$62,AI23+AH24-AQ23)))</f>
        <v>166</v>
      </c>
      <c r="AJ24" s="14">
        <f>AI24*VLOOKUP('Données projet'!$B$10,Paramètres!$A$1:$I$89,3,0)*VLOOKUP('Données projet'!$B$10,Paramètres!$A$1:$I$89,5,0)</f>
        <v>103.58399999999999</v>
      </c>
      <c r="AK24" s="14">
        <f t="shared" si="35"/>
        <v>27.814078427747937</v>
      </c>
      <c r="AL24" s="22">
        <f t="shared" si="4"/>
        <v>228.85165326166091</v>
      </c>
      <c r="AM24" s="62">
        <f t="shared" si="5"/>
        <v>522.18498659499426</v>
      </c>
      <c r="AN24" s="62">
        <f ca="1">AVERAGE(OFFSET($AM$3,0,0,'Données projet'!$E$10+1,1))-AVERAGE(OFFSET($H$3,0,0,'Données projet'!$E$10+1,1))</f>
        <v>180.20749454145079</v>
      </c>
      <c r="AO24" s="62">
        <f t="shared" si="36"/>
        <v>307.23455947678775</v>
      </c>
      <c r="AP24" s="16">
        <f>IF(ISNA(VLOOKUP(A24,'Données projet'!$A$61:$I$81,3,0)),0,VLOOKUP(A24,'Données projet'!$A$61:$I$81,3,0))</f>
        <v>2</v>
      </c>
      <c r="AQ24" s="16">
        <f>IF(ISNA(VLOOKUP(A24,'Données projet'!$A$61:$I$81,4,0)),0,VLOOKUP(A24,'Données projet'!$A$61:$I$81,4,0))</f>
        <v>46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0.3</v>
      </c>
      <c r="AT24" s="17">
        <f>IF(ISNA(VLOOKUP(A24,'Données projet'!$A$61:$I$81,7,0)),0%,VLOOKUP(A24,'Données projet'!$A$61:$I$81,7,0))</f>
        <v>0.5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11.378333907349029</v>
      </c>
      <c r="AW24" s="23">
        <f>EXP(-LN(2)/2)*AW23+(1-EXP(-LN(2)/2))/(LN(2)/2)*AQ24*AT24*VLOOKUP('Données projet'!$B$10,Paramètres!$A$1:$I$89,3,0)*0.475*44/12</f>
        <v>16.249797934099838</v>
      </c>
      <c r="AX24" s="23">
        <f t="shared" si="6"/>
        <v>27.628131841448869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15.6</v>
      </c>
      <c r="BD24" s="13">
        <f>IF('Données projet'!$A$88&gt;35,BD23+BC24-BL23,IF(A24&lt;'Données projet'!$A$88,$BA$205^A24,IF(A24='Données projet'!$A$88,'Données projet'!$B$88,BD23+BC24-BL23)))</f>
        <v>52.599999999999994</v>
      </c>
      <c r="BE24" s="14">
        <f>BD24*VLOOKUP('Données projet'!$B$11,Paramètres!$A$1:$I$89,3,0)*VLOOKUP('Données projet'!$B$11,Paramètres!$A$1:$I$89,5,0)</f>
        <v>41.848559999999999</v>
      </c>
      <c r="BF24" s="14">
        <f t="shared" si="37"/>
        <v>12.487312237283449</v>
      </c>
      <c r="BG24" s="22">
        <f t="shared" si="7"/>
        <v>94.63497747993533</v>
      </c>
      <c r="BH24" s="62">
        <f t="shared" si="8"/>
        <v>387.96831081326866</v>
      </c>
      <c r="BI24" s="62">
        <f ca="1">AVERAGE(OFFSET($BH$3,0,0,'Données projet'!$E$11+1,1))-AVERAGE(OFFSET($H$3,0,0,'Données projet'!$E$11+1,1))</f>
        <v>219.61164494001008</v>
      </c>
      <c r="BJ24" s="62">
        <f t="shared" si="38"/>
        <v>219.59799863414111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98.59999999999998</v>
      </c>
      <c r="BZ24" s="14">
        <f>BY24*VLOOKUP('Données projet'!$B$12,Paramètres!$A$1:$I$89,3,0)*VLOOKUP('Données projet'!$B$12,Paramètres!$A$1:$I$89,5,0)</f>
        <v>76.907999999999987</v>
      </c>
      <c r="CA24" s="14">
        <f t="shared" si="39"/>
        <v>21.379448490435635</v>
      </c>
      <c r="CB24" s="22">
        <f t="shared" si="10"/>
        <v>171.18397278750868</v>
      </c>
      <c r="CC24" s="62">
        <f t="shared" si="11"/>
        <v>464.51730612084202</v>
      </c>
      <c r="CD24" s="62">
        <f ca="1">AVERAGE(OFFSET($CC$3,0,0,'Données projet'!$E$12+1,1))-AVERAGE(OFFSET($H$3,0,0,'Données projet'!$E$12+1,1))</f>
        <v>220.70608186257931</v>
      </c>
      <c r="CE24" s="62">
        <f t="shared" si="40"/>
        <v>208.79744153433245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6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9">
        <f t="shared" si="1"/>
        <v>321.47303657691953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19</v>
      </c>
      <c r="N25" s="14">
        <f>IF('Données projet'!$A$36&gt;35,N24+M25-V24,IF(A25&lt;'Données projet'!$A$36,$K$205^A25,IF(A25='Données projet'!$A$36,'Données projet'!$B$36,N24+M25-V24)))</f>
        <v>166</v>
      </c>
      <c r="O25" s="14">
        <f>N25*VLOOKUP('Données projet'!$B$9,Paramètres!$A$1:$I$89,3,0)*VLOOKUP('Données projet'!$B$9,Paramètres!$A$1:$I$89,5,0)</f>
        <v>92.793999999999997</v>
      </c>
      <c r="P25" s="14">
        <f t="shared" si="33"/>
        <v>25.237866858098691</v>
      </c>
      <c r="Q25" s="22">
        <f t="shared" si="2"/>
        <v>205.57216811118852</v>
      </c>
      <c r="R25" s="62">
        <f t="shared" si="0"/>
        <v>498.90550144452186</v>
      </c>
      <c r="S25" s="62">
        <f ca="1">AVERAGE(OFFSET($R$3,0,0,'Données projet'!$E$9+1,1))-AVERAGE(OFFSET($H$3,0,0,'Données projet'!$E$9+1,1))</f>
        <v>302.20483575440988</v>
      </c>
      <c r="T25" s="62">
        <f t="shared" si="34"/>
        <v>275.32862097158687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12.446832627654485</v>
      </c>
      <c r="AB25" s="23">
        <f>EXP(-LN(2)/2)*AB24+(1-EXP(-LN(2)/2))/(LN(2)/2)*V25*Y25*VLOOKUP('Données projet'!$B$9,Paramètres!$A$1:$I$89,3,0)*0.475*44/12</f>
        <v>14.097525961736647</v>
      </c>
      <c r="AC25" s="24">
        <f t="shared" si="3"/>
        <v>26.54435858939113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</v>
      </c>
      <c r="AI25" s="14">
        <f>IF('Données projet'!$A$62&gt;35,AI24+AH25-AQ24,IF(A25&lt;'Données projet'!$A$62,$AF$205^A25,IF(A25='Données projet'!$A$62,'Données projet'!$B$62,AI24+AH25-AQ24)))</f>
        <v>136</v>
      </c>
      <c r="AJ25" s="14">
        <f>AI25*VLOOKUP('Données projet'!$B$10,Paramètres!$A$1:$I$89,3,0)*VLOOKUP('Données projet'!$B$10,Paramètres!$A$1:$I$89,5,0)</f>
        <v>84.864000000000004</v>
      </c>
      <c r="AK25" s="14">
        <f t="shared" si="35"/>
        <v>23.322341364766192</v>
      </c>
      <c r="AL25" s="22">
        <f t="shared" si="4"/>
        <v>188.42454454363443</v>
      </c>
      <c r="AM25" s="62">
        <f t="shared" si="5"/>
        <v>481.75787787696777</v>
      </c>
      <c r="AN25" s="62">
        <f ca="1">AVERAGE(OFFSET($AM$3,0,0,'Données projet'!$E$10+1,1))-AVERAGE(OFFSET($H$3,0,0,'Données projet'!$E$10+1,1))</f>
        <v>180.20749454145079</v>
      </c>
      <c r="AO25" s="62">
        <f t="shared" si="36"/>
        <v>307.23455947678775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11.067192768291996</v>
      </c>
      <c r="AW25" s="23">
        <f>EXP(-LN(2)/2)*AW24+(1-EXP(-LN(2)/2))/(LN(2)/2)*AQ25*AT25*VLOOKUP('Données projet'!$B$10,Paramètres!$A$1:$I$89,3,0)*0.475*44/12</f>
        <v>11.490342312113148</v>
      </c>
      <c r="AX25" s="23">
        <f t="shared" si="6"/>
        <v>22.557535080405145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15.6</v>
      </c>
      <c r="BD25" s="13">
        <f>IF('Données projet'!$A$88&gt;35,BD24+BC25-BL24,IF(A25&lt;'Données projet'!$A$88,$BA$205^A25,IF(A25='Données projet'!$A$88,'Données projet'!$B$88,BD24+BC25-BL24)))</f>
        <v>68.199999999999989</v>
      </c>
      <c r="BE25" s="14">
        <f>BD25*VLOOKUP('Données projet'!$B$11,Paramètres!$A$1:$I$89,3,0)*VLOOKUP('Données projet'!$B$11,Paramètres!$A$1:$I$89,5,0)</f>
        <v>54.259919999999994</v>
      </c>
      <c r="BF25" s="14">
        <f t="shared" si="37"/>
        <v>15.708613019613548</v>
      </c>
      <c r="BG25" s="22">
        <f t="shared" si="7"/>
        <v>121.86186167582692</v>
      </c>
      <c r="BH25" s="62">
        <f t="shared" si="8"/>
        <v>415.19519500916022</v>
      </c>
      <c r="BI25" s="62">
        <f ca="1">AVERAGE(OFFSET($BH$3,0,0,'Données projet'!$E$11+1,1))-AVERAGE(OFFSET($H$3,0,0,'Données projet'!$E$11+1,1))</f>
        <v>219.61164494001008</v>
      </c>
      <c r="BJ25" s="62">
        <f t="shared" si="38"/>
        <v>219.59799863414111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109.19999999999997</v>
      </c>
      <c r="BZ25" s="14">
        <f>BY25*VLOOKUP('Données projet'!$B$12,Paramètres!$A$1:$I$89,3,0)*VLOOKUP('Données projet'!$B$12,Paramètres!$A$1:$I$89,5,0)</f>
        <v>85.175999999999988</v>
      </c>
      <c r="CA25" s="14">
        <f t="shared" si="39"/>
        <v>23.398088487656434</v>
      </c>
      <c r="CB25" s="22">
        <f t="shared" si="10"/>
        <v>189.09987078266826</v>
      </c>
      <c r="CC25" s="62">
        <f t="shared" si="11"/>
        <v>482.43320411600155</v>
      </c>
      <c r="CD25" s="62">
        <f ca="1">AVERAGE(OFFSET($CC$3,0,0,'Données projet'!$E$12+1,1))-AVERAGE(OFFSET($H$3,0,0,'Données projet'!$E$12+1,1))</f>
        <v>220.70608186257931</v>
      </c>
      <c r="CE25" s="62">
        <f t="shared" si="40"/>
        <v>208.79744153433245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6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9">
        <f t="shared" si="1"/>
        <v>322.71316563033918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19</v>
      </c>
      <c r="N26" s="14">
        <f>IF('Données projet'!$A$36&gt;35,N25+M26-V25,IF(A26&lt;'Données projet'!$A$36,$K$205^A26,IF(A26='Données projet'!$A$36,'Données projet'!$B$36,N25+M26-V25)))</f>
        <v>185</v>
      </c>
      <c r="O26" s="14">
        <f>N26*VLOOKUP('Données projet'!$B$9,Paramètres!$A$1:$I$89,3,0)*VLOOKUP('Données projet'!$B$9,Paramètres!$A$1:$I$89,5,0)</f>
        <v>103.41500000000001</v>
      </c>
      <c r="P26" s="14">
        <f t="shared" si="33"/>
        <v>27.773977384564439</v>
      </c>
      <c r="Q26" s="22">
        <f t="shared" si="2"/>
        <v>228.48746894478305</v>
      </c>
      <c r="R26" s="62">
        <f t="shared" si="0"/>
        <v>521.82080227811639</v>
      </c>
      <c r="S26" s="62">
        <f ca="1">AVERAGE(OFFSET($R$3,0,0,'Données projet'!$E$9+1,1))-AVERAGE(OFFSET($H$3,0,0,'Données projet'!$E$9+1,1))</f>
        <v>302.20483575440988</v>
      </c>
      <c r="T26" s="62">
        <f t="shared" si="34"/>
        <v>275.32862097158687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12.106473334900793</v>
      </c>
      <c r="AB26" s="23">
        <f>EXP(-LN(2)/2)*AB25+(1-EXP(-LN(2)/2))/(LN(2)/2)*V26*Y26*VLOOKUP('Données projet'!$B$9,Paramètres!$A$1:$I$89,3,0)*0.475*44/12</f>
        <v>9.9684562054973895</v>
      </c>
      <c r="AC26" s="24">
        <f t="shared" si="3"/>
        <v>22.07492954039818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</v>
      </c>
      <c r="AI26" s="14">
        <f>IF('Données projet'!$A$62&gt;35,AI25+AH26-AQ25,IF(A26&lt;'Données projet'!$A$62,$AF$205^A26,IF(A26='Données projet'!$A$62,'Données projet'!$B$62,AI25+AH26-AQ25)))</f>
        <v>152</v>
      </c>
      <c r="AJ26" s="14">
        <f>AI26*VLOOKUP('Données projet'!$B$10,Paramètres!$A$1:$I$89,3,0)*VLOOKUP('Données projet'!$B$10,Paramètres!$A$1:$I$89,5,0)</f>
        <v>94.847999999999999</v>
      </c>
      <c r="AK26" s="14">
        <f t="shared" si="35"/>
        <v>25.730851751939202</v>
      </c>
      <c r="AL26" s="22">
        <f t="shared" si="4"/>
        <v>210.0081668012941</v>
      </c>
      <c r="AM26" s="62">
        <f t="shared" si="5"/>
        <v>503.34150013462738</v>
      </c>
      <c r="AN26" s="62">
        <f ca="1">AVERAGE(OFFSET($AM$3,0,0,'Données projet'!$E$10+1,1))-AVERAGE(OFFSET($H$3,0,0,'Données projet'!$E$10+1,1))</f>
        <v>180.20749454145079</v>
      </c>
      <c r="AO26" s="62">
        <f t="shared" si="36"/>
        <v>307.23455947678775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10.764559800044678</v>
      </c>
      <c r="AW26" s="23">
        <f>EXP(-LN(2)/2)*AW25+(1-EXP(-LN(2)/2))/(LN(2)/2)*AQ26*AT26*VLOOKUP('Données projet'!$B$10,Paramètres!$A$1:$I$89,3,0)*0.475*44/12</f>
        <v>8.124898967049921</v>
      </c>
      <c r="AX26" s="23">
        <f t="shared" si="6"/>
        <v>18.889458767094599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15.6</v>
      </c>
      <c r="BD26" s="13">
        <f>IF('Données projet'!$A$88&gt;35,BD25+BC26-BL25,IF(A26&lt;'Données projet'!$A$88,$BA$205^A26,IF(A26='Données projet'!$A$88,'Données projet'!$B$88,BD25+BC26-BL25)))</f>
        <v>83.799999999999983</v>
      </c>
      <c r="BE26" s="14">
        <f>BD26*VLOOKUP('Données projet'!$B$11,Paramètres!$A$1:$I$89,3,0)*VLOOKUP('Données projet'!$B$11,Paramètres!$A$1:$I$89,5,0)</f>
        <v>66.671279999999996</v>
      </c>
      <c r="BF26" s="14">
        <f t="shared" si="37"/>
        <v>18.844489742729156</v>
      </c>
      <c r="BG26" s="22">
        <f t="shared" si="7"/>
        <v>148.93996563525323</v>
      </c>
      <c r="BH26" s="62">
        <f t="shared" si="8"/>
        <v>442.27329896858657</v>
      </c>
      <c r="BI26" s="62">
        <f ca="1">AVERAGE(OFFSET($BH$3,0,0,'Données projet'!$E$11+1,1))-AVERAGE(OFFSET($H$3,0,0,'Données projet'!$E$11+1,1))</f>
        <v>219.61164494001008</v>
      </c>
      <c r="BJ26" s="62">
        <f t="shared" si="38"/>
        <v>219.59799863414111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119.79999999999997</v>
      </c>
      <c r="BZ26" s="14">
        <f>BY26*VLOOKUP('Données projet'!$B$12,Paramètres!$A$1:$I$89,3,0)*VLOOKUP('Données projet'!$B$12,Paramètres!$A$1:$I$89,5,0)</f>
        <v>93.443999999999974</v>
      </c>
      <c r="CA26" s="14">
        <f t="shared" si="39"/>
        <v>25.394010816431489</v>
      </c>
      <c r="CB26" s="22">
        <f t="shared" si="10"/>
        <v>206.97620217195148</v>
      </c>
      <c r="CC26" s="62">
        <f t="shared" si="11"/>
        <v>500.30953550528477</v>
      </c>
      <c r="CD26" s="62">
        <f ca="1">AVERAGE(OFFSET($CC$3,0,0,'Données projet'!$E$12+1,1))-AVERAGE(OFFSET($H$3,0,0,'Données projet'!$E$12+1,1))</f>
        <v>220.70608186257931</v>
      </c>
      <c r="CE26" s="62">
        <f t="shared" si="40"/>
        <v>208.79744153433245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6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9">
        <f t="shared" si="1"/>
        <v>323.95183439748814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19</v>
      </c>
      <c r="N27" s="14">
        <f>IF('Données projet'!$A$36&gt;35,N26+M27-V26,IF(A27&lt;'Données projet'!$A$36,$K$205^A27,IF(A27='Données projet'!$A$36,'Données projet'!$B$36,N26+M27-V26)))</f>
        <v>204</v>
      </c>
      <c r="O27" s="14">
        <f>N27*VLOOKUP('Données projet'!$B$9,Paramètres!$A$1:$I$89,3,0)*VLOOKUP('Données projet'!$B$9,Paramètres!$A$1:$I$89,5,0)</f>
        <v>114.036</v>
      </c>
      <c r="P27" s="14">
        <f t="shared" si="33"/>
        <v>30.279894261296121</v>
      </c>
      <c r="Q27" s="22">
        <f t="shared" si="2"/>
        <v>251.35018250509077</v>
      </c>
      <c r="R27" s="62">
        <f t="shared" si="0"/>
        <v>544.68351583842411</v>
      </c>
      <c r="S27" s="62">
        <f ca="1">AVERAGE(OFFSET($R$3,0,0,'Données projet'!$E$9+1,1))-AVERAGE(OFFSET($H$3,0,0,'Données projet'!$E$9+1,1))</f>
        <v>302.20483575440988</v>
      </c>
      <c r="T27" s="62">
        <f t="shared" si="34"/>
        <v>275.32862097158687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11.775421184906168</v>
      </c>
      <c r="AB27" s="23">
        <f>EXP(-LN(2)/2)*AB26+(1-EXP(-LN(2)/2))/(LN(2)/2)*V27*Y27*VLOOKUP('Données projet'!$B$9,Paramètres!$A$1:$I$89,3,0)*0.475*44/12</f>
        <v>7.0487629808683252</v>
      </c>
      <c r="AC27" s="24">
        <f t="shared" si="3"/>
        <v>18.824184165774493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168</v>
      </c>
      <c r="AG27" s="13">
        <f>VLOOKUP(A27,'Données projet'!$A$61:$I$81,9,0)</f>
        <v>16</v>
      </c>
      <c r="AH27" s="13">
        <f t="array" ref="AH27">INDEX(AG:AG,MIN(IF(ISNUMBER(AG27:AG223),ROW(AG27:AG223),"")))</f>
        <v>16</v>
      </c>
      <c r="AI27" s="14">
        <f>IF('Données projet'!$A$62&gt;35,AI26+AH27-AQ26,IF(A27&lt;'Données projet'!$A$62,$AF$205^A27,IF(A27='Données projet'!$A$62,'Données projet'!$B$62,AI26+AH27-AQ26)))</f>
        <v>168</v>
      </c>
      <c r="AJ27" s="14">
        <f>AI27*VLOOKUP('Données projet'!$B$10,Paramètres!$A$1:$I$89,3,0)*VLOOKUP('Données projet'!$B$10,Paramètres!$A$1:$I$89,5,0)</f>
        <v>104.83200000000001</v>
      </c>
      <c r="AK27" s="14">
        <f t="shared" si="35"/>
        <v>28.109974371137717</v>
      </c>
      <c r="AL27" s="22">
        <f t="shared" si="4"/>
        <v>231.54060536306486</v>
      </c>
      <c r="AM27" s="62">
        <f t="shared" si="5"/>
        <v>524.87393869639823</v>
      </c>
      <c r="AN27" s="62">
        <f ca="1">AVERAGE(OFFSET($AM$3,0,0,'Données projet'!$E$10+1,1))-AVERAGE(OFFSET($H$3,0,0,'Données projet'!$E$10+1,1))</f>
        <v>180.20749454145079</v>
      </c>
      <c r="AO27" s="62">
        <f t="shared" si="36"/>
        <v>307.23455947678775</v>
      </c>
      <c r="AP27" s="16">
        <f>IF(ISNA(VLOOKUP(A27,'Données projet'!$A$61:$I$81,3,0)),0,VLOOKUP(A27,'Données projet'!$A$61:$I$81,3,0))</f>
        <v>3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10.470202346228859</v>
      </c>
      <c r="AW27" s="23">
        <f>EXP(-LN(2)/2)*AW26+(1-EXP(-LN(2)/2))/(LN(2)/2)*AQ27*AT27*VLOOKUP('Données projet'!$B$10,Paramètres!$A$1:$I$89,3,0)*0.475*44/12</f>
        <v>5.7451711560565748</v>
      </c>
      <c r="AX27" s="23">
        <f t="shared" si="6"/>
        <v>16.215373502285434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15.6</v>
      </c>
      <c r="BD27" s="13">
        <f>IF('Données projet'!$A$88&gt;35,BD26+BC27-BL26,IF(A27&lt;'Données projet'!$A$88,$BA$205^A27,IF(A27='Données projet'!$A$88,'Données projet'!$B$88,BD26+BC27-BL26)))</f>
        <v>99.399999999999977</v>
      </c>
      <c r="BE27" s="14">
        <f>BD27*VLOOKUP('Données projet'!$B$11,Paramètres!$A$1:$I$89,3,0)*VLOOKUP('Données projet'!$B$11,Paramètres!$A$1:$I$89,5,0)</f>
        <v>79.082639999999984</v>
      </c>
      <c r="BF27" s="14">
        <f t="shared" si="37"/>
        <v>21.912734504175745</v>
      </c>
      <c r="BG27" s="22">
        <f t="shared" si="7"/>
        <v>175.90027726143936</v>
      </c>
      <c r="BH27" s="62">
        <f t="shared" si="8"/>
        <v>469.2336105947727</v>
      </c>
      <c r="BI27" s="62">
        <f ca="1">AVERAGE(OFFSET($BH$3,0,0,'Données projet'!$E$11+1,1))-AVERAGE(OFFSET($H$3,0,0,'Données projet'!$E$11+1,1))</f>
        <v>219.61164494001008</v>
      </c>
      <c r="BJ27" s="62">
        <f t="shared" si="38"/>
        <v>219.59799863414111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130.39999999999998</v>
      </c>
      <c r="BZ27" s="14">
        <f>BY27*VLOOKUP('Données projet'!$B$12,Paramètres!$A$1:$I$89,3,0)*VLOOKUP('Données projet'!$B$12,Paramètres!$A$1:$I$89,5,0)</f>
        <v>101.71199999999999</v>
      </c>
      <c r="CA27" s="14">
        <f t="shared" si="39"/>
        <v>27.369454120725656</v>
      </c>
      <c r="CB27" s="22">
        <f t="shared" si="10"/>
        <v>224.81686592693052</v>
      </c>
      <c r="CC27" s="62">
        <f t="shared" si="11"/>
        <v>518.15019926026389</v>
      </c>
      <c r="CD27" s="62">
        <f ca="1">AVERAGE(OFFSET($CC$3,0,0,'Données projet'!$E$12+1,1))-AVERAGE(OFFSET($H$3,0,0,'Données projet'!$E$12+1,1))</f>
        <v>220.70608186257931</v>
      </c>
      <c r="CE27" s="62">
        <f t="shared" si="40"/>
        <v>208.79744153433245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6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9">
        <f t="shared" si="1"/>
        <v>325.18911068157126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19</v>
      </c>
      <c r="N28" s="14">
        <f>IF('Données projet'!$A$36&gt;35,N27+M28-V27,IF(A28&lt;'Données projet'!$A$36,$K$205^A28,IF(A28='Données projet'!$A$36,'Données projet'!$B$36,N27+M28-V27)))</f>
        <v>223</v>
      </c>
      <c r="O28" s="14">
        <f>N28*VLOOKUP('Données projet'!$B$9,Paramètres!$A$1:$I$89,3,0)*VLOOKUP('Données projet'!$B$9,Paramètres!$A$1:$I$89,5,0)</f>
        <v>124.65700000000001</v>
      </c>
      <c r="P28" s="14">
        <f t="shared" si="33"/>
        <v>32.758749517288294</v>
      </c>
      <c r="Q28" s="22">
        <f t="shared" si="2"/>
        <v>274.16576374261041</v>
      </c>
      <c r="R28" s="62">
        <f t="shared" si="0"/>
        <v>567.49909707594372</v>
      </c>
      <c r="S28" s="62">
        <f ca="1">AVERAGE(OFFSET($R$3,0,0,'Données projet'!$E$9+1,1))-AVERAGE(OFFSET($H$3,0,0,'Données projet'!$E$9+1,1))</f>
        <v>302.20483575440988</v>
      </c>
      <c r="T28" s="62">
        <f t="shared" si="34"/>
        <v>275.32862097158687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11.453421673362422</v>
      </c>
      <c r="AB28" s="23">
        <f>EXP(-LN(2)/2)*AB27+(1-EXP(-LN(2)/2))/(LN(2)/2)*V28*Y28*VLOOKUP('Données projet'!$B$9,Paramètres!$A$1:$I$89,3,0)*0.475*44/12</f>
        <v>4.9842281027486957</v>
      </c>
      <c r="AC28" s="24">
        <f t="shared" si="3"/>
        <v>16.437649776111119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14.166666666666666</v>
      </c>
      <c r="AI28" s="14">
        <f>IF('Données projet'!$A$62&gt;35,AI27+AH28-AQ27,IF(A28&lt;'Données projet'!$A$62,$AF$205^A28,IF(A28='Données projet'!$A$62,'Données projet'!$B$62,AI27+AH28-AQ27)))</f>
        <v>182.16666666666666</v>
      </c>
      <c r="AJ28" s="14">
        <f>AI28*VLOOKUP('Données projet'!$B$10,Paramètres!$A$1:$I$89,3,0)*VLOOKUP('Données projet'!$B$10,Paramètres!$A$1:$I$89,5,0)</f>
        <v>113.672</v>
      </c>
      <c r="AK28" s="14">
        <f t="shared" si="35"/>
        <v>30.194476096101166</v>
      </c>
      <c r="AL28" s="22">
        <f t="shared" si="4"/>
        <v>250.56744586737622</v>
      </c>
      <c r="AM28" s="62">
        <f t="shared" si="5"/>
        <v>543.90077920070951</v>
      </c>
      <c r="AN28" s="62">
        <f ca="1">AVERAGE(OFFSET($AM$3,0,0,'Données projet'!$E$10+1,1))-AVERAGE(OFFSET($H$3,0,0,'Données projet'!$E$10+1,1))</f>
        <v>180.20749454145079</v>
      </c>
      <c r="AO28" s="62">
        <f t="shared" si="36"/>
        <v>307.23455947678775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10.18389411246722</v>
      </c>
      <c r="AW28" s="23">
        <f>EXP(-LN(2)/2)*AW27+(1-EXP(-LN(2)/2))/(LN(2)/2)*AQ28*AT28*VLOOKUP('Données projet'!$B$10,Paramètres!$A$1:$I$89,3,0)*0.475*44/12</f>
        <v>4.0624494835249614</v>
      </c>
      <c r="AX28" s="23">
        <f t="shared" si="6"/>
        <v>14.246343595992181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115</v>
      </c>
      <c r="BB28" s="13">
        <f>VLOOKUP(A28,'Données projet'!$A$87:$I$107,9,0)</f>
        <v>15.6</v>
      </c>
      <c r="BC28" s="13">
        <f t="array" ref="BC28">INDEX(BB:BB,MIN(IF(ISNUMBER(BB28:BB224),ROW(BB28:BB224),"")))</f>
        <v>15.6</v>
      </c>
      <c r="BD28" s="13">
        <f>IF('Données projet'!$A$88&gt;35,BD27+BC28-BL27,IF(A28&lt;'Données projet'!$A$88,$BA$205^A28,IF(A28='Données projet'!$A$88,'Données projet'!$B$88,BD27+BC28-BL27)))</f>
        <v>114.99999999999997</v>
      </c>
      <c r="BE28" s="14">
        <f>BD28*VLOOKUP('Données projet'!$B$11,Paramètres!$A$1:$I$89,3,0)*VLOOKUP('Données projet'!$B$11,Paramètres!$A$1:$I$89,5,0)</f>
        <v>91.493999999999986</v>
      </c>
      <c r="BF28" s="14">
        <f t="shared" si="37"/>
        <v>24.925195840896517</v>
      </c>
      <c r="BG28" s="22">
        <f t="shared" si="7"/>
        <v>202.76343275622807</v>
      </c>
      <c r="BH28" s="62">
        <f t="shared" si="8"/>
        <v>496.09676608956136</v>
      </c>
      <c r="BI28" s="62">
        <f ca="1">AVERAGE(OFFSET($BH$3,0,0,'Données projet'!$E$11+1,1))-AVERAGE(OFFSET($H$3,0,0,'Données projet'!$E$11+1,1))</f>
        <v>219.61164494001008</v>
      </c>
      <c r="BJ28" s="62">
        <f t="shared" si="38"/>
        <v>219.59799863414111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141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140.99999999999997</v>
      </c>
      <c r="BZ28" s="14">
        <f>BY28*VLOOKUP('Données projet'!$B$12,Paramètres!$A$1:$I$89,3,0)*VLOOKUP('Données projet'!$B$12,Paramètres!$A$1:$I$89,5,0)</f>
        <v>109.97999999999998</v>
      </c>
      <c r="CA28" s="14">
        <f t="shared" si="39"/>
        <v>29.326272366698234</v>
      </c>
      <c r="CB28" s="22">
        <f t="shared" si="10"/>
        <v>242.62509103866606</v>
      </c>
      <c r="CC28" s="62">
        <f t="shared" si="11"/>
        <v>535.9584243719994</v>
      </c>
      <c r="CD28" s="62">
        <f ca="1">AVERAGE(OFFSET($CC$3,0,0,'Données projet'!$E$12+1,1))-AVERAGE(OFFSET($H$3,0,0,'Données projet'!$E$12+1,1))</f>
        <v>220.70608186257931</v>
      </c>
      <c r="CE28" s="62">
        <f t="shared" si="40"/>
        <v>208.79744153433245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55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6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9">
        <f t="shared" si="1"/>
        <v>326.42505655450702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19</v>
      </c>
      <c r="N29" s="14">
        <f>IF('Données projet'!$A$36&gt;35,N28+M29-V28,IF(A29&lt;'Données projet'!$A$36,$K$205^A29,IF(A29='Données projet'!$A$36,'Données projet'!$B$36,N28+M29-V28)))</f>
        <v>242</v>
      </c>
      <c r="O29" s="14">
        <f>N29*VLOOKUP('Données projet'!$B$9,Paramètres!$A$1:$I$89,3,0)*VLOOKUP('Données projet'!$B$9,Paramètres!$A$1:$I$89,5,0)</f>
        <v>135.27800000000002</v>
      </c>
      <c r="P29" s="14">
        <f t="shared" si="33"/>
        <v>35.213110998543605</v>
      </c>
      <c r="Q29" s="22">
        <f t="shared" si="2"/>
        <v>296.93868498913014</v>
      </c>
      <c r="R29" s="62">
        <f t="shared" si="0"/>
        <v>590.27201832246351</v>
      </c>
      <c r="S29" s="62">
        <f ca="1">AVERAGE(OFFSET($R$3,0,0,'Données projet'!$E$9+1,1))-AVERAGE(OFFSET($H$3,0,0,'Données projet'!$E$9+1,1))</f>
        <v>302.20483575440988</v>
      </c>
      <c r="T29" s="62">
        <f t="shared" si="34"/>
        <v>275.32862097158687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11.140227255395057</v>
      </c>
      <c r="AB29" s="23">
        <f>EXP(-LN(2)/2)*AB28+(1-EXP(-LN(2)/2))/(LN(2)/2)*V29*Y29*VLOOKUP('Données projet'!$B$9,Paramètres!$A$1:$I$89,3,0)*0.475*44/12</f>
        <v>3.524381490434163</v>
      </c>
      <c r="AC29" s="24">
        <f t="shared" si="3"/>
        <v>14.66460874582922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14.166666666666666</v>
      </c>
      <c r="AI29" s="14">
        <f>IF('Données projet'!$A$62&gt;35,AI28+AH29-AQ28,IF(A29&lt;'Données projet'!$A$62,$AF$205^A29,IF(A29='Données projet'!$A$62,'Données projet'!$B$62,AI28+AH29-AQ28)))</f>
        <v>196.33333333333331</v>
      </c>
      <c r="AJ29" s="14">
        <f>AI29*VLOOKUP('Données projet'!$B$10,Paramètres!$A$1:$I$89,3,0)*VLOOKUP('Données projet'!$B$10,Paramètres!$A$1:$I$89,5,0)</f>
        <v>122.51199999999997</v>
      </c>
      <c r="AK29" s="14">
        <f t="shared" si="35"/>
        <v>32.260173749374388</v>
      </c>
      <c r="AL29" s="22">
        <f t="shared" si="4"/>
        <v>269.56153594682701</v>
      </c>
      <c r="AM29" s="62">
        <f t="shared" si="5"/>
        <v>562.89486928016026</v>
      </c>
      <c r="AN29" s="62">
        <f ca="1">AVERAGE(OFFSET($AM$3,0,0,'Données projet'!$E$10+1,1))-AVERAGE(OFFSET($H$3,0,0,'Données projet'!$E$10+1,1))</f>
        <v>180.20749454145079</v>
      </c>
      <c r="AO29" s="62">
        <f t="shared" si="36"/>
        <v>307.23455947678775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9.9054149924140873</v>
      </c>
      <c r="AW29" s="23">
        <f>EXP(-LN(2)/2)*AW28+(1-EXP(-LN(2)/2))/(LN(2)/2)*AQ29*AT29*VLOOKUP('Données projet'!$B$10,Paramètres!$A$1:$I$89,3,0)*0.475*44/12</f>
        <v>2.8725855780282878</v>
      </c>
      <c r="AX29" s="23">
        <f t="shared" si="6"/>
        <v>12.778000570442375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6.4</v>
      </c>
      <c r="BD29" s="13">
        <f>IF('Données projet'!$A$88&gt;35,BD28+BC29-BL28,IF(A29&lt;'Données projet'!$A$88,$BA$205^A29,IF(A29='Données projet'!$A$88,'Données projet'!$B$88,BD28+BC29-BL28)))</f>
        <v>121.39999999999998</v>
      </c>
      <c r="BE29" s="14">
        <f>BD29*VLOOKUP('Données projet'!$B$11,Paramètres!$A$1:$I$89,3,0)*VLOOKUP('Données projet'!$B$11,Paramètres!$A$1:$I$89,5,0)</f>
        <v>96.58583999999999</v>
      </c>
      <c r="BF29" s="14">
        <f t="shared" si="37"/>
        <v>26.146983882464014</v>
      </c>
      <c r="BG29" s="22">
        <f t="shared" si="7"/>
        <v>213.75966826195815</v>
      </c>
      <c r="BH29" s="62">
        <f t="shared" si="8"/>
        <v>507.09300159529147</v>
      </c>
      <c r="BI29" s="62">
        <f ca="1">AVERAGE(OFFSET($BH$3,0,0,'Données projet'!$E$11+1,1))-AVERAGE(OFFSET($H$3,0,0,'Données projet'!$E$11+1,1))</f>
        <v>219.61164494001008</v>
      </c>
      <c r="BJ29" s="62">
        <f t="shared" si="38"/>
        <v>219.59799863414111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97.499999999999972</v>
      </c>
      <c r="BZ29" s="14">
        <f>BY29*VLOOKUP('Données projet'!$B$12,Paramètres!$A$1:$I$89,3,0)*VLOOKUP('Données projet'!$B$12,Paramètres!$A$1:$I$89,5,0)</f>
        <v>76.049999999999983</v>
      </c>
      <c r="CA29" s="14">
        <f t="shared" si="39"/>
        <v>21.168560890749262</v>
      </c>
      <c r="CB29" s="22">
        <f t="shared" si="10"/>
        <v>169.32232688472158</v>
      </c>
      <c r="CC29" s="62">
        <f t="shared" si="11"/>
        <v>462.65566021805489</v>
      </c>
      <c r="CD29" s="62">
        <f ca="1">AVERAGE(OFFSET($CC$3,0,0,'Données projet'!$E$12+1,1))-AVERAGE(OFFSET($H$3,0,0,'Données projet'!$E$12+1,1))</f>
        <v>220.70608186257931</v>
      </c>
      <c r="CE29" s="62">
        <f t="shared" si="40"/>
        <v>208.79744153433245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6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9">
        <f t="shared" si="1"/>
        <v>327.65972904304982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19</v>
      </c>
      <c r="N30" s="14">
        <f>IF('Données projet'!$A$36&gt;35,N29+M30-V29,IF(A30&lt;'Données projet'!$A$36,$K$205^A30,IF(A30='Données projet'!$A$36,'Données projet'!$B$36,N29+M30-V29)))</f>
        <v>261</v>
      </c>
      <c r="O30" s="14">
        <f>N30*VLOOKUP('Données projet'!$B$9,Paramètres!$A$1:$I$89,3,0)*VLOOKUP('Données projet'!$B$9,Paramètres!$A$1:$I$89,5,0)</f>
        <v>145.899</v>
      </c>
      <c r="P30" s="14">
        <f t="shared" si="33"/>
        <v>37.645120410716935</v>
      </c>
      <c r="Q30" s="22">
        <f t="shared" si="2"/>
        <v>319.67267638199866</v>
      </c>
      <c r="R30" s="62">
        <f t="shared" si="0"/>
        <v>613.00600971533197</v>
      </c>
      <c r="S30" s="62">
        <f ca="1">AVERAGE(OFFSET($R$3,0,0,'Données projet'!$E$9+1,1))-AVERAGE(OFFSET($H$3,0,0,'Données projet'!$E$9+1,1))</f>
        <v>302.20483575440988</v>
      </c>
      <c r="T30" s="62">
        <f t="shared" si="34"/>
        <v>275.32862097158687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10.83559715525719</v>
      </c>
      <c r="AB30" s="23">
        <f>EXP(-LN(2)/2)*AB29+(1-EXP(-LN(2)/2))/(LN(2)/2)*V30*Y30*VLOOKUP('Données projet'!$B$9,Paramètres!$A$1:$I$89,3,0)*0.475*44/12</f>
        <v>2.4921140513743483</v>
      </c>
      <c r="AC30" s="24">
        <f t="shared" si="3"/>
        <v>13.327711206631538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14.166666666666666</v>
      </c>
      <c r="AI30" s="14">
        <f>IF('Données projet'!$A$62&gt;35,AI29+AH30-AQ29,IF(A30&lt;'Données projet'!$A$62,$AF$205^A30,IF(A30='Données projet'!$A$62,'Données projet'!$B$62,AI29+AH30-AQ29)))</f>
        <v>210.49999999999997</v>
      </c>
      <c r="AJ30" s="14">
        <f>AI30*VLOOKUP('Données projet'!$B$10,Paramètres!$A$1:$I$89,3,0)*VLOOKUP('Données projet'!$B$10,Paramètres!$A$1:$I$89,5,0)</f>
        <v>131.35199999999998</v>
      </c>
      <c r="AK30" s="14">
        <f t="shared" si="35"/>
        <v>34.308578470466699</v>
      </c>
      <c r="AL30" s="22">
        <f t="shared" si="4"/>
        <v>288.52550750272945</v>
      </c>
      <c r="AM30" s="62">
        <f t="shared" si="5"/>
        <v>581.85884083606277</v>
      </c>
      <c r="AN30" s="62">
        <f ca="1">AVERAGE(OFFSET($AM$3,0,0,'Données projet'!$E$10+1,1))-AVERAGE(OFFSET($H$3,0,0,'Données projet'!$E$10+1,1))</f>
        <v>180.20749454145079</v>
      </c>
      <c r="AO30" s="62">
        <f t="shared" si="36"/>
        <v>307.23455947678775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9.6345508985433881</v>
      </c>
      <c r="AW30" s="23">
        <f>EXP(-LN(2)/2)*AW29+(1-EXP(-LN(2)/2))/(LN(2)/2)*AQ30*AT30*VLOOKUP('Données projet'!$B$10,Paramètres!$A$1:$I$89,3,0)*0.475*44/12</f>
        <v>2.0312247417624807</v>
      </c>
      <c r="AX30" s="23">
        <f t="shared" si="6"/>
        <v>11.665775640305869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6.4</v>
      </c>
      <c r="BD30" s="13">
        <f>IF('Données projet'!$A$88&gt;35,BD29+BC30-BL29,IF(A30&lt;'Données projet'!$A$88,$BA$205^A30,IF(A30='Données projet'!$A$88,'Données projet'!$B$88,BD29+BC30-BL29)))</f>
        <v>127.79999999999998</v>
      </c>
      <c r="BE30" s="14">
        <f>BD30*VLOOKUP('Données projet'!$B$11,Paramètres!$A$1:$I$89,3,0)*VLOOKUP('Données projet'!$B$11,Paramètres!$A$1:$I$89,5,0)</f>
        <v>101.67768</v>
      </c>
      <c r="BF30" s="14">
        <f t="shared" si="37"/>
        <v>27.361293833270413</v>
      </c>
      <c r="BG30" s="22">
        <f t="shared" si="7"/>
        <v>224.74287942627927</v>
      </c>
      <c r="BH30" s="62">
        <f t="shared" si="8"/>
        <v>518.07621275961264</v>
      </c>
      <c r="BI30" s="62">
        <f ca="1">AVERAGE(OFFSET($BH$3,0,0,'Données projet'!$E$11+1,1))-AVERAGE(OFFSET($H$3,0,0,'Données projet'!$E$11+1,1))</f>
        <v>219.61164494001008</v>
      </c>
      <c r="BJ30" s="62">
        <f t="shared" si="38"/>
        <v>219.59799863414111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108.99999999999997</v>
      </c>
      <c r="BZ30" s="14">
        <f>BY30*VLOOKUP('Données projet'!$B$12,Paramètres!$A$1:$I$89,3,0)*VLOOKUP('Données projet'!$B$12,Paramètres!$A$1:$I$89,5,0)</f>
        <v>85.019999999999982</v>
      </c>
      <c r="CA30" s="14">
        <f t="shared" si="39"/>
        <v>23.360218970693108</v>
      </c>
      <c r="CB30" s="22">
        <f t="shared" si="10"/>
        <v>188.76221470729047</v>
      </c>
      <c r="CC30" s="62">
        <f t="shared" si="11"/>
        <v>482.09554804062378</v>
      </c>
      <c r="CD30" s="62">
        <f ca="1">AVERAGE(OFFSET($CC$3,0,0,'Données projet'!$E$12+1,1))-AVERAGE(OFFSET($H$3,0,0,'Données projet'!$E$12+1,1))</f>
        <v>220.70608186257931</v>
      </c>
      <c r="CE30" s="62">
        <f t="shared" si="40"/>
        <v>208.79744153433245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6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9">
        <f t="shared" si="1"/>
        <v>328.89318071040799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280</v>
      </c>
      <c r="L31" s="13">
        <f>VLOOKUP(A31,'Données projet'!$A$35:$I$55,9,0)</f>
        <v>19</v>
      </c>
      <c r="M31" s="13">
        <f t="array" ref="M31">INDEX(L:L,MIN(IF(ISNUMBER(L31:L227),ROW(L31:L227),"")))</f>
        <v>19</v>
      </c>
      <c r="N31" s="14">
        <f>IF('Données projet'!$A$36&gt;35,N30+M31-V30,IF(A31&lt;'Données projet'!$A$36,$K$205^A31,IF(A31='Données projet'!$A$36,'Données projet'!$B$36,N30+M31-V30)))</f>
        <v>280</v>
      </c>
      <c r="O31" s="14">
        <f>N31*VLOOKUP('Données projet'!$B$9,Paramètres!$A$1:$I$89,3,0)*VLOOKUP('Données projet'!$B$9,Paramètres!$A$1:$I$89,5,0)</f>
        <v>156.51999999999998</v>
      </c>
      <c r="P31" s="14">
        <f t="shared" si="33"/>
        <v>40.056589961286939</v>
      </c>
      <c r="Q31" s="22">
        <f t="shared" si="2"/>
        <v>342.37089418257466</v>
      </c>
      <c r="R31" s="62">
        <f t="shared" si="0"/>
        <v>635.70422751590797</v>
      </c>
      <c r="S31" s="62">
        <f ca="1">AVERAGE(OFFSET($R$3,0,0,'Données projet'!$E$9+1,1))-AVERAGE(OFFSET($H$3,0,0,'Données projet'!$E$9+1,1))</f>
        <v>302.20483575440988</v>
      </c>
      <c r="T31" s="62">
        <f t="shared" si="34"/>
        <v>275.32862097158687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64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0.27500000000000002</v>
      </c>
      <c r="Y31" s="17">
        <f>IF(ISNA(VLOOKUP(A31,'Données projet'!$A$35:$I$55,7,0)),0%,VLOOKUP(A31,'Données projet'!$A$35:$I$55,7,0))</f>
        <v>0.5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23.539181089865295</v>
      </c>
      <c r="AB31" s="23">
        <f>EXP(-LN(2)/2)*AB30+(1-EXP(-LN(2)/2))/(LN(2)/2)*V31*Y31*VLOOKUP('Données projet'!$B$9,Paramètres!$A$1:$I$89,3,0)*0.475*44/12</f>
        <v>22.015562083370504</v>
      </c>
      <c r="AC31" s="24">
        <f t="shared" si="3"/>
        <v>45.554743173235799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14.166666666666666</v>
      </c>
      <c r="AI31" s="14">
        <f>IF('Données projet'!$A$62&gt;35,AI30+AH31-AQ30,IF(A31&lt;'Données projet'!$A$62,$AF$205^A31,IF(A31='Données projet'!$A$62,'Données projet'!$B$62,AI30+AH31-AQ30)))</f>
        <v>224.66666666666663</v>
      </c>
      <c r="AJ31" s="14">
        <f>AI31*VLOOKUP('Données projet'!$B$10,Paramètres!$A$1:$I$89,3,0)*VLOOKUP('Données projet'!$B$10,Paramètres!$A$1:$I$89,5,0)</f>
        <v>140.19199999999998</v>
      </c>
      <c r="AK31" s="14">
        <f t="shared" si="35"/>
        <v>36.340986489928383</v>
      </c>
      <c r="AL31" s="22">
        <f t="shared" si="4"/>
        <v>307.46161813662519</v>
      </c>
      <c r="AM31" s="62">
        <f t="shared" si="5"/>
        <v>600.79495146995851</v>
      </c>
      <c r="AN31" s="62">
        <f ca="1">AVERAGE(OFFSET($AM$3,0,0,'Données projet'!$E$10+1,1))-AVERAGE(OFFSET($H$3,0,0,'Données projet'!$E$10+1,1))</f>
        <v>180.20749454145079</v>
      </c>
      <c r="AO31" s="62">
        <f t="shared" si="36"/>
        <v>307.23455947678775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9.3710935975637071</v>
      </c>
      <c r="AW31" s="23">
        <f>EXP(-LN(2)/2)*AW30+(1-EXP(-LN(2)/2))/(LN(2)/2)*AQ31*AT31*VLOOKUP('Données projet'!$B$10,Paramètres!$A$1:$I$89,3,0)*0.475*44/12</f>
        <v>1.4362927890141439</v>
      </c>
      <c r="AX31" s="23">
        <f t="shared" si="6"/>
        <v>10.807386386577852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6.4</v>
      </c>
      <c r="BD31" s="13">
        <f>IF('Données projet'!$A$88&gt;35,BD30+BC31-BL30,IF(A31&lt;'Données projet'!$A$88,$BA$205^A31,IF(A31='Données projet'!$A$88,'Données projet'!$B$88,BD30+BC31-BL30)))</f>
        <v>134.19999999999999</v>
      </c>
      <c r="BE31" s="14">
        <f>BD31*VLOOKUP('Données projet'!$B$11,Paramètres!$A$1:$I$89,3,0)*VLOOKUP('Données projet'!$B$11,Paramètres!$A$1:$I$89,5,0)</f>
        <v>106.76951999999999</v>
      </c>
      <c r="BF31" s="14">
        <f t="shared" si="37"/>
        <v>28.568542914630683</v>
      </c>
      <c r="BG31" s="22">
        <f t="shared" si="7"/>
        <v>235.71379290964839</v>
      </c>
      <c r="BH31" s="62">
        <f t="shared" si="8"/>
        <v>529.04712624298168</v>
      </c>
      <c r="BI31" s="62">
        <f ca="1">AVERAGE(OFFSET($BH$3,0,0,'Données projet'!$E$11+1,1))-AVERAGE(OFFSET($H$3,0,0,'Données projet'!$E$11+1,1))</f>
        <v>219.61164494001008</v>
      </c>
      <c r="BJ31" s="62">
        <f t="shared" si="38"/>
        <v>219.59799863414111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120.49999999999997</v>
      </c>
      <c r="BZ31" s="14">
        <f>BY31*VLOOKUP('Données projet'!$B$12,Paramètres!$A$1:$I$89,3,0)*VLOOKUP('Données projet'!$B$12,Paramètres!$A$1:$I$89,5,0)</f>
        <v>93.989999999999981</v>
      </c>
      <c r="CA31" s="14">
        <f t="shared" si="39"/>
        <v>25.525074036970079</v>
      </c>
      <c r="CB31" s="22">
        <f t="shared" si="10"/>
        <v>208.15542061438953</v>
      </c>
      <c r="CC31" s="62">
        <f t="shared" si="11"/>
        <v>501.48875394772284</v>
      </c>
      <c r="CD31" s="62">
        <f ca="1">AVERAGE(OFFSET($CC$3,0,0,'Données projet'!$E$12+1,1))-AVERAGE(OFFSET($H$3,0,0,'Données projet'!$E$12+1,1))</f>
        <v>220.70608186257931</v>
      </c>
      <c r="CE31" s="62">
        <f t="shared" si="40"/>
        <v>208.79744153433245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6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9">
        <f t="shared" si="1"/>
        <v>330.12546015243771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19.857142857142858</v>
      </c>
      <c r="N32" s="14">
        <f>IF('Données projet'!$A$36&gt;35,N31+M32-V31,IF(A32&lt;'Données projet'!$A$36,$K$205^A32,IF(A32='Données projet'!$A$36,'Données projet'!$B$36,N31+M32-V31)))</f>
        <v>235.85714285714283</v>
      </c>
      <c r="O32" s="14">
        <f>N32*VLOOKUP('Données projet'!$B$9,Paramètres!$A$1:$I$89,3,0)*VLOOKUP('Données projet'!$B$9,Paramètres!$A$1:$I$89,5,0)</f>
        <v>131.84414285714283</v>
      </c>
      <c r="P32" s="14">
        <f t="shared" si="33"/>
        <v>34.422136630345072</v>
      </c>
      <c r="Q32" s="22">
        <f t="shared" si="2"/>
        <v>289.5804367740414</v>
      </c>
      <c r="R32" s="62">
        <f t="shared" si="0"/>
        <v>582.91377010737472</v>
      </c>
      <c r="S32" s="62">
        <f ca="1">AVERAGE(OFFSET($R$3,0,0,'Données projet'!$E$9+1,1))-AVERAGE(OFFSET($H$3,0,0,'Données projet'!$E$9+1,1))</f>
        <v>302.20483575440988</v>
      </c>
      <c r="T32" s="62">
        <f t="shared" si="34"/>
        <v>275.32862097158687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22.895500945091193</v>
      </c>
      <c r="AB32" s="23">
        <f>EXP(-LN(2)/2)*AB31+(1-EXP(-LN(2)/2))/(LN(2)/2)*V32*Y32*VLOOKUP('Données projet'!$B$9,Paramètres!$A$1:$I$89,3,0)*0.475*44/12</f>
        <v>15.567353240784721</v>
      </c>
      <c r="AC32" s="24">
        <f t="shared" si="3"/>
        <v>38.462854185875912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14.166666666666666</v>
      </c>
      <c r="AI32" s="14">
        <f>IF('Données projet'!$A$62&gt;35,AI31+AH32-AQ31,IF(A32&lt;'Données projet'!$A$62,$AF$205^A32,IF(A32='Données projet'!$A$62,'Données projet'!$B$62,AI31+AH32-AQ31)))</f>
        <v>238.83333333333329</v>
      </c>
      <c r="AJ32" s="14">
        <f>AI32*VLOOKUP('Données projet'!$B$10,Paramètres!$A$1:$I$89,3,0)*VLOOKUP('Données projet'!$B$10,Paramètres!$A$1:$I$89,5,0)</f>
        <v>149.03199999999998</v>
      </c>
      <c r="AK32" s="14">
        <f t="shared" si="35"/>
        <v>38.358521326699815</v>
      </c>
      <c r="AL32" s="22">
        <f t="shared" si="4"/>
        <v>326.37182464400212</v>
      </c>
      <c r="AM32" s="62">
        <f t="shared" si="5"/>
        <v>619.70515797733538</v>
      </c>
      <c r="AN32" s="62">
        <f ca="1">AVERAGE(OFFSET($AM$3,0,0,'Données projet'!$E$10+1,1))-AVERAGE(OFFSET($H$3,0,0,'Données projet'!$E$10+1,1))</f>
        <v>180.20749454145079</v>
      </c>
      <c r="AO32" s="62">
        <f t="shared" si="36"/>
        <v>307.23455947678775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9.1148405503339323</v>
      </c>
      <c r="AW32" s="23">
        <f>EXP(-LN(2)/2)*AW31+(1-EXP(-LN(2)/2))/(LN(2)/2)*AQ32*AT32*VLOOKUP('Données projet'!$B$10,Paramètres!$A$1:$I$89,3,0)*0.475*44/12</f>
        <v>1.0156123708812403</v>
      </c>
      <c r="AX32" s="23">
        <f t="shared" si="6"/>
        <v>10.130452921215173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6.4</v>
      </c>
      <c r="BD32" s="13">
        <f>IF('Données projet'!$A$88&gt;35,BD31+BC32-BL31,IF(A32&lt;'Données projet'!$A$88,$BA$205^A32,IF(A32='Données projet'!$A$88,'Données projet'!$B$88,BD31+BC32-BL31)))</f>
        <v>140.6</v>
      </c>
      <c r="BE32" s="14">
        <f>BD32*VLOOKUP('Données projet'!$B$11,Paramètres!$A$1:$I$89,3,0)*VLOOKUP('Données projet'!$B$11,Paramètres!$A$1:$I$89,5,0)</f>
        <v>111.86136</v>
      </c>
      <c r="BF32" s="14">
        <f t="shared" si="37"/>
        <v>29.769106304683568</v>
      </c>
      <c r="BG32" s="22">
        <f t="shared" si="7"/>
        <v>246.67306214732389</v>
      </c>
      <c r="BH32" s="62">
        <f t="shared" si="8"/>
        <v>540.00639548065715</v>
      </c>
      <c r="BI32" s="62">
        <f ca="1">AVERAGE(OFFSET($BH$3,0,0,'Données projet'!$E$11+1,1))-AVERAGE(OFFSET($H$3,0,0,'Données projet'!$E$11+1,1))</f>
        <v>219.61164494001008</v>
      </c>
      <c r="BJ32" s="62">
        <f t="shared" si="38"/>
        <v>219.59799863414111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131.99999999999997</v>
      </c>
      <c r="BZ32" s="14">
        <f>BY32*VLOOKUP('Données projet'!$B$12,Paramètres!$A$1:$I$89,3,0)*VLOOKUP('Données projet'!$B$12,Paramètres!$A$1:$I$89,5,0)</f>
        <v>102.95999999999998</v>
      </c>
      <c r="CA32" s="14">
        <f t="shared" si="39"/>
        <v>27.665975080374633</v>
      </c>
      <c r="CB32" s="22">
        <f t="shared" si="10"/>
        <v>227.50690659831912</v>
      </c>
      <c r="CC32" s="62">
        <f t="shared" si="11"/>
        <v>520.84023993165238</v>
      </c>
      <c r="CD32" s="62">
        <f ca="1">AVERAGE(OFFSET($CC$3,0,0,'Données projet'!$E$12+1,1))-AVERAGE(OFFSET($H$3,0,0,'Données projet'!$E$12+1,1))</f>
        <v>220.70608186257931</v>
      </c>
      <c r="CE32" s="62">
        <f t="shared" si="40"/>
        <v>208.79744153433245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6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9">
        <f t="shared" si="1"/>
        <v>331.35661242347447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19.857142857142858</v>
      </c>
      <c r="N33" s="14">
        <f>IF('Données projet'!$A$36&gt;35,N32+M33-V32,IF(A33&lt;'Données projet'!$A$36,$K$205^A33,IF(A33='Données projet'!$A$36,'Données projet'!$B$36,N32+M33-V32)))</f>
        <v>255.71428571428569</v>
      </c>
      <c r="O33" s="14">
        <f>N33*VLOOKUP('Données projet'!$B$9,Paramètres!$A$1:$I$89,3,0)*VLOOKUP('Données projet'!$B$9,Paramètres!$A$1:$I$89,5,0)</f>
        <v>142.94428571428571</v>
      </c>
      <c r="P33" s="14">
        <f t="shared" si="33"/>
        <v>36.970680828333286</v>
      </c>
      <c r="Q33" s="22">
        <f t="shared" si="2"/>
        <v>313.35190006172803</v>
      </c>
      <c r="R33" s="62">
        <f t="shared" si="0"/>
        <v>606.68523339506135</v>
      </c>
      <c r="S33" s="62">
        <f ca="1">AVERAGE(OFFSET($R$3,0,0,'Données projet'!$E$9+1,1))-AVERAGE(OFFSET($H$3,0,0,'Données projet'!$E$9+1,1))</f>
        <v>302.20483575440988</v>
      </c>
      <c r="T33" s="62">
        <f t="shared" si="34"/>
        <v>275.32862097158687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22.269422267725609</v>
      </c>
      <c r="AB33" s="23">
        <f>EXP(-LN(2)/2)*AB32+(1-EXP(-LN(2)/2))/(LN(2)/2)*V33*Y33*VLOOKUP('Données projet'!$B$9,Paramètres!$A$1:$I$89,3,0)*0.475*44/12</f>
        <v>11.007781041685254</v>
      </c>
      <c r="AC33" s="24">
        <f t="shared" si="3"/>
        <v>33.277203309410865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253</v>
      </c>
      <c r="AG33" s="13">
        <f>VLOOKUP(A33,'Données projet'!$A$61:$I$81,9,0)</f>
        <v>14.166666666666666</v>
      </c>
      <c r="AH33" s="13">
        <f t="array" ref="AH33">INDEX(AG:AG,MIN(IF(ISNUMBER(AG33:AG229),ROW(AG33:AG229),"")))</f>
        <v>14.166666666666666</v>
      </c>
      <c r="AI33" s="14">
        <f>IF('Données projet'!$A$62&gt;35,AI32+AH33-AQ32,IF(A33&lt;'Données projet'!$A$62,$AF$205^A33,IF(A33='Données projet'!$A$62,'Données projet'!$B$62,AI32+AH33-AQ32)))</f>
        <v>252.99999999999994</v>
      </c>
      <c r="AJ33" s="14">
        <f>AI33*VLOOKUP('Données projet'!$B$10,Paramètres!$A$1:$I$89,3,0)*VLOOKUP('Données projet'!$B$10,Paramètres!$A$1:$I$89,5,0)</f>
        <v>157.87199999999996</v>
      </c>
      <c r="AK33" s="14">
        <f t="shared" si="35"/>
        <v>40.362165684361159</v>
      </c>
      <c r="AL33" s="22">
        <f t="shared" si="4"/>
        <v>345.25783856692897</v>
      </c>
      <c r="AM33" s="62">
        <f t="shared" si="5"/>
        <v>638.59117190026222</v>
      </c>
      <c r="AN33" s="62">
        <f ca="1">AVERAGE(OFFSET($AM$3,0,0,'Données projet'!$E$10+1,1))-AVERAGE(OFFSET($H$3,0,0,'Données projet'!$E$10+1,1))</f>
        <v>180.20749454145079</v>
      </c>
      <c r="AO33" s="62">
        <f t="shared" si="36"/>
        <v>307.23455947678775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82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0.3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29.148711721430779</v>
      </c>
      <c r="AW33" s="23">
        <f>EXP(-LN(2)/2)*AW32+(1-EXP(-LN(2)/2))/(LN(2)/2)*AQ33*AT33*VLOOKUP('Données projet'!$B$10,Paramètres!$A$1:$I$89,3,0)*0.475*44/12</f>
        <v>29.685177494424178</v>
      </c>
      <c r="AX33" s="23">
        <f t="shared" si="6"/>
        <v>58.833889215854953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147</v>
      </c>
      <c r="BB33" s="13">
        <f>VLOOKUP(A33,'Données projet'!$A$87:$I$107,9,0)</f>
        <v>6.4</v>
      </c>
      <c r="BC33" s="13">
        <f t="array" ref="BC33">INDEX(BB:BB,MIN(IF(ISNUMBER(BB33:BB229),ROW(BB33:BB229),"")))</f>
        <v>6.4</v>
      </c>
      <c r="BD33" s="13">
        <f>IF('Données projet'!$A$88&gt;35,BD32+BC33-BL32,IF(A33&lt;'Données projet'!$A$88,$BA$205^A33,IF(A33='Données projet'!$A$88,'Données projet'!$B$88,BD32+BC33-BL32)))</f>
        <v>147</v>
      </c>
      <c r="BE33" s="14">
        <f>BD33*VLOOKUP('Données projet'!$B$11,Paramètres!$A$1:$I$89,3,0)*VLOOKUP('Données projet'!$B$11,Paramètres!$A$1:$I$89,5,0)</f>
        <v>116.9532</v>
      </c>
      <c r="BF33" s="14">
        <f t="shared" si="37"/>
        <v>30.963323095281662</v>
      </c>
      <c r="BG33" s="22">
        <f t="shared" si="7"/>
        <v>257.62127772428227</v>
      </c>
      <c r="BH33" s="62">
        <f t="shared" si="8"/>
        <v>550.95461105761558</v>
      </c>
      <c r="BI33" s="62">
        <f ca="1">AVERAGE(OFFSET($BH$3,0,0,'Données projet'!$E$11+1,1))-AVERAGE(OFFSET($H$3,0,0,'Données projet'!$E$11+1,1))</f>
        <v>219.61164494001008</v>
      </c>
      <c r="BJ33" s="62">
        <f t="shared" si="38"/>
        <v>219.59799863414111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56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143.49999999999997</v>
      </c>
      <c r="BZ33" s="14">
        <f>BY33*VLOOKUP('Données projet'!$B$12,Paramètres!$A$1:$I$89,3,0)*VLOOKUP('Données projet'!$B$12,Paramètres!$A$1:$I$89,5,0)</f>
        <v>111.92999999999998</v>
      </c>
      <c r="CA33" s="14">
        <f t="shared" si="39"/>
        <v>29.785246291563833</v>
      </c>
      <c r="CB33" s="22">
        <f t="shared" si="10"/>
        <v>246.82072062447358</v>
      </c>
      <c r="CC33" s="62">
        <f t="shared" si="11"/>
        <v>540.15405395780692</v>
      </c>
      <c r="CD33" s="62">
        <f ca="1">AVERAGE(OFFSET($CC$3,0,0,'Données projet'!$E$12+1,1))-AVERAGE(OFFSET($H$3,0,0,'Données projet'!$E$12+1,1))</f>
        <v>220.70608186257931</v>
      </c>
      <c r="CE33" s="62">
        <f t="shared" si="40"/>
        <v>208.79744153433245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6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9">
        <f t="shared" si="1"/>
        <v>332.58667940379132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19.857142857142858</v>
      </c>
      <c r="N34" s="14">
        <f>IF('Données projet'!$A$36&gt;35,N33+M34-V33,IF(A34&lt;'Données projet'!$A$36,$K$205^A34,IF(A34='Données projet'!$A$36,'Données projet'!$B$36,N33+M34-V33)))</f>
        <v>275.57142857142856</v>
      </c>
      <c r="O34" s="14">
        <f>N34*VLOOKUP('Données projet'!$B$9,Paramètres!$A$1:$I$89,3,0)*VLOOKUP('Données projet'!$B$9,Paramètres!$A$1:$I$89,5,0)</f>
        <v>154.04442857142857</v>
      </c>
      <c r="P34" s="14">
        <f t="shared" si="33"/>
        <v>39.496268491280283</v>
      </c>
      <c r="Q34" s="22">
        <f t="shared" si="2"/>
        <v>337.08338071755128</v>
      </c>
      <c r="R34" s="62">
        <f t="shared" si="0"/>
        <v>630.41671405088459</v>
      </c>
      <c r="S34" s="62">
        <f ca="1">AVERAGE(OFFSET($R$3,0,0,'Données projet'!$E$9+1,1))-AVERAGE(OFFSET($H$3,0,0,'Données projet'!$E$9+1,1))</f>
        <v>302.20483575440988</v>
      </c>
      <c r="T34" s="62">
        <f t="shared" si="34"/>
        <v>275.32862097158687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21.660463744716633</v>
      </c>
      <c r="AB34" s="23">
        <f>EXP(-LN(2)/2)*AB33+(1-EXP(-LN(2)/2))/(LN(2)/2)*V34*Y34*VLOOKUP('Données projet'!$B$9,Paramètres!$A$1:$I$89,3,0)*0.475*44/12</f>
        <v>7.7836766203923613</v>
      </c>
      <c r="AC34" s="24">
        <f t="shared" si="3"/>
        <v>29.444140365108993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12.833333333333334</v>
      </c>
      <c r="AI34" s="14">
        <f>IF('Données projet'!$A$62&gt;35,AI33+AH34-AQ33,IF(A34&lt;'Données projet'!$A$62,$AF$205^A34,IF(A34='Données projet'!$A$62,'Données projet'!$B$62,AI33+AH34-AQ33)))</f>
        <v>183.83333333333326</v>
      </c>
      <c r="AJ34" s="14">
        <f>AI34*VLOOKUP('Données projet'!$B$10,Paramètres!$A$1:$I$89,3,0)*VLOOKUP('Données projet'!$B$10,Paramètres!$A$1:$I$89,5,0)</f>
        <v>114.71199999999996</v>
      </c>
      <c r="AK34" s="14">
        <f t="shared" si="35"/>
        <v>30.438443898016164</v>
      </c>
      <c r="AL34" s="22">
        <f t="shared" si="4"/>
        <v>252.80368978904474</v>
      </c>
      <c r="AM34" s="62">
        <f t="shared" si="5"/>
        <v>546.13702312237808</v>
      </c>
      <c r="AN34" s="62">
        <f ca="1">AVERAGE(OFFSET($AM$3,0,0,'Données projet'!$E$10+1,1))-AVERAGE(OFFSET($H$3,0,0,'Données projet'!$E$10+1,1))</f>
        <v>180.20749454145079</v>
      </c>
      <c r="AO34" s="62">
        <f t="shared" si="36"/>
        <v>307.23455947678775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28.351638666544126</v>
      </c>
      <c r="AW34" s="23">
        <f>EXP(-LN(2)/2)*AW33+(1-EXP(-LN(2)/2))/(LN(2)/2)*AQ34*AT34*VLOOKUP('Données projet'!$B$10,Paramètres!$A$1:$I$89,3,0)*0.475*44/12</f>
        <v>20.990590307033624</v>
      </c>
      <c r="AX34" s="23">
        <f t="shared" si="6"/>
        <v>49.342228973577747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16.2</v>
      </c>
      <c r="BD34" s="13">
        <f>IF('Données projet'!$A$88&gt;35,BD33+BC34-BL33,IF(A34&lt;'Données projet'!$A$88,$BA$205^A34,IF(A34='Données projet'!$A$88,'Données projet'!$B$88,BD33+BC34-BL33)))</f>
        <v>107.19999999999999</v>
      </c>
      <c r="BE34" s="14">
        <f>BD34*VLOOKUP('Données projet'!$B$11,Paramètres!$A$1:$I$89,3,0)*VLOOKUP('Données projet'!$B$11,Paramètres!$A$1:$I$89,5,0)</f>
        <v>85.288319999999999</v>
      </c>
      <c r="BF34" s="14">
        <f t="shared" si="37"/>
        <v>23.425349540470684</v>
      </c>
      <c r="BG34" s="22">
        <f t="shared" si="7"/>
        <v>189.34297444965307</v>
      </c>
      <c r="BH34" s="62">
        <f t="shared" si="8"/>
        <v>482.67630778298638</v>
      </c>
      <c r="BI34" s="62">
        <f ca="1">AVERAGE(OFFSET($BH$3,0,0,'Données projet'!$E$11+1,1))-AVERAGE(OFFSET($H$3,0,0,'Données projet'!$E$11+1,1))</f>
        <v>219.61164494001008</v>
      </c>
      <c r="BJ34" s="62">
        <f t="shared" si="38"/>
        <v>219.59799863414111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154.99999999999997</v>
      </c>
      <c r="BZ34" s="14">
        <f>BY34*VLOOKUP('Données projet'!$B$12,Paramètres!$A$1:$I$89,3,0)*VLOOKUP('Données projet'!$B$12,Paramètres!$A$1:$I$89,5,0)</f>
        <v>120.89999999999998</v>
      </c>
      <c r="CA34" s="14">
        <f t="shared" si="39"/>
        <v>31.884818143351602</v>
      </c>
      <c r="CB34" s="22">
        <f t="shared" si="10"/>
        <v>266.10022493300397</v>
      </c>
      <c r="CC34" s="62">
        <f t="shared" si="11"/>
        <v>559.43355826633729</v>
      </c>
      <c r="CD34" s="62">
        <f ca="1">AVERAGE(OFFSET($CC$3,0,0,'Données projet'!$E$12+1,1))-AVERAGE(OFFSET($H$3,0,0,'Données projet'!$E$12+1,1))</f>
        <v>220.70608186257931</v>
      </c>
      <c r="CE34" s="62">
        <f t="shared" si="40"/>
        <v>208.79744153433245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6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9">
        <f t="shared" si="1"/>
        <v>333.81570011831167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19.857142857142858</v>
      </c>
      <c r="N35" s="14">
        <f>IF('Données projet'!$A$36&gt;35,N34+M35-V34,IF(A35&lt;'Données projet'!$A$36,$K$205^A35,IF(A35='Données projet'!$A$36,'Données projet'!$B$36,N34+M35-V34)))</f>
        <v>295.42857142857139</v>
      </c>
      <c r="O35" s="14">
        <f>N35*VLOOKUP('Données projet'!$B$9,Paramètres!$A$1:$I$89,3,0)*VLOOKUP('Données projet'!$B$9,Paramètres!$A$1:$I$89,5,0)</f>
        <v>165.14457142857142</v>
      </c>
      <c r="P35" s="14">
        <f t="shared" si="33"/>
        <v>42.000741952671746</v>
      </c>
      <c r="Q35" s="22">
        <f t="shared" ref="Q35:Q66" si="53">(O35+P35)*0.475*44/12</f>
        <v>360.77808747233183</v>
      </c>
      <c r="R35" s="62">
        <f t="shared" si="0"/>
        <v>654.11142080566515</v>
      </c>
      <c r="S35" s="62">
        <f ca="1">AVERAGE(OFFSET($R$3,0,0,'Données projet'!$E$9+1,1))-AVERAGE(OFFSET($H$3,0,0,'Données projet'!$E$9+1,1))</f>
        <v>302.20483575440988</v>
      </c>
      <c r="T35" s="62">
        <f t="shared" si="34"/>
        <v>275.32862097158687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21.068157224543075</v>
      </c>
      <c r="AB35" s="23">
        <f>EXP(-LN(2)/2)*AB34+(1-EXP(-LN(2)/2))/(LN(2)/2)*V35*Y35*VLOOKUP('Données projet'!$B$9,Paramètres!$A$1:$I$89,3,0)*0.475*44/12</f>
        <v>5.5038905208426279</v>
      </c>
      <c r="AC35" s="24">
        <f t="shared" si="3"/>
        <v>26.572047745385703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12.833333333333334</v>
      </c>
      <c r="AI35" s="14">
        <f>IF('Données projet'!$A$62&gt;35,AI34+AH35-AQ34,IF(A35&lt;'Données projet'!$A$62,$AF$205^A35,IF(A35='Données projet'!$A$62,'Données projet'!$B$62,AI34+AH35-AQ34)))</f>
        <v>196.6666666666666</v>
      </c>
      <c r="AJ35" s="14">
        <f>AI35*VLOOKUP('Données projet'!$B$10,Paramètres!$A$1:$I$89,3,0)*VLOOKUP('Données projet'!$B$10,Paramètres!$A$1:$I$89,5,0)</f>
        <v>122.71999999999996</v>
      </c>
      <c r="AK35" s="14">
        <f t="shared" si="35"/>
        <v>32.308564708068729</v>
      </c>
      <c r="AL35" s="22">
        <f t="shared" si="4"/>
        <v>270.00808353321963</v>
      </c>
      <c r="AM35" s="62">
        <f t="shared" si="5"/>
        <v>563.34141686655289</v>
      </c>
      <c r="AN35" s="62">
        <f ca="1">AVERAGE(OFFSET($AM$3,0,0,'Données projet'!$E$10+1,1))-AVERAGE(OFFSET($H$3,0,0,'Données projet'!$E$10+1,1))</f>
        <v>180.20749454145079</v>
      </c>
      <c r="AO35" s="62">
        <f t="shared" si="36"/>
        <v>307.23455947678775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27.576361616259597</v>
      </c>
      <c r="AW35" s="23">
        <f>EXP(-LN(2)/2)*AW34+(1-EXP(-LN(2)/2))/(LN(2)/2)*AQ35*AT35*VLOOKUP('Données projet'!$B$10,Paramètres!$A$1:$I$89,3,0)*0.475*44/12</f>
        <v>14.842588747212092</v>
      </c>
      <c r="AX35" s="23">
        <f t="shared" si="6"/>
        <v>42.418950363471687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16.2</v>
      </c>
      <c r="BD35" s="13">
        <f>IF('Données projet'!$A$88&gt;35,BD34+BC35-BL34,IF(A35&lt;'Données projet'!$A$88,$BA$205^A35,IF(A35='Données projet'!$A$88,'Données projet'!$B$88,BD34+BC35-BL34)))</f>
        <v>123.39999999999999</v>
      </c>
      <c r="BE35" s="14">
        <f>BD35*VLOOKUP('Données projet'!$B$11,Paramètres!$A$1:$I$89,3,0)*VLOOKUP('Données projet'!$B$11,Paramètres!$A$1:$I$89,5,0)</f>
        <v>98.177040000000005</v>
      </c>
      <c r="BF35" s="14">
        <f t="shared" si="37"/>
        <v>26.527238539170206</v>
      </c>
      <c r="BG35" s="22">
        <f t="shared" si="7"/>
        <v>217.19328512238812</v>
      </c>
      <c r="BH35" s="62">
        <f t="shared" si="8"/>
        <v>510.5266184557214</v>
      </c>
      <c r="BI35" s="62">
        <f ca="1">AVERAGE(OFFSET($BH$3,0,0,'Données projet'!$E$11+1,1))-AVERAGE(OFFSET($H$3,0,0,'Données projet'!$E$11+1,1))</f>
        <v>219.61164494001008</v>
      </c>
      <c r="BJ35" s="62">
        <f t="shared" si="38"/>
        <v>219.59799863414111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130.49999999999997</v>
      </c>
      <c r="BZ35" s="14">
        <f>BY35*VLOOKUP('Données projet'!$B$12,Paramètres!$A$1:$I$89,3,0)*VLOOKUP('Données projet'!$B$12,Paramètres!$A$1:$I$89,5,0)</f>
        <v>101.78999999999998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518.31834832248774</v>
      </c>
      <c r="CD35" s="62">
        <f ca="1">AVERAGE(OFFSET($CC$3,0,0,'Données projet'!$E$12+1,1))-AVERAGE(OFFSET($H$3,0,0,'Données projet'!$E$12+1,1))</f>
        <v>220.70608186257931</v>
      </c>
      <c r="CE35" s="62">
        <f t="shared" si="40"/>
        <v>208.79744153433245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6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9">
        <f t="shared" si="1"/>
        <v>335.04371101436357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19.857142857142858</v>
      </c>
      <c r="N36" s="14">
        <f>IF('Données projet'!$A$36&gt;35,N35+M36-V35,IF(A36&lt;'Données projet'!$A$36,$K$205^A36,IF(A36='Données projet'!$A$36,'Données projet'!$B$36,N35+M36-V35)))</f>
        <v>315.28571428571422</v>
      </c>
      <c r="O36" s="14">
        <f>N36*VLOOKUP('Données projet'!$B$9,Paramètres!$A$1:$I$89,3,0)*VLOOKUP('Données projet'!$B$9,Paramètres!$A$1:$I$89,5,0)</f>
        <v>176.24471428571425</v>
      </c>
      <c r="P36" s="14">
        <f t="shared" si="33"/>
        <v>44.485681868533291</v>
      </c>
      <c r="Q36" s="22">
        <f t="shared" si="53"/>
        <v>384.43877330198114</v>
      </c>
      <c r="R36" s="62">
        <f t="shared" si="0"/>
        <v>677.77210663531446</v>
      </c>
      <c r="S36" s="62">
        <f ca="1">AVERAGE(OFFSET($R$3,0,0,'Données projet'!$E$9+1,1))-AVERAGE(OFFSET($H$3,0,0,'Données projet'!$E$9+1,1))</f>
        <v>302.20483575440988</v>
      </c>
      <c r="T36" s="62">
        <f t="shared" si="34"/>
        <v>275.32862097158687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20.492047357311709</v>
      </c>
      <c r="AB36" s="23">
        <f>EXP(-LN(2)/2)*AB35+(1-EXP(-LN(2)/2))/(LN(2)/2)*V36*Y36*VLOOKUP('Données projet'!$B$9,Paramètres!$A$1:$I$89,3,0)*0.475*44/12</f>
        <v>3.8918383101961815</v>
      </c>
      <c r="AC36" s="24">
        <f t="shared" si="3"/>
        <v>24.38388566750789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12.833333333333334</v>
      </c>
      <c r="AI36" s="14">
        <f>IF('Données projet'!$A$62&gt;35,AI35+AH36-AQ35,IF(A36&lt;'Données projet'!$A$62,$AF$205^A36,IF(A36='Données projet'!$A$62,'Données projet'!$B$62,AI35+AH36-AQ35)))</f>
        <v>209.49999999999994</v>
      </c>
      <c r="AJ36" s="14">
        <f>AI36*VLOOKUP('Données projet'!$B$10,Paramètres!$A$1:$I$89,3,0)*VLOOKUP('Données projet'!$B$10,Paramètres!$A$1:$I$89,5,0)</f>
        <v>130.72799999999998</v>
      </c>
      <c r="AK36" s="14">
        <f t="shared" si="35"/>
        <v>34.164524045585857</v>
      </c>
      <c r="AL36" s="22">
        <f t="shared" si="4"/>
        <v>287.18781271272866</v>
      </c>
      <c r="AM36" s="62">
        <f t="shared" si="5"/>
        <v>580.52114604606197</v>
      </c>
      <c r="AN36" s="62">
        <f ca="1">AVERAGE(OFFSET($AM$3,0,0,'Données projet'!$E$10+1,1))-AVERAGE(OFFSET($H$3,0,0,'Données projet'!$E$10+1,1))</f>
        <v>180.20749454145079</v>
      </c>
      <c r="AO36" s="62">
        <f t="shared" si="36"/>
        <v>307.23455947678775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26.822284557685148</v>
      </c>
      <c r="AW36" s="23">
        <f>EXP(-LN(2)/2)*AW35+(1-EXP(-LN(2)/2))/(LN(2)/2)*AQ36*AT36*VLOOKUP('Données projet'!$B$10,Paramètres!$A$1:$I$89,3,0)*0.475*44/12</f>
        <v>10.495295153516814</v>
      </c>
      <c r="AX36" s="23">
        <f t="shared" si="6"/>
        <v>37.317579711201958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16.2</v>
      </c>
      <c r="BD36" s="13">
        <f>IF('Données projet'!$A$88&gt;35,BD35+BC36-BL35,IF(A36&lt;'Données projet'!$A$88,$BA$205^A36,IF(A36='Données projet'!$A$88,'Données projet'!$B$88,BD35+BC36-BL35)))</f>
        <v>139.6</v>
      </c>
      <c r="BE36" s="14">
        <f>BD36*VLOOKUP('Données projet'!$B$11,Paramètres!$A$1:$I$89,3,0)*VLOOKUP('Données projet'!$B$11,Paramètres!$A$1:$I$89,5,0)</f>
        <v>111.06576</v>
      </c>
      <c r="BF36" s="14">
        <f t="shared" si="37"/>
        <v>29.581944857062648</v>
      </c>
      <c r="BG36" s="22">
        <f t="shared" si="7"/>
        <v>244.96141929271744</v>
      </c>
      <c r="BH36" s="62">
        <f t="shared" si="8"/>
        <v>538.29475262605069</v>
      </c>
      <c r="BI36" s="62">
        <f ca="1">AVERAGE(OFFSET($BH$3,0,0,'Données projet'!$E$11+1,1))-AVERAGE(OFFSET($H$3,0,0,'Données projet'!$E$11+1,1))</f>
        <v>219.61164494001008</v>
      </c>
      <c r="BJ36" s="62">
        <f t="shared" si="38"/>
        <v>219.59799863414111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141.99999999999997</v>
      </c>
      <c r="BZ36" s="14">
        <f>BY36*VLOOKUP('Données projet'!$B$12,Paramètres!$A$1:$I$89,3,0)*VLOOKUP('Données projet'!$B$12,Paramètres!$A$1:$I$89,5,0)</f>
        <v>110.75999999999998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537.63687257178208</v>
      </c>
      <c r="CD36" s="62">
        <f ca="1">AVERAGE(OFFSET($CC$3,0,0,'Données projet'!$E$12+1,1))-AVERAGE(OFFSET($H$3,0,0,'Données projet'!$E$12+1,1))</f>
        <v>220.70608186257931</v>
      </c>
      <c r="CE36" s="62">
        <f t="shared" si="40"/>
        <v>208.79744153433245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6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9">
        <f t="shared" si="1"/>
        <v>336.27074620482119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19.857142857142858</v>
      </c>
      <c r="N37" s="14">
        <f>IF('Données projet'!$A$36&gt;35,N36+M37-V36,IF(A37&lt;'Données projet'!$A$36,$K$205^A37,IF(A37='Données projet'!$A$36,'Données projet'!$B$36,N36+M37-V36)))</f>
        <v>335.14285714285705</v>
      </c>
      <c r="O37" s="14">
        <f>N37*VLOOKUP('Données projet'!$B$9,Paramètres!$A$1:$I$89,3,0)*VLOOKUP('Données projet'!$B$9,Paramètres!$A$1:$I$89,5,0)</f>
        <v>187.34485714285708</v>
      </c>
      <c r="P37" s="14">
        <f t="shared" si="33"/>
        <v>46.95245853654621</v>
      </c>
      <c r="Q37" s="22">
        <f t="shared" si="53"/>
        <v>408.06782480829406</v>
      </c>
      <c r="R37" s="62">
        <f t="shared" si="0"/>
        <v>701.40115814162732</v>
      </c>
      <c r="S37" s="62">
        <f ca="1">AVERAGE(OFFSET($R$3,0,0,'Données projet'!$E$9+1,1))-AVERAGE(OFFSET($H$3,0,0,'Données projet'!$E$9+1,1))</f>
        <v>302.20483575440988</v>
      </c>
      <c r="T37" s="62">
        <f t="shared" si="34"/>
        <v>275.32862097158687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19.931691244696086</v>
      </c>
      <c r="AB37" s="23">
        <f>EXP(-LN(2)/2)*AB36+(1-EXP(-LN(2)/2))/(LN(2)/2)*V37*Y37*VLOOKUP('Données projet'!$B$9,Paramètres!$A$1:$I$89,3,0)*0.475*44/12</f>
        <v>2.7519452604213144</v>
      </c>
      <c r="AC37" s="24">
        <f t="shared" si="3"/>
        <v>22.683636505117402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12.833333333333334</v>
      </c>
      <c r="AI37" s="14">
        <f>IF('Données projet'!$A$62&gt;35,AI36+AH37-AQ36,IF(A37&lt;'Données projet'!$A$62,$AF$205^A37,IF(A37='Données projet'!$A$62,'Données projet'!$B$62,AI36+AH37-AQ36)))</f>
        <v>222.33333333333329</v>
      </c>
      <c r="AJ37" s="14">
        <f>AI37*VLOOKUP('Données projet'!$B$10,Paramètres!$A$1:$I$89,3,0)*VLOOKUP('Données projet'!$B$10,Paramètres!$A$1:$I$89,5,0)</f>
        <v>138.73599999999996</v>
      </c>
      <c r="AK37" s="14">
        <f t="shared" si="35"/>
        <v>36.007288175538044</v>
      </c>
      <c r="AL37" s="22">
        <f t="shared" si="4"/>
        <v>304.34456023906199</v>
      </c>
      <c r="AM37" s="62">
        <f t="shared" si="5"/>
        <v>597.67789357239531</v>
      </c>
      <c r="AN37" s="62">
        <f ca="1">AVERAGE(OFFSET($AM$3,0,0,'Données projet'!$E$10+1,1))-AVERAGE(OFFSET($H$3,0,0,'Données projet'!$E$10+1,1))</f>
        <v>180.20749454145079</v>
      </c>
      <c r="AO37" s="62">
        <f t="shared" si="36"/>
        <v>307.23455947678775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26.088827775932607</v>
      </c>
      <c r="AW37" s="23">
        <f>EXP(-LN(2)/2)*AW36+(1-EXP(-LN(2)/2))/(LN(2)/2)*AQ37*AT37*VLOOKUP('Données projet'!$B$10,Paramètres!$A$1:$I$89,3,0)*0.475*44/12</f>
        <v>7.421294373606047</v>
      </c>
      <c r="AX37" s="23">
        <f t="shared" si="6"/>
        <v>33.510122149538653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16.2</v>
      </c>
      <c r="BD37" s="13">
        <f>IF('Données projet'!$A$88&gt;35,BD36+BC37-BL36,IF(A37&lt;'Données projet'!$A$88,$BA$205^A37,IF(A37='Données projet'!$A$88,'Données projet'!$B$88,BD36+BC37-BL36)))</f>
        <v>155.79999999999998</v>
      </c>
      <c r="BE37" s="14">
        <f>BD37*VLOOKUP('Données projet'!$B$11,Paramètres!$A$1:$I$89,3,0)*VLOOKUP('Données projet'!$B$11,Paramètres!$A$1:$I$89,5,0)</f>
        <v>123.95448</v>
      </c>
      <c r="BF37" s="14">
        <f t="shared" si="37"/>
        <v>32.595569202682604</v>
      </c>
      <c r="BG37" s="22">
        <f t="shared" si="7"/>
        <v>272.6580023613389</v>
      </c>
      <c r="BH37" s="62">
        <f t="shared" si="8"/>
        <v>565.99133569467222</v>
      </c>
      <c r="BI37" s="62">
        <f ca="1">AVERAGE(OFFSET($BH$3,0,0,'Données projet'!$E$11+1,1))-AVERAGE(OFFSET($H$3,0,0,'Données projet'!$E$11+1,1))</f>
        <v>219.61164494001008</v>
      </c>
      <c r="BJ37" s="62">
        <f t="shared" si="38"/>
        <v>219.59799863414111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153.49999999999997</v>
      </c>
      <c r="BZ37" s="14">
        <f>BY37*VLOOKUP('Données projet'!$B$12,Paramètres!$A$1:$I$89,3,0)*VLOOKUP('Données projet'!$B$12,Paramètres!$A$1:$I$89,5,0)</f>
        <v>119.72999999999998</v>
      </c>
      <c r="CA37" s="14">
        <f t="shared" si="39"/>
        <v>31.612017974790529</v>
      </c>
      <c r="CB37" s="22">
        <f t="shared" si="10"/>
        <v>263.58734797276014</v>
      </c>
      <c r="CC37" s="62">
        <f t="shared" si="11"/>
        <v>556.92068130609346</v>
      </c>
      <c r="CD37" s="62">
        <f ca="1">AVERAGE(OFFSET($CC$3,0,0,'Données projet'!$E$12+1,1))-AVERAGE(OFFSET($H$3,0,0,'Données projet'!$E$12+1,1))</f>
        <v>220.70608186257931</v>
      </c>
      <c r="CE37" s="62">
        <f t="shared" si="40"/>
        <v>208.79744153433245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6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9">
        <f t="shared" si="1"/>
        <v>337.49683768183723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355</v>
      </c>
      <c r="L38" s="13">
        <f>VLOOKUP(A38,'Données projet'!$A$35:$I$55,9,0)</f>
        <v>19.857142857142858</v>
      </c>
      <c r="M38" s="13">
        <f t="array" ref="M38">INDEX(L:L,MIN(IF(ISNUMBER(L38:L234),ROW(L38:L234),"")))</f>
        <v>19.857142857142858</v>
      </c>
      <c r="N38" s="14">
        <f>IF('Données projet'!$A$36&gt;35,N37+M38-V37,IF(A38&lt;'Données projet'!$A$36,$K$205^A38,IF(A38='Données projet'!$A$36,'Données projet'!$B$36,N37+M38-V37)))</f>
        <v>354.99999999999989</v>
      </c>
      <c r="O38" s="14">
        <f>N38*VLOOKUP('Données projet'!$B$9,Paramètres!$A$1:$I$89,3,0)*VLOOKUP('Données projet'!$B$9,Paramètres!$A$1:$I$89,5,0)</f>
        <v>198.44499999999994</v>
      </c>
      <c r="P38" s="14">
        <f t="shared" si="33"/>
        <v>49.40227070134226</v>
      </c>
      <c r="Q38" s="22">
        <f t="shared" si="53"/>
        <v>431.66732980483766</v>
      </c>
      <c r="R38" s="62">
        <f t="shared" si="0"/>
        <v>725.00066313817092</v>
      </c>
      <c r="S38" s="62">
        <f ca="1">AVERAGE(OFFSET($R$3,0,0,'Données projet'!$E$9+1,1))-AVERAGE(OFFSET($H$3,0,0,'Données projet'!$E$9+1,1))</f>
        <v>302.20483575440988</v>
      </c>
      <c r="T38" s="62">
        <f t="shared" si="34"/>
        <v>275.32862097158687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19.386658099447782</v>
      </c>
      <c r="AB38" s="23">
        <f>EXP(-LN(2)/2)*AB37+(1-EXP(-LN(2)/2))/(LN(2)/2)*V38*Y38*VLOOKUP('Données projet'!$B$9,Paramètres!$A$1:$I$89,3,0)*0.475*44/12</f>
        <v>1.945919155098091</v>
      </c>
      <c r="AC38" s="24">
        <f t="shared" si="3"/>
        <v>21.332577254545875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12.833333333333334</v>
      </c>
      <c r="AI38" s="14">
        <f>IF('Données projet'!$A$62&gt;35,AI37+AH38-AQ37,IF(A38&lt;'Données projet'!$A$62,$AF$205^A38,IF(A38='Données projet'!$A$62,'Données projet'!$B$62,AI37+AH38-AQ37)))</f>
        <v>235.16666666666663</v>
      </c>
      <c r="AJ38" s="14">
        <f>AI38*VLOOKUP('Données projet'!$B$10,Paramètres!$A$1:$I$89,3,0)*VLOOKUP('Données projet'!$B$10,Paramètres!$A$1:$I$89,5,0)</f>
        <v>146.74399999999997</v>
      </c>
      <c r="AK38" s="14">
        <f t="shared" si="35"/>
        <v>37.837705514258651</v>
      </c>
      <c r="AL38" s="22">
        <f t="shared" si="4"/>
        <v>321.4798037706671</v>
      </c>
      <c r="AM38" s="62">
        <f t="shared" si="5"/>
        <v>614.81313710400036</v>
      </c>
      <c r="AN38" s="62">
        <f ca="1">AVERAGE(OFFSET($AM$3,0,0,'Données projet'!$E$10+1,1))-AVERAGE(OFFSET($H$3,0,0,'Données projet'!$E$10+1,1))</f>
        <v>180.20749454145079</v>
      </c>
      <c r="AO38" s="62">
        <f t="shared" si="36"/>
        <v>307.23455947678775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25.375427408447905</v>
      </c>
      <c r="AW38" s="23">
        <f>EXP(-LN(2)/2)*AW37+(1-EXP(-LN(2)/2))/(LN(2)/2)*AQ38*AT38*VLOOKUP('Données projet'!$B$10,Paramètres!$A$1:$I$89,3,0)*0.475*44/12</f>
        <v>5.2476475767584079</v>
      </c>
      <c r="AX38" s="23">
        <f t="shared" si="6"/>
        <v>30.623074985206312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</v>
      </c>
      <c r="BB38" s="13">
        <f>VLOOKUP(A38,'Données projet'!$A$87:$I$107,9,0)</f>
        <v>16.2</v>
      </c>
      <c r="BC38" s="13">
        <f t="array" ref="BC38">INDEX(BB:BB,MIN(IF(ISNUMBER(BB38:BB234),ROW(BB38:BB234),"")))</f>
        <v>16.2</v>
      </c>
      <c r="BD38" s="13">
        <f>IF('Données projet'!$A$88&gt;35,BD37+BC38-BL37,IF(A38&lt;'Données projet'!$A$88,$BA$205^A38,IF(A38='Données projet'!$A$88,'Données projet'!$B$88,BD37+BC38-BL37)))</f>
        <v>171.99999999999997</v>
      </c>
      <c r="BE38" s="14">
        <f>BD38*VLOOKUP('Données projet'!$B$11,Paramètres!$A$1:$I$89,3,0)*VLOOKUP('Données projet'!$B$11,Paramètres!$A$1:$I$89,5,0)</f>
        <v>136.84319999999997</v>
      </c>
      <c r="BF38" s="14">
        <f t="shared" si="37"/>
        <v>35.572869837729648</v>
      </c>
      <c r="BG38" s="22">
        <f t="shared" si="7"/>
        <v>300.2913216340458</v>
      </c>
      <c r="BH38" s="62">
        <f t="shared" si="8"/>
        <v>593.62465496737912</v>
      </c>
      <c r="BI38" s="62">
        <f ca="1">AVERAGE(OFFSET($BH$3,0,0,'Données projet'!$E$11+1,1))-AVERAGE(OFFSET($H$3,0,0,'Données projet'!$E$11+1,1))</f>
        <v>219.61164494001008</v>
      </c>
      <c r="BJ38" s="62">
        <f t="shared" si="38"/>
        <v>219.59799863414111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164.99999999999997</v>
      </c>
      <c r="BZ38" s="14">
        <f>BY38*VLOOKUP('Données projet'!$B$12,Paramètres!$A$1:$I$89,3,0)*VLOOKUP('Données projet'!$B$12,Paramètres!$A$1:$I$89,5,0)</f>
        <v>128.69999999999999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576.17267110008243</v>
      </c>
      <c r="CD38" s="62">
        <f ca="1">AVERAGE(OFFSET($CC$3,0,0,'Données projet'!$E$12+1,1))-AVERAGE(OFFSET($H$3,0,0,'Données projet'!$E$12+1,1))</f>
        <v>220.70608186257931</v>
      </c>
      <c r="CE38" s="62">
        <f t="shared" si="40"/>
        <v>208.79744153433245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6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9">
        <f t="shared" si="1"/>
        <v>338.72201550546265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301.57142857142844</v>
      </c>
      <c r="O39" s="14">
        <f>N39*VLOOKUP('Données projet'!$B$9,Paramètres!$A$1:$I$89,3,0)*VLOOKUP('Données projet'!$B$9,Paramètres!$A$1:$I$89,5,0)</f>
        <v>168.5784285714285</v>
      </c>
      <c r="P39" s="14">
        <f t="shared" si="33"/>
        <v>42.771483439273169</v>
      </c>
      <c r="Q39" s="22">
        <f t="shared" si="53"/>
        <v>368.10109675197208</v>
      </c>
      <c r="R39" s="62">
        <f t="shared" si="0"/>
        <v>661.43443008530539</v>
      </c>
      <c r="S39" s="62">
        <f ca="1">AVERAGE(OFFSET($R$3,0,0,'Données projet'!$E$9+1,1))-AVERAGE(OFFSET($H$3,0,0,'Données projet'!$E$9+1,1))</f>
        <v>302.20483575440988</v>
      </c>
      <c r="T39" s="62">
        <f t="shared" si="34"/>
        <v>275.32862097158687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18.856528914218341</v>
      </c>
      <c r="AB39" s="23">
        <f>EXP(-LN(2)/2)*AB38+(1-EXP(-LN(2)/2))/(LN(2)/2)*V39*Y39*VLOOKUP('Données projet'!$B$9,Paramètres!$A$1:$I$89,3,0)*0.475*44/12</f>
        <v>1.3759726302106574</v>
      </c>
      <c r="AC39" s="24">
        <f t="shared" si="3"/>
        <v>20.232501544428999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248</v>
      </c>
      <c r="AG39" s="13">
        <f>VLOOKUP(A39,'Données projet'!$A$61:$I$81,9,0)</f>
        <v>12.833333333333334</v>
      </c>
      <c r="AH39" s="13">
        <f t="array" ref="AH39">INDEX(AG:AG,MIN(IF(ISNUMBER(AG39:AG235),ROW(AG39:AG235),"")))</f>
        <v>12.833333333333334</v>
      </c>
      <c r="AI39" s="14">
        <f>IF('Données projet'!$A$62&gt;35,AI38+AH39-AQ38,IF(A39&lt;'Données projet'!$A$62,$AF$205^A39,IF(A39='Données projet'!$A$62,'Données projet'!$B$62,AI38+AH39-AQ38)))</f>
        <v>247.99999999999997</v>
      </c>
      <c r="AJ39" s="14">
        <f>AI39*VLOOKUP('Données projet'!$B$10,Paramètres!$A$1:$I$89,3,0)*VLOOKUP('Données projet'!$B$10,Paramètres!$A$1:$I$89,5,0)</f>
        <v>154.75199999999998</v>
      </c>
      <c r="AK39" s="14">
        <f t="shared" si="35"/>
        <v>39.656526650076415</v>
      </c>
      <c r="AL39" s="22">
        <f t="shared" si="4"/>
        <v>338.5948505822164</v>
      </c>
      <c r="AM39" s="62">
        <f t="shared" si="5"/>
        <v>631.92818391554965</v>
      </c>
      <c r="AN39" s="62">
        <f ca="1">AVERAGE(OFFSET($AM$3,0,0,'Données projet'!$E$10+1,1))-AVERAGE(OFFSET($H$3,0,0,'Données projet'!$E$10+1,1))</f>
        <v>180.20749454145079</v>
      </c>
      <c r="AO39" s="62">
        <f t="shared" si="36"/>
        <v>307.23455947678775</v>
      </c>
      <c r="AP39" s="16">
        <f>IF(ISNA(VLOOKUP(A39,'Données projet'!$A$61:$I$81,3,0)),0,VLOOKUP(A39,'Données projet'!$A$61:$I$81,3,0))</f>
        <v>5</v>
      </c>
      <c r="AQ39" s="16">
        <f>IF(ISNA(VLOOKUP(A39,'Données projet'!$A$61:$I$81,4,0)),0,VLOOKUP(A39,'Données projet'!$A$61:$I$81,4,0))</f>
        <v>62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24.681535011528165</v>
      </c>
      <c r="AW39" s="23">
        <f>EXP(-LN(2)/2)*AW38+(1-EXP(-LN(2)/2))/(LN(2)/2)*AQ39*AT39*VLOOKUP('Données projet'!$B$10,Paramètres!$A$1:$I$89,3,0)*0.475*44/12</f>
        <v>3.710647186803024</v>
      </c>
      <c r="AX39" s="23">
        <f t="shared" si="6"/>
        <v>28.392182198331188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4</v>
      </c>
      <c r="BD39" s="13">
        <f>IF('Données projet'!$A$88&gt;35,BD38+BC39-BL38,IF(A39&lt;'Données projet'!$A$88,$BA$205^A39,IF(A39='Données projet'!$A$88,'Données projet'!$B$88,BD38+BC39-BL38)))</f>
        <v>175.99999999999997</v>
      </c>
      <c r="BE39" s="14">
        <f>BD39*VLOOKUP('Données projet'!$B$11,Paramètres!$A$1:$I$89,3,0)*VLOOKUP('Données projet'!$B$11,Paramètres!$A$1:$I$89,5,0)</f>
        <v>140.0256</v>
      </c>
      <c r="BF39" s="14">
        <f t="shared" si="37"/>
        <v>36.302870033112463</v>
      </c>
      <c r="BG39" s="22">
        <f t="shared" si="7"/>
        <v>307.10541864100418</v>
      </c>
      <c r="BH39" s="62">
        <f t="shared" si="8"/>
        <v>600.43875197433749</v>
      </c>
      <c r="BI39" s="62">
        <f ca="1">AVERAGE(OFFSET($BH$3,0,0,'Données projet'!$E$11+1,1))-AVERAGE(OFFSET($H$3,0,0,'Données projet'!$E$11+1,1))</f>
        <v>219.61164494001008</v>
      </c>
      <c r="BJ39" s="62">
        <f t="shared" si="38"/>
        <v>219.59799863414111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176.49999999999997</v>
      </c>
      <c r="BZ39" s="14">
        <f>BY39*VLOOKUP('Données projet'!$B$12,Paramètres!$A$1:$I$89,3,0)*VLOOKUP('Données projet'!$B$12,Paramètres!$A$1:$I$89,5,0)</f>
        <v>137.66999999999999</v>
      </c>
      <c r="CA39" s="14">
        <f t="shared" si="39"/>
        <v>35.762714965854656</v>
      </c>
      <c r="CB39" s="22">
        <f t="shared" si="10"/>
        <v>302.06197856553018</v>
      </c>
      <c r="CC39" s="62">
        <f t="shared" si="11"/>
        <v>595.3953118988635</v>
      </c>
      <c r="CD39" s="62">
        <f ca="1">AVERAGE(OFFSET($CC$3,0,0,'Données projet'!$E$12+1,1))-AVERAGE(OFFSET($H$3,0,0,'Données projet'!$E$12+1,1))</f>
        <v>220.70608186257931</v>
      </c>
      <c r="CE39" s="62">
        <f t="shared" si="40"/>
        <v>208.79744153433245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6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9">
        <f t="shared" si="1"/>
        <v>339.94630797071892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321.142857142857</v>
      </c>
      <c r="O40" s="14">
        <f>N40*VLOOKUP('Données projet'!$B$9,Paramètres!$A$1:$I$89,3,0)*VLOOKUP('Données projet'!$B$9,Paramètres!$A$1:$I$89,5,0)</f>
        <v>179.51885714285706</v>
      </c>
      <c r="P40" s="14">
        <f t="shared" si="33"/>
        <v>45.215124075787188</v>
      </c>
      <c r="Q40" s="22">
        <f t="shared" si="53"/>
        <v>391.41168395580547</v>
      </c>
      <c r="R40" s="62">
        <f t="shared" si="0"/>
        <v>684.74501728913879</v>
      </c>
      <c r="S40" s="62">
        <f ca="1">AVERAGE(OFFSET($R$3,0,0,'Données projet'!$E$9+1,1))-AVERAGE(OFFSET($H$3,0,0,'Données projet'!$E$9+1,1))</f>
        <v>302.20483575440988</v>
      </c>
      <c r="T40" s="62">
        <f t="shared" si="34"/>
        <v>275.32862097158687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18.340896139437284</v>
      </c>
      <c r="AB40" s="23">
        <f>EXP(-LN(2)/2)*AB39+(1-EXP(-LN(2)/2))/(LN(2)/2)*V40*Y40*VLOOKUP('Données projet'!$B$9,Paramètres!$A$1:$I$89,3,0)*0.475*44/12</f>
        <v>0.97295957754904572</v>
      </c>
      <c r="AC40" s="24">
        <f t="shared" si="3"/>
        <v>19.313855716986328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197.5</v>
      </c>
      <c r="AJ40" s="14">
        <f>AI40*VLOOKUP('Données projet'!$B$10,Paramètres!$A$1:$I$89,3,0)*VLOOKUP('Données projet'!$B$10,Paramètres!$A$1:$I$89,5,0)</f>
        <v>123.24</v>
      </c>
      <c r="AK40" s="14">
        <f t="shared" si="35"/>
        <v>32.429500380369056</v>
      </c>
      <c r="AL40" s="22">
        <f t="shared" si="4"/>
        <v>271.12437982914275</v>
      </c>
      <c r="AM40" s="62">
        <f t="shared" si="5"/>
        <v>564.45771316247601</v>
      </c>
      <c r="AN40" s="62">
        <f ca="1">AVERAGE(OFFSET($AM$3,0,0,'Données projet'!$E$10+1,1))-AVERAGE(OFFSET($H$3,0,0,'Données projet'!$E$10+1,1))</f>
        <v>180.20749454145079</v>
      </c>
      <c r="AO40" s="62">
        <f t="shared" si="36"/>
        <v>307.23455947678775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24.006617138692413</v>
      </c>
      <c r="AW40" s="23">
        <f>EXP(-LN(2)/2)*AW39+(1-EXP(-LN(2)/2))/(LN(2)/2)*AQ40*AT40*VLOOKUP('Données projet'!$B$10,Paramètres!$A$1:$I$89,3,0)*0.475*44/12</f>
        <v>2.6238237883792044</v>
      </c>
      <c r="AX40" s="23">
        <f t="shared" si="6"/>
        <v>26.630440927071618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4</v>
      </c>
      <c r="BD40" s="13">
        <f>IF('Données projet'!$A$88&gt;35,BD39+BC40-BL39,IF(A40&lt;'Données projet'!$A$88,$BA$205^A40,IF(A40='Données projet'!$A$88,'Données projet'!$B$88,BD39+BC40-BL39)))</f>
        <v>179.99999999999997</v>
      </c>
      <c r="BE40" s="14">
        <f>BD40*VLOOKUP('Données projet'!$B$11,Paramètres!$A$1:$I$89,3,0)*VLOOKUP('Données projet'!$B$11,Paramètres!$A$1:$I$89,5,0)</f>
        <v>143.20799999999997</v>
      </c>
      <c r="BF40" s="14">
        <f t="shared" si="37"/>
        <v>37.030941422835802</v>
      </c>
      <c r="BG40" s="22">
        <f t="shared" si="7"/>
        <v>313.91615631143895</v>
      </c>
      <c r="BH40" s="62">
        <f t="shared" si="8"/>
        <v>607.24948964477221</v>
      </c>
      <c r="BI40" s="62">
        <f ca="1">AVERAGE(OFFSET($BH$3,0,0,'Données projet'!$E$11+1,1))-AVERAGE(OFFSET($H$3,0,0,'Données projet'!$E$11+1,1))</f>
        <v>219.61164494001008</v>
      </c>
      <c r="BJ40" s="62">
        <f t="shared" si="38"/>
        <v>219.59799863414111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187.99999999999997</v>
      </c>
      <c r="BZ40" s="14">
        <f>BY40*VLOOKUP('Données projet'!$B$12,Paramètres!$A$1:$I$89,3,0)*VLOOKUP('Données projet'!$B$12,Paramètres!$A$1:$I$89,5,0)</f>
        <v>146.63999999999999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614.59073358295768</v>
      </c>
      <c r="CD40" s="62">
        <f ca="1">AVERAGE(OFFSET($CC$3,0,0,'Données projet'!$E$12+1,1))-AVERAGE(OFFSET($H$3,0,0,'Données projet'!$E$12+1,1))</f>
        <v>220.70608186257931</v>
      </c>
      <c r="CE40" s="62">
        <f t="shared" si="40"/>
        <v>208.79744153433245</v>
      </c>
      <c r="CF40" s="16">
        <f>IF(ISNA(VLOOKUP(A40,'Données projet'!$A$113:$I$133,3,0)),0,VLOOKUP(A40,'Données projet'!$A$113:$I$133,3,0))</f>
        <v>3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6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9">
        <f t="shared" si="1"/>
        <v>341.16974175610096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340.71428571428555</v>
      </c>
      <c r="O41" s="14">
        <f>N41*VLOOKUP('Données projet'!$B$9,Paramètres!$A$1:$I$89,3,0)*VLOOKUP('Données projet'!$B$9,Paramètres!$A$1:$I$89,5,0)</f>
        <v>190.45928571428561</v>
      </c>
      <c r="P41" s="14">
        <f t="shared" si="33"/>
        <v>47.641480128932045</v>
      </c>
      <c r="Q41" s="22">
        <f t="shared" si="53"/>
        <v>414.6921671769374</v>
      </c>
      <c r="R41" s="62">
        <f t="shared" si="0"/>
        <v>708.02550051027072</v>
      </c>
      <c r="S41" s="62">
        <f ca="1">AVERAGE(OFFSET($R$3,0,0,'Données projet'!$E$9+1,1))-AVERAGE(OFFSET($H$3,0,0,'Données projet'!$E$9+1,1))</f>
        <v>302.20483575440988</v>
      </c>
      <c r="T41" s="62">
        <f t="shared" si="34"/>
        <v>275.32862097158687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17.839363369998562</v>
      </c>
      <c r="AB41" s="23">
        <f>EXP(-LN(2)/2)*AB40+(1-EXP(-LN(2)/2))/(LN(2)/2)*V41*Y41*VLOOKUP('Données projet'!$B$9,Paramètres!$A$1:$I$89,3,0)*0.475*44/12</f>
        <v>0.68798631510532882</v>
      </c>
      <c r="AC41" s="24">
        <f t="shared" si="3"/>
        <v>18.527349685103889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11.5</v>
      </c>
      <c r="AI41" s="14">
        <f>IF('Données projet'!$A$62&gt;35,AI40+AH41-AQ40,IF(A41&lt;'Données projet'!$A$62,$AF$205^A41,IF(A41='Données projet'!$A$62,'Données projet'!$B$62,AI40+AH41-AQ40)))</f>
        <v>209</v>
      </c>
      <c r="AJ41" s="14">
        <f>AI41*VLOOKUP('Données projet'!$B$10,Paramètres!$A$1:$I$89,3,0)*VLOOKUP('Données projet'!$B$10,Paramètres!$A$1:$I$89,5,0)</f>
        <v>130.416</v>
      </c>
      <c r="AK41" s="14">
        <f t="shared" si="35"/>
        <v>34.092466837179941</v>
      </c>
      <c r="AL41" s="22">
        <f t="shared" si="4"/>
        <v>286.51891307475506</v>
      </c>
      <c r="AM41" s="62">
        <f t="shared" si="5"/>
        <v>579.85224640808838</v>
      </c>
      <c r="AN41" s="62">
        <f ca="1">AVERAGE(OFFSET($AM$3,0,0,'Données projet'!$E$10+1,1))-AVERAGE(OFFSET($H$3,0,0,'Données projet'!$E$10+1,1))</f>
        <v>180.20749454145079</v>
      </c>
      <c r="AO41" s="62">
        <f t="shared" si="36"/>
        <v>307.23455947678775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23.350154930581741</v>
      </c>
      <c r="AW41" s="23">
        <f>EXP(-LN(2)/2)*AW40+(1-EXP(-LN(2)/2))/(LN(2)/2)*AQ41*AT41*VLOOKUP('Données projet'!$B$10,Paramètres!$A$1:$I$89,3,0)*0.475*44/12</f>
        <v>1.8553235934015124</v>
      </c>
      <c r="AX41" s="23">
        <f t="shared" si="6"/>
        <v>25.205478523983253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4</v>
      </c>
      <c r="BD41" s="13">
        <f>IF('Données projet'!$A$88&gt;35,BD40+BC41-BL40,IF(A41&lt;'Données projet'!$A$88,$BA$205^A41,IF(A41='Données projet'!$A$88,'Données projet'!$B$88,BD40+BC41-BL40)))</f>
        <v>183.99999999999997</v>
      </c>
      <c r="BE41" s="14">
        <f>BD41*VLOOKUP('Données projet'!$B$11,Paramètres!$A$1:$I$89,3,0)*VLOOKUP('Données projet'!$B$11,Paramètres!$A$1:$I$89,5,0)</f>
        <v>146.3904</v>
      </c>
      <c r="BF41" s="14">
        <f t="shared" si="37"/>
        <v>37.757131804538304</v>
      </c>
      <c r="BG41" s="22">
        <f t="shared" si="7"/>
        <v>320.7236178929042</v>
      </c>
      <c r="BH41" s="62">
        <f t="shared" si="8"/>
        <v>614.05695122623752</v>
      </c>
      <c r="BI41" s="62">
        <f ca="1">AVERAGE(OFFSET($BH$3,0,0,'Données projet'!$E$11+1,1))-AVERAGE(OFFSET($H$3,0,0,'Données projet'!$E$11+1,1))</f>
        <v>219.61164494001008</v>
      </c>
      <c r="BJ41" s="62">
        <f t="shared" si="38"/>
        <v>219.59799863414111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163.14285714285711</v>
      </c>
      <c r="BZ41" s="14">
        <f>BY41*VLOOKUP('Données projet'!$B$12,Paramètres!$A$1:$I$89,3,0)*VLOOKUP('Données projet'!$B$12,Paramètres!$A$1:$I$89,5,0)</f>
        <v>127.25142857142855</v>
      </c>
      <c r="CA41" s="14">
        <f t="shared" si="39"/>
        <v>33.360457439554281</v>
      </c>
      <c r="CB41" s="22">
        <f t="shared" si="10"/>
        <v>279.73236813579507</v>
      </c>
      <c r="CC41" s="62">
        <f t="shared" si="11"/>
        <v>573.06570146912838</v>
      </c>
      <c r="CD41" s="62">
        <f ca="1">AVERAGE(OFFSET($CC$3,0,0,'Données projet'!$E$12+1,1))-AVERAGE(OFFSET($H$3,0,0,'Données projet'!$E$12+1,1))</f>
        <v>220.70608186257931</v>
      </c>
      <c r="CE41" s="62">
        <f t="shared" si="40"/>
        <v>208.79744153433245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6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9">
        <f t="shared" si="1"/>
        <v>342.3923420560082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360.28571428571411</v>
      </c>
      <c r="O42" s="14">
        <f>N42*VLOOKUP('Données projet'!$B$9,Paramètres!$A$1:$I$89,3,0)*VLOOKUP('Données projet'!$B$9,Paramètres!$A$1:$I$89,5,0)</f>
        <v>201.39971428571417</v>
      </c>
      <c r="P42" s="14">
        <f t="shared" si="33"/>
        <v>50.051657588658017</v>
      </c>
      <c r="Q42" s="22">
        <f t="shared" si="53"/>
        <v>437.94447268119819</v>
      </c>
      <c r="R42" s="62">
        <f t="shared" si="0"/>
        <v>731.27780601453151</v>
      </c>
      <c r="S42" s="62">
        <f ca="1">AVERAGE(OFFSET($R$3,0,0,'Données projet'!$E$9+1,1))-AVERAGE(OFFSET($H$3,0,0,'Données projet'!$E$9+1,1))</f>
        <v>302.20483575440988</v>
      </c>
      <c r="T42" s="62">
        <f t="shared" si="34"/>
        <v>275.32862097158687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17.351545040514605</v>
      </c>
      <c r="AB42" s="23">
        <f>EXP(-LN(2)/2)*AB41+(1-EXP(-LN(2)/2))/(LN(2)/2)*V42*Y42*VLOOKUP('Données projet'!$B$9,Paramètres!$A$1:$I$89,3,0)*0.475*44/12</f>
        <v>0.48647978877452291</v>
      </c>
      <c r="AC42" s="24">
        <f t="shared" si="3"/>
        <v>17.838024829289129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11.5</v>
      </c>
      <c r="AI42" s="14">
        <f>IF('Données projet'!$A$62&gt;35,AI41+AH42-AQ41,IF(A42&lt;'Données projet'!$A$62,$AF$205^A42,IF(A42='Données projet'!$A$62,'Données projet'!$B$62,AI41+AH42-AQ41)))</f>
        <v>220.5</v>
      </c>
      <c r="AJ42" s="14">
        <f>AI42*VLOOKUP('Données projet'!$B$10,Paramètres!$A$1:$I$89,3,0)*VLOOKUP('Données projet'!$B$10,Paramètres!$A$1:$I$89,5,0)</f>
        <v>137.59199999999998</v>
      </c>
      <c r="AK42" s="14">
        <f t="shared" si="35"/>
        <v>35.744810729505772</v>
      </c>
      <c r="AL42" s="22">
        <f t="shared" si="4"/>
        <v>301.89494535388923</v>
      </c>
      <c r="AM42" s="62">
        <f t="shared" si="5"/>
        <v>595.22827868722254</v>
      </c>
      <c r="AN42" s="62">
        <f ca="1">AVERAGE(OFFSET($AM$3,0,0,'Données projet'!$E$10+1,1))-AVERAGE(OFFSET($H$3,0,0,'Données projet'!$E$10+1,1))</f>
        <v>180.20749454145079</v>
      </c>
      <c r="AO42" s="62">
        <f t="shared" si="36"/>
        <v>307.23455947678775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22.711643716073702</v>
      </c>
      <c r="AW42" s="23">
        <f>EXP(-LN(2)/2)*AW41+(1-EXP(-LN(2)/2))/(LN(2)/2)*AQ42*AT42*VLOOKUP('Données projet'!$B$10,Paramètres!$A$1:$I$89,3,0)*0.475*44/12</f>
        <v>1.3119118941896024</v>
      </c>
      <c r="AX42" s="23">
        <f t="shared" si="6"/>
        <v>24.023555610263305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4</v>
      </c>
      <c r="BD42" s="13">
        <f>IF('Données projet'!$A$88&gt;35,BD41+BC42-BL41,IF(A42&lt;'Données projet'!$A$88,$BA$205^A42,IF(A42='Données projet'!$A$88,'Données projet'!$B$88,BD41+BC42-BL41)))</f>
        <v>187.99999999999997</v>
      </c>
      <c r="BE42" s="14">
        <f>BD42*VLOOKUP('Données projet'!$B$11,Paramètres!$A$1:$I$89,3,0)*VLOOKUP('Données projet'!$B$11,Paramètres!$A$1:$I$89,5,0)</f>
        <v>149.57279999999997</v>
      </c>
      <c r="BF42" s="14">
        <f t="shared" si="37"/>
        <v>38.481486779011689</v>
      </c>
      <c r="BG42" s="22">
        <f t="shared" si="7"/>
        <v>327.52788280677856</v>
      </c>
      <c r="BH42" s="62">
        <f t="shared" si="8"/>
        <v>620.86121614011188</v>
      </c>
      <c r="BI42" s="62">
        <f ca="1">AVERAGE(OFFSET($BH$3,0,0,'Données projet'!$E$11+1,1))-AVERAGE(OFFSET($H$3,0,0,'Données projet'!$E$11+1,1))</f>
        <v>219.61164494001008</v>
      </c>
      <c r="BJ42" s="62">
        <f t="shared" si="38"/>
        <v>219.59799863414111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174.28571428571425</v>
      </c>
      <c r="BZ42" s="14">
        <f>BY42*VLOOKUP('Données projet'!$B$12,Paramètres!$A$1:$I$89,3,0)*VLOOKUP('Données projet'!$B$12,Paramètres!$A$1:$I$89,5,0)</f>
        <v>135.94285714285712</v>
      </c>
      <c r="CA42" s="14">
        <f t="shared" si="39"/>
        <v>35.365986273808367</v>
      </c>
      <c r="CB42" s="22">
        <f t="shared" si="10"/>
        <v>298.36290228402572</v>
      </c>
      <c r="CC42" s="62">
        <f t="shared" si="11"/>
        <v>591.69623561735898</v>
      </c>
      <c r="CD42" s="62">
        <f ca="1">AVERAGE(OFFSET($CC$3,0,0,'Données projet'!$E$12+1,1))-AVERAGE(OFFSET($H$3,0,0,'Données projet'!$E$12+1,1))</f>
        <v>220.70608186257931</v>
      </c>
      <c r="CE42" s="62">
        <f t="shared" si="40"/>
        <v>208.79744153433245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6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9">
        <f t="shared" si="1"/>
        <v>343.61413269921093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379.85714285714266</v>
      </c>
      <c r="O43" s="14">
        <f>N43*VLOOKUP('Données projet'!$B$9,Paramètres!$A$1:$I$89,3,0)*VLOOKUP('Données projet'!$B$9,Paramètres!$A$1:$I$89,5,0)</f>
        <v>212.34014285714278</v>
      </c>
      <c r="P43" s="14">
        <f t="shared" si="33"/>
        <v>52.446635499473253</v>
      </c>
      <c r="Q43" s="22">
        <f t="shared" si="53"/>
        <v>461.17030563777286</v>
      </c>
      <c r="R43" s="62">
        <f t="shared" si="0"/>
        <v>754.50363897110617</v>
      </c>
      <c r="S43" s="62">
        <f ca="1">AVERAGE(OFFSET($R$3,0,0,'Données projet'!$E$9+1,1))-AVERAGE(OFFSET($H$3,0,0,'Données projet'!$E$9+1,1))</f>
        <v>302.20483575440988</v>
      </c>
      <c r="T43" s="62">
        <f t="shared" si="34"/>
        <v>275.32862097158687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16.877066128903635</v>
      </c>
      <c r="AB43" s="23">
        <f>EXP(-LN(2)/2)*AB42+(1-EXP(-LN(2)/2))/(LN(2)/2)*V43*Y43*VLOOKUP('Données projet'!$B$9,Paramètres!$A$1:$I$89,3,0)*0.475*44/12</f>
        <v>0.34399315755266446</v>
      </c>
      <c r="AC43" s="24">
        <f t="shared" si="3"/>
        <v>17.221059286456299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11.5</v>
      </c>
      <c r="AI43" s="14">
        <f>IF('Données projet'!$A$62&gt;35,AI42+AH43-AQ42,IF(A43&lt;'Données projet'!$A$62,$AF$205^A43,IF(A43='Données projet'!$A$62,'Données projet'!$B$62,AI42+AH43-AQ42)))</f>
        <v>232</v>
      </c>
      <c r="AJ43" s="14">
        <f>AI43*VLOOKUP('Données projet'!$B$10,Paramètres!$A$1:$I$89,3,0)*VLOOKUP('Données projet'!$B$10,Paramètres!$A$1:$I$89,5,0)</f>
        <v>144.768</v>
      </c>
      <c r="AK43" s="14">
        <f t="shared" si="35"/>
        <v>37.387149255707826</v>
      </c>
      <c r="AL43" s="22">
        <f t="shared" si="4"/>
        <v>317.25355162035777</v>
      </c>
      <c r="AM43" s="62">
        <f t="shared" si="5"/>
        <v>610.58688495369108</v>
      </c>
      <c r="AN43" s="62">
        <f ca="1">AVERAGE(OFFSET($AM$3,0,0,'Données projet'!$E$10+1,1))-AVERAGE(OFFSET($H$3,0,0,'Données projet'!$E$10+1,1))</f>
        <v>180.20749454145079</v>
      </c>
      <c r="AO43" s="62">
        <f t="shared" si="36"/>
        <v>307.23455947678775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22.090592624304232</v>
      </c>
      <c r="AW43" s="23">
        <f>EXP(-LN(2)/2)*AW42+(1-EXP(-LN(2)/2))/(LN(2)/2)*AQ43*AT43*VLOOKUP('Données projet'!$B$10,Paramètres!$A$1:$I$89,3,0)*0.475*44/12</f>
        <v>0.92766179670075632</v>
      </c>
      <c r="AX43" s="23">
        <f t="shared" si="6"/>
        <v>23.01825442100499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192</v>
      </c>
      <c r="BB43" s="13">
        <f>VLOOKUP(A43,'Données projet'!$A$87:$I$107,9,0)</f>
        <v>4</v>
      </c>
      <c r="BC43" s="13">
        <f t="array" ref="BC43">INDEX(BB:BB,MIN(IF(ISNUMBER(BB43:BB239),ROW(BB43:BB239),"")))</f>
        <v>4</v>
      </c>
      <c r="BD43" s="13">
        <f>IF('Données projet'!$A$88&gt;35,BD42+BC43-BL42,IF(A43&lt;'Données projet'!$A$88,$BA$205^A43,IF(A43='Données projet'!$A$88,'Données projet'!$B$88,BD42+BC43-BL42)))</f>
        <v>191.99999999999997</v>
      </c>
      <c r="BE43" s="14">
        <f>BD43*VLOOKUP('Données projet'!$B$11,Paramètres!$A$1:$I$89,3,0)*VLOOKUP('Données projet'!$B$11,Paramètres!$A$1:$I$89,5,0)</f>
        <v>152.75519999999997</v>
      </c>
      <c r="BF43" s="14">
        <f t="shared" si="37"/>
        <v>39.204049895729561</v>
      </c>
      <c r="BG43" s="22">
        <f t="shared" si="7"/>
        <v>334.32902690172892</v>
      </c>
      <c r="BH43" s="62">
        <f t="shared" si="8"/>
        <v>627.66236023506224</v>
      </c>
      <c r="BI43" s="62">
        <f ca="1">AVERAGE(OFFSET($BH$3,0,0,'Données projet'!$E$11+1,1))-AVERAGE(OFFSET($H$3,0,0,'Données projet'!$E$11+1,1))</f>
        <v>219.61164494001008</v>
      </c>
      <c r="BJ43" s="62">
        <f t="shared" si="38"/>
        <v>219.59799863414111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56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185.42857142857139</v>
      </c>
      <c r="BZ43" s="14">
        <f>BY43*VLOOKUP('Données projet'!$B$12,Paramètres!$A$1:$I$89,3,0)*VLOOKUP('Données projet'!$B$12,Paramètres!$A$1:$I$89,5,0)</f>
        <v>144.63428571428568</v>
      </c>
      <c r="CA43" s="14">
        <f t="shared" si="39"/>
        <v>37.356634728420524</v>
      </c>
      <c r="CB43" s="22">
        <f t="shared" si="10"/>
        <v>316.96751977104663</v>
      </c>
      <c r="CC43" s="62">
        <f t="shared" si="11"/>
        <v>610.30085310437994</v>
      </c>
      <c r="CD43" s="62">
        <f ca="1">AVERAGE(OFFSET($CC$3,0,0,'Données projet'!$E$12+1,1))-AVERAGE(OFFSET($H$3,0,0,'Données projet'!$E$12+1,1))</f>
        <v>220.70608186257931</v>
      </c>
      <c r="CE43" s="62">
        <f t="shared" si="40"/>
        <v>208.79744153433245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6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9">
        <f t="shared" si="1"/>
        <v>344.83513625513632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399.42857142857122</v>
      </c>
      <c r="O44" s="14">
        <f>N44*VLOOKUP('Données projet'!$B$9,Paramètres!$A$1:$I$89,3,0)*VLOOKUP('Données projet'!$B$9,Paramètres!$A$1:$I$89,5,0)</f>
        <v>223.28057142857133</v>
      </c>
      <c r="P44" s="14">
        <f t="shared" si="33"/>
        <v>54.827286320639246</v>
      </c>
      <c r="Q44" s="22">
        <f t="shared" si="53"/>
        <v>484.37118557987498</v>
      </c>
      <c r="R44" s="62">
        <f t="shared" si="0"/>
        <v>777.70451891320829</v>
      </c>
      <c r="S44" s="62">
        <f ca="1">AVERAGE(OFFSET($R$3,0,0,'Données projet'!$E$9+1,1))-AVERAGE(OFFSET($H$3,0,0,'Données projet'!$E$9+1,1))</f>
        <v>302.20483575440988</v>
      </c>
      <c r="T44" s="62">
        <f t="shared" si="34"/>
        <v>275.32862097158687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16.415561868082431</v>
      </c>
      <c r="AB44" s="23">
        <f>EXP(-LN(2)/2)*AB43+(1-EXP(-LN(2)/2))/(LN(2)/2)*V44*Y44*VLOOKUP('Données projet'!$B$9,Paramètres!$A$1:$I$89,3,0)*0.475*44/12</f>
        <v>0.24323989438726148</v>
      </c>
      <c r="AC44" s="24">
        <f t="shared" si="3"/>
        <v>16.658801762469693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243.5</v>
      </c>
      <c r="AJ44" s="14">
        <f>AI44*VLOOKUP('Données projet'!$B$10,Paramètres!$A$1:$I$89,3,0)*VLOOKUP('Données projet'!$B$10,Paramètres!$A$1:$I$89,5,0)</f>
        <v>151.94399999999999</v>
      </c>
      <c r="AK44" s="14">
        <f t="shared" si="35"/>
        <v>39.02003496976517</v>
      </c>
      <c r="AL44" s="22">
        <f t="shared" si="4"/>
        <v>332.59569423900763</v>
      </c>
      <c r="AM44" s="62">
        <f t="shared" si="5"/>
        <v>625.92902757234094</v>
      </c>
      <c r="AN44" s="62">
        <f ca="1">AVERAGE(OFFSET($AM$3,0,0,'Données projet'!$E$10+1,1))-AVERAGE(OFFSET($H$3,0,0,'Données projet'!$E$10+1,1))</f>
        <v>180.20749454145079</v>
      </c>
      <c r="AO44" s="62">
        <f t="shared" si="36"/>
        <v>307.23455947678775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21.486524207298856</v>
      </c>
      <c r="AW44" s="23">
        <f>EXP(-LN(2)/2)*AW43+(1-EXP(-LN(2)/2))/(LN(2)/2)*AQ44*AT44*VLOOKUP('Données projet'!$B$10,Paramètres!$A$1:$I$89,3,0)*0.475*44/12</f>
        <v>0.65595594709480132</v>
      </c>
      <c r="AX44" s="23">
        <f t="shared" si="6"/>
        <v>22.14248015439366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13.8</v>
      </c>
      <c r="BD44" s="13">
        <f>IF('Données projet'!$A$88&gt;35,BD43+BC44-BL43,IF(A44&lt;'Données projet'!$A$88,$BA$205^A44,IF(A44='Données projet'!$A$88,'Données projet'!$B$88,BD43+BC44-BL43)))</f>
        <v>149.79999999999998</v>
      </c>
      <c r="BE44" s="14">
        <f>BD44*VLOOKUP('Données projet'!$B$11,Paramètres!$A$1:$I$89,3,0)*VLOOKUP('Données projet'!$B$11,Paramètres!$A$1:$I$89,5,0)</f>
        <v>119.18088</v>
      </c>
      <c r="BF44" s="14">
        <f t="shared" si="37"/>
        <v>31.483876914537184</v>
      </c>
      <c r="BG44" s="22">
        <f t="shared" si="7"/>
        <v>262.40778495948558</v>
      </c>
      <c r="BH44" s="62">
        <f t="shared" si="8"/>
        <v>555.7411182928189</v>
      </c>
      <c r="BI44" s="62">
        <f ca="1">AVERAGE(OFFSET($BH$3,0,0,'Données projet'!$E$11+1,1))-AVERAGE(OFFSET($H$3,0,0,'Données projet'!$E$11+1,1))</f>
        <v>219.61164494001008</v>
      </c>
      <c r="BJ44" s="62">
        <f t="shared" si="38"/>
        <v>219.59799863414111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196.57142857142853</v>
      </c>
      <c r="BZ44" s="14">
        <f>BY44*VLOOKUP('Données projet'!$B$12,Paramètres!$A$1:$I$89,3,0)*VLOOKUP('Données projet'!$B$12,Paramètres!$A$1:$I$89,5,0)</f>
        <v>153.32571428571427</v>
      </c>
      <c r="CA44" s="14">
        <f t="shared" si="39"/>
        <v>39.33339883761419</v>
      </c>
      <c r="CB44" s="22">
        <f t="shared" si="10"/>
        <v>335.54795535646372</v>
      </c>
      <c r="CC44" s="62">
        <f t="shared" si="11"/>
        <v>628.88128868979697</v>
      </c>
      <c r="CD44" s="62">
        <f ca="1">AVERAGE(OFFSET($CC$3,0,0,'Données projet'!$E$12+1,1))-AVERAGE(OFFSET($H$3,0,0,'Données projet'!$E$12+1,1))</f>
        <v>220.70608186257931</v>
      </c>
      <c r="CE44" s="62">
        <f t="shared" si="40"/>
        <v>208.79744153433245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6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9">
        <f t="shared" si="1"/>
        <v>346.05537412949326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419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418.99999999999977</v>
      </c>
      <c r="O45" s="14">
        <f>N45*VLOOKUP('Données projet'!$B$9,Paramètres!$A$1:$I$89,3,0)*VLOOKUP('Données projet'!$B$9,Paramètres!$A$1:$I$89,5,0)</f>
        <v>234.22099999999989</v>
      </c>
      <c r="P45" s="14">
        <f t="shared" si="33"/>
        <v>57.194392182630075</v>
      </c>
      <c r="Q45" s="22">
        <f t="shared" si="53"/>
        <v>507.54847471808051</v>
      </c>
      <c r="R45" s="62">
        <f t="shared" si="0"/>
        <v>800.88180805141383</v>
      </c>
      <c r="S45" s="62">
        <f ca="1">AVERAGE(OFFSET($R$3,0,0,'Données projet'!$E$9+1,1))-AVERAGE(OFFSET($H$3,0,0,'Données projet'!$E$9+1,1))</f>
        <v>302.20483575440988</v>
      </c>
      <c r="T45" s="62">
        <f t="shared" si="34"/>
        <v>275.32862097158687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77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15.966677465542837</v>
      </c>
      <c r="AB45" s="23">
        <f>EXP(-LN(2)/2)*AB44+(1-EXP(-LN(2)/2))/(LN(2)/2)*V45*Y45*VLOOKUP('Données projet'!$B$9,Paramètres!$A$1:$I$89,3,0)*0.475*44/12</f>
        <v>0.17199657877633226</v>
      </c>
      <c r="AC45" s="24">
        <f t="shared" si="3"/>
        <v>16.138674044319171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255</v>
      </c>
      <c r="AG45" s="13">
        <f>VLOOKUP(A45,'Données projet'!$A$61:$I$81,9,0)</f>
        <v>11.5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255</v>
      </c>
      <c r="AJ45" s="14">
        <f>AI45*VLOOKUP('Données projet'!$B$10,Paramètres!$A$1:$I$89,3,0)*VLOOKUP('Données projet'!$B$10,Paramètres!$A$1:$I$89,5,0)</f>
        <v>159.12</v>
      </c>
      <c r="AK45" s="14">
        <f t="shared" si="35"/>
        <v>40.643965284387697</v>
      </c>
      <c r="AL45" s="22">
        <f t="shared" si="4"/>
        <v>347.92223953697521</v>
      </c>
      <c r="AM45" s="62">
        <f t="shared" si="5"/>
        <v>641.25557287030847</v>
      </c>
      <c r="AN45" s="62">
        <f ca="1">AVERAGE(OFFSET($AM$3,0,0,'Données projet'!$E$10+1,1))-AVERAGE(OFFSET($H$3,0,0,'Données projet'!$E$10+1,1))</f>
        <v>180.20749454145079</v>
      </c>
      <c r="AO45" s="62">
        <f t="shared" si="36"/>
        <v>307.23455947678775</v>
      </c>
      <c r="AP45" s="16">
        <f>IF(ISNA(VLOOKUP(A45,'Données projet'!$A$61:$I$81,3,0)),0,VLOOKUP(A45,'Données projet'!$A$61:$I$81,3,0))</f>
        <v>6</v>
      </c>
      <c r="AQ45" s="16">
        <f>IF(ISNA(VLOOKUP(A45,'Données projet'!$A$61:$I$81,4,0)),0,VLOOKUP(A45,'Données projet'!$A$61:$I$81,4,0))</f>
        <v>67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20.898974072923071</v>
      </c>
      <c r="AW45" s="23">
        <f>EXP(-LN(2)/2)*AW44+(1-EXP(-LN(2)/2))/(LN(2)/2)*AQ45*AT45*VLOOKUP('Données projet'!$B$10,Paramètres!$A$1:$I$89,3,0)*0.475*44/12</f>
        <v>0.46383089835037827</v>
      </c>
      <c r="AX45" s="23">
        <f t="shared" si="6"/>
        <v>21.362804971273448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13.8</v>
      </c>
      <c r="BD45" s="13">
        <f>IF('Données projet'!$A$88&gt;35,BD44+BC45-BL44,IF(A45&lt;'Données projet'!$A$88,$BA$205^A45,IF(A45='Données projet'!$A$88,'Données projet'!$B$88,BD44+BC45-BL44)))</f>
        <v>163.6</v>
      </c>
      <c r="BE45" s="14">
        <f>BD45*VLOOKUP('Données projet'!$B$11,Paramètres!$A$1:$I$89,3,0)*VLOOKUP('Données projet'!$B$11,Paramètres!$A$1:$I$89,5,0)</f>
        <v>130.16015999999999</v>
      </c>
      <c r="BF45" s="14">
        <f t="shared" si="37"/>
        <v>34.033364953570199</v>
      </c>
      <c r="BG45" s="22">
        <f t="shared" si="7"/>
        <v>285.97038929413475</v>
      </c>
      <c r="BH45" s="62">
        <f t="shared" si="8"/>
        <v>579.30372262746801</v>
      </c>
      <c r="BI45" s="62">
        <f ca="1">AVERAGE(OFFSET($BH$3,0,0,'Données projet'!$E$11+1,1))-AVERAGE(OFFSET($H$3,0,0,'Données projet'!$E$11+1,1))</f>
        <v>219.61164494001008</v>
      </c>
      <c r="BJ45" s="62">
        <f t="shared" si="38"/>
        <v>219.59799863414111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207.71428571428567</v>
      </c>
      <c r="BZ45" s="14">
        <f>BY45*VLOOKUP('Données projet'!$B$12,Paramètres!$A$1:$I$89,3,0)*VLOOKUP('Données projet'!$B$12,Paramètres!$A$1:$I$89,5,0)</f>
        <v>162.01714285714283</v>
      </c>
      <c r="CA45" s="14">
        <f t="shared" si="39"/>
        <v>41.297155335096676</v>
      </c>
      <c r="CB45" s="22">
        <f t="shared" si="10"/>
        <v>354.10573601815048</v>
      </c>
      <c r="CC45" s="62">
        <f t="shared" si="11"/>
        <v>647.43906935148379</v>
      </c>
      <c r="CD45" s="62">
        <f ca="1">AVERAGE(OFFSET($CC$3,0,0,'Données projet'!$E$12+1,1))-AVERAGE(OFFSET($H$3,0,0,'Données projet'!$E$12+1,1))</f>
        <v>220.70608186257931</v>
      </c>
      <c r="CE45" s="62">
        <f t="shared" si="40"/>
        <v>208.79744153433245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6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9">
        <f t="shared" si="1"/>
        <v>347.27486665053362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18.714285714285715</v>
      </c>
      <c r="N46" s="14">
        <f>IF('Données projet'!$A$36&gt;35,N45+M46-V45,IF(A46&lt;'Données projet'!$A$36,$K$205^A46,IF(A46='Données projet'!$A$36,'Données projet'!$B$36,N45+M46-V45)))</f>
        <v>360.7142857142855</v>
      </c>
      <c r="O46" s="14">
        <f>N46*VLOOKUP('Données projet'!$B$9,Paramètres!$A$1:$I$89,3,0)*VLOOKUP('Données projet'!$B$9,Paramètres!$A$1:$I$89,5,0)</f>
        <v>201.63928571428559</v>
      </c>
      <c r="P46" s="14">
        <f t="shared" si="33"/>
        <v>50.104261772905943</v>
      </c>
      <c r="Q46" s="22">
        <f t="shared" si="53"/>
        <v>438.45334520685856</v>
      </c>
      <c r="R46" s="62">
        <f t="shared" si="0"/>
        <v>731.78667854019182</v>
      </c>
      <c r="S46" s="62">
        <f ca="1">AVERAGE(OFFSET($R$3,0,0,'Données projet'!$E$9+1,1))-AVERAGE(OFFSET($H$3,0,0,'Données projet'!$E$9+1,1))</f>
        <v>302.20483575440988</v>
      </c>
      <c r="T46" s="62">
        <f t="shared" si="34"/>
        <v>275.32862097158687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15.530067830596492</v>
      </c>
      <c r="AB46" s="23">
        <f>EXP(-LN(2)/2)*AB45+(1-EXP(-LN(2)/2))/(LN(2)/2)*V46*Y46*VLOOKUP('Données projet'!$B$9,Paramètres!$A$1:$I$89,3,0)*0.475*44/12</f>
        <v>0.12161994719363077</v>
      </c>
      <c r="AC46" s="24">
        <f t="shared" si="3"/>
        <v>15.651687777790123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10.666666666666666</v>
      </c>
      <c r="AI46" s="14">
        <f>IF('Données projet'!$A$62&gt;35,AI45+AH46-AQ45,IF(A46&lt;'Données projet'!$A$62,$AF$205^A46,IF(A46='Données projet'!$A$62,'Données projet'!$B$62,AI45+AH46-AQ45)))</f>
        <v>198.66666666666669</v>
      </c>
      <c r="AJ46" s="14">
        <f>AI46*VLOOKUP('Données projet'!$B$10,Paramètres!$A$1:$I$89,3,0)*VLOOKUP('Données projet'!$B$10,Paramètres!$A$1:$I$89,5,0)</f>
        <v>123.968</v>
      </c>
      <c r="AK46" s="14">
        <f t="shared" si="35"/>
        <v>32.598710622532096</v>
      </c>
      <c r="AL46" s="22">
        <f t="shared" si="4"/>
        <v>272.68702100091008</v>
      </c>
      <c r="AM46" s="62">
        <f t="shared" si="5"/>
        <v>566.02035433424339</v>
      </c>
      <c r="AN46" s="62">
        <f ca="1">AVERAGE(OFFSET($AM$3,0,0,'Données projet'!$E$10+1,1))-AVERAGE(OFFSET($H$3,0,0,'Données projet'!$E$10+1,1))</f>
        <v>180.20749454145079</v>
      </c>
      <c r="AO46" s="62">
        <f t="shared" si="36"/>
        <v>307.23455947678775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20.32749052786971</v>
      </c>
      <c r="AW46" s="23">
        <f>EXP(-LN(2)/2)*AW45+(1-EXP(-LN(2)/2))/(LN(2)/2)*AQ46*AT46*VLOOKUP('Données projet'!$B$10,Paramètres!$A$1:$I$89,3,0)*0.475*44/12</f>
        <v>0.32797797354740071</v>
      </c>
      <c r="AX46" s="23">
        <f t="shared" si="6"/>
        <v>20.655468501417111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13.8</v>
      </c>
      <c r="BD46" s="13">
        <f>IF('Données projet'!$A$88&gt;35,BD45+BC46-BL45,IF(A46&lt;'Données projet'!$A$88,$BA$205^A46,IF(A46='Données projet'!$A$88,'Données projet'!$B$88,BD45+BC46-BL45)))</f>
        <v>177.4</v>
      </c>
      <c r="BE46" s="14">
        <f>BD46*VLOOKUP('Données projet'!$B$11,Paramètres!$A$1:$I$89,3,0)*VLOOKUP('Données projet'!$B$11,Paramètres!$A$1:$I$89,5,0)</f>
        <v>141.13944000000001</v>
      </c>
      <c r="BF46" s="14">
        <f t="shared" si="37"/>
        <v>36.557911926411755</v>
      </c>
      <c r="BG46" s="22">
        <f t="shared" si="7"/>
        <v>309.48955460516714</v>
      </c>
      <c r="BH46" s="62">
        <f t="shared" si="8"/>
        <v>602.82288793850046</v>
      </c>
      <c r="BI46" s="62">
        <f ca="1">AVERAGE(OFFSET($BH$3,0,0,'Données projet'!$E$11+1,1))-AVERAGE(OFFSET($H$3,0,0,'Données projet'!$E$11+1,1))</f>
        <v>219.61164494001008</v>
      </c>
      <c r="BJ46" s="62">
        <f t="shared" si="38"/>
        <v>219.59799863414111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218.8571428571428</v>
      </c>
      <c r="BZ46" s="14">
        <f>BY46*VLOOKUP('Données projet'!$B$12,Paramètres!$A$1:$I$89,3,0)*VLOOKUP('Données projet'!$B$12,Paramètres!$A$1:$I$89,5,0)</f>
        <v>170.70857142857139</v>
      </c>
      <c r="CA46" s="14">
        <f t="shared" si="39"/>
        <v>43.248681576985412</v>
      </c>
      <c r="CB46" s="22">
        <f t="shared" si="10"/>
        <v>372.64221565134471</v>
      </c>
      <c r="CC46" s="62">
        <f t="shared" si="11"/>
        <v>665.97554898467797</v>
      </c>
      <c r="CD46" s="62">
        <f ca="1">AVERAGE(OFFSET($CC$3,0,0,'Données projet'!$E$12+1,1))-AVERAGE(OFFSET($H$3,0,0,'Données projet'!$E$12+1,1))</f>
        <v>220.70608186257931</v>
      </c>
      <c r="CE46" s="62">
        <f t="shared" si="40"/>
        <v>208.79744153433245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6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9">
        <f t="shared" si="1"/>
        <v>348.49363314706295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18.714285714285715</v>
      </c>
      <c r="N47" s="14">
        <f>IF('Données projet'!$A$36&gt;35,N46+M47-V46,IF(A47&lt;'Données projet'!$A$36,$K$205^A47,IF(A47='Données projet'!$A$36,'Données projet'!$B$36,N46+M47-V46)))</f>
        <v>379.42857142857122</v>
      </c>
      <c r="O47" s="14">
        <f>N47*VLOOKUP('Données projet'!$B$9,Paramètres!$A$1:$I$89,3,0)*VLOOKUP('Données projet'!$B$9,Paramètres!$A$1:$I$89,5,0)</f>
        <v>212.10057142857133</v>
      </c>
      <c r="P47" s="14">
        <f t="shared" si="33"/>
        <v>52.394347167709434</v>
      </c>
      <c r="Q47" s="22">
        <f t="shared" si="53"/>
        <v>460.66198322185556</v>
      </c>
      <c r="R47" s="62">
        <f t="shared" si="0"/>
        <v>753.99531655518888</v>
      </c>
      <c r="S47" s="62">
        <f ca="1">AVERAGE(OFFSET($R$3,0,0,'Données projet'!$E$9+1,1))-AVERAGE(OFFSET($H$3,0,0,'Données projet'!$E$9+1,1))</f>
        <v>302.20483575440988</v>
      </c>
      <c r="T47" s="62">
        <f t="shared" si="34"/>
        <v>275.32862097158687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15.105397309078057</v>
      </c>
      <c r="AB47" s="23">
        <f>EXP(-LN(2)/2)*AB46+(1-EXP(-LN(2)/2))/(LN(2)/2)*V47*Y47*VLOOKUP('Données projet'!$B$9,Paramètres!$A$1:$I$89,3,0)*0.475*44/12</f>
        <v>8.5998289388166144E-2</v>
      </c>
      <c r="AC47" s="24">
        <f t="shared" si="3"/>
        <v>15.191395598466224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10.666666666666666</v>
      </c>
      <c r="AI47" s="14">
        <f>IF('Données projet'!$A$62&gt;35,AI46+AH47-AQ46,IF(A47&lt;'Données projet'!$A$62,$AF$205^A47,IF(A47='Données projet'!$A$62,'Données projet'!$B$62,AI46+AH47-AQ46)))</f>
        <v>209.33333333333334</v>
      </c>
      <c r="AJ47" s="14">
        <f>AI47*VLOOKUP('Données projet'!$B$10,Paramètres!$A$1:$I$89,3,0)*VLOOKUP('Données projet'!$B$10,Paramètres!$A$1:$I$89,5,0)</f>
        <v>130.62400000000002</v>
      </c>
      <c r="AK47" s="14">
        <f t="shared" si="35"/>
        <v>34.140507202645395</v>
      </c>
      <c r="AL47" s="22">
        <f t="shared" si="4"/>
        <v>286.96485004460743</v>
      </c>
      <c r="AM47" s="62">
        <f t="shared" si="5"/>
        <v>580.29818337794075</v>
      </c>
      <c r="AN47" s="62">
        <f ca="1">AVERAGE(OFFSET($AM$3,0,0,'Données projet'!$E$10+1,1))-AVERAGE(OFFSET($H$3,0,0,'Données projet'!$E$10+1,1))</f>
        <v>180.20749454145079</v>
      </c>
      <c r="AO47" s="62">
        <f t="shared" si="36"/>
        <v>307.23455947678775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19.771634230408846</v>
      </c>
      <c r="AW47" s="23">
        <f>EXP(-LN(2)/2)*AW46+(1-EXP(-LN(2)/2))/(LN(2)/2)*AQ47*AT47*VLOOKUP('Données projet'!$B$10,Paramètres!$A$1:$I$89,3,0)*0.475*44/12</f>
        <v>0.23191544917518916</v>
      </c>
      <c r="AX47" s="23">
        <f t="shared" si="6"/>
        <v>20.003549679584037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13.8</v>
      </c>
      <c r="BD47" s="13">
        <f>IF('Données projet'!$A$88&gt;35,BD46+BC47-BL46,IF(A47&lt;'Données projet'!$A$88,$BA$205^A47,IF(A47='Données projet'!$A$88,'Données projet'!$B$88,BD46+BC47-BL46)))</f>
        <v>191.20000000000002</v>
      </c>
      <c r="BE47" s="14">
        <f>BD47*VLOOKUP('Données projet'!$B$11,Paramètres!$A$1:$I$89,3,0)*VLOOKUP('Données projet'!$B$11,Paramètres!$A$1:$I$89,5,0)</f>
        <v>152.11872000000002</v>
      </c>
      <c r="BF47" s="14">
        <f t="shared" si="37"/>
        <v>39.059678596099225</v>
      </c>
      <c r="BG47" s="22">
        <f t="shared" si="7"/>
        <v>332.96904422153949</v>
      </c>
      <c r="BH47" s="62">
        <f t="shared" si="8"/>
        <v>626.30237755487281</v>
      </c>
      <c r="BI47" s="62">
        <f ca="1">AVERAGE(OFFSET($BH$3,0,0,'Données projet'!$E$11+1,1))-AVERAGE(OFFSET($H$3,0,0,'Données projet'!$E$11+1,1))</f>
        <v>219.61164494001008</v>
      </c>
      <c r="BJ47" s="62">
        <f t="shared" si="38"/>
        <v>219.59799863414111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229.99999999999994</v>
      </c>
      <c r="BZ47" s="14">
        <f>BY47*VLOOKUP('Données projet'!$B$12,Paramètres!$A$1:$I$89,3,0)*VLOOKUP('Données projet'!$B$12,Paramètres!$A$1:$I$89,5,0)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2">
        <f t="shared" si="11"/>
        <v>684.49193583334397</v>
      </c>
      <c r="CD47" s="62">
        <f ca="1">AVERAGE(OFFSET($CC$3,0,0,'Données projet'!$E$12+1,1))-AVERAGE(OFFSET($H$3,0,0,'Données projet'!$E$12+1,1))</f>
        <v>220.70608186257931</v>
      </c>
      <c r="CE47" s="62">
        <f t="shared" si="40"/>
        <v>208.79744153433245</v>
      </c>
      <c r="CF47" s="16">
        <f>IF(ISNA(VLOOKUP(A47,'Données projet'!$A$113:$I$133,3,0)),0,VLOOKUP(A47,'Données projet'!$A$113:$I$133,3,0))</f>
        <v>4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6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9">
        <f t="shared" si="1"/>
        <v>349.7116920191595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18.714285714285715</v>
      </c>
      <c r="N48" s="14">
        <f>IF('Données projet'!$A$36&gt;35,N47+M48-V47,IF(A48&lt;'Données projet'!$A$36,$K$205^A48,IF(A48='Données projet'!$A$36,'Données projet'!$B$36,N47+M48-V47)))</f>
        <v>398.14285714285694</v>
      </c>
      <c r="O48" s="14">
        <f>N48*VLOOKUP('Données projet'!$B$9,Paramètres!$A$1:$I$89,3,0)*VLOOKUP('Données projet'!$B$9,Paramètres!$A$1:$I$89,5,0)</f>
        <v>222.56185714285704</v>
      </c>
      <c r="P48" s="14">
        <f t="shared" si="33"/>
        <v>54.671316974727738</v>
      </c>
      <c r="Q48" s="22">
        <f t="shared" si="53"/>
        <v>482.84777825479341</v>
      </c>
      <c r="R48" s="62">
        <f t="shared" si="0"/>
        <v>776.18111158812667</v>
      </c>
      <c r="S48" s="62">
        <f ca="1">AVERAGE(OFFSET($R$3,0,0,'Données projet'!$E$9+1,1))-AVERAGE(OFFSET($H$3,0,0,'Données projet'!$E$9+1,1))</f>
        <v>302.20483575440988</v>
      </c>
      <c r="T48" s="62">
        <f t="shared" si="34"/>
        <v>275.32862097158687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14.692339425302997</v>
      </c>
      <c r="AB48" s="23">
        <f>EXP(-LN(2)/2)*AB47+(1-EXP(-LN(2)/2))/(LN(2)/2)*V48*Y48*VLOOKUP('Données projet'!$B$9,Paramètres!$A$1:$I$89,3,0)*0.475*44/12</f>
        <v>6.0809973596815392E-2</v>
      </c>
      <c r="AC48" s="24">
        <f t="shared" si="3"/>
        <v>14.753149398899811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10.666666666666666</v>
      </c>
      <c r="AI48" s="14">
        <f>IF('Données projet'!$A$62&gt;35,AI47+AH48-AQ47,IF(A48&lt;'Données projet'!$A$62,$AF$205^A48,IF(A48='Données projet'!$A$62,'Données projet'!$B$62,AI47+AH48-AQ47)))</f>
        <v>220</v>
      </c>
      <c r="AJ48" s="14">
        <f>AI48*VLOOKUP('Données projet'!$B$10,Paramètres!$A$1:$I$89,3,0)*VLOOKUP('Données projet'!$B$10,Paramètres!$A$1:$I$89,5,0)</f>
        <v>137.28</v>
      </c>
      <c r="AK48" s="14">
        <f t="shared" si="35"/>
        <v>35.673181961873446</v>
      </c>
      <c r="AL48" s="22">
        <f t="shared" si="4"/>
        <v>301.22679191692959</v>
      </c>
      <c r="AM48" s="62">
        <f t="shared" si="5"/>
        <v>594.5601252502629</v>
      </c>
      <c r="AN48" s="62">
        <f ca="1">AVERAGE(OFFSET($AM$3,0,0,'Données projet'!$E$10+1,1))-AVERAGE(OFFSET($H$3,0,0,'Données projet'!$E$10+1,1))</f>
        <v>180.20749454145079</v>
      </c>
      <c r="AO48" s="62">
        <f t="shared" si="36"/>
        <v>307.23455947678775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19.230977852633259</v>
      </c>
      <c r="AW48" s="23">
        <f>EXP(-LN(2)/2)*AW47+(1-EXP(-LN(2)/2))/(LN(2)/2)*AQ48*AT48*VLOOKUP('Données projet'!$B$10,Paramètres!$A$1:$I$89,3,0)*0.475*44/12</f>
        <v>0.16398898677370038</v>
      </c>
      <c r="AX48" s="23">
        <f t="shared" si="6"/>
        <v>19.394966839406958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13.8</v>
      </c>
      <c r="BC48" s="13">
        <f t="array" ref="BC48">INDEX(BB:BB,MIN(IF(ISNUMBER(BB48:BB244),ROW(BB48:BB244),"")))</f>
        <v>13.8</v>
      </c>
      <c r="BD48" s="13">
        <f>IF('Données projet'!$A$88&gt;35,BD47+BC48-BL47,IF(A48&lt;'Données projet'!$A$88,$BA$205^A48,IF(A48='Données projet'!$A$88,'Données projet'!$B$88,BD47+BC48-BL47)))</f>
        <v>205.00000000000003</v>
      </c>
      <c r="BE48" s="14">
        <f>BD48*VLOOKUP('Données projet'!$B$11,Paramètres!$A$1:$I$89,3,0)*VLOOKUP('Données projet'!$B$11,Paramètres!$A$1:$I$89,5,0)</f>
        <v>163.09800000000001</v>
      </c>
      <c r="BF48" s="14">
        <f t="shared" si="37"/>
        <v>41.540496136845142</v>
      </c>
      <c r="BG48" s="22">
        <f t="shared" si="7"/>
        <v>356.41204743833867</v>
      </c>
      <c r="BH48" s="62">
        <f t="shared" si="8"/>
        <v>649.74538077167199</v>
      </c>
      <c r="BI48" s="62">
        <f ca="1">AVERAGE(OFFSET($BH$3,0,0,'Données projet'!$E$11+1,1))-AVERAGE(OFFSET($H$3,0,0,'Données projet'!$E$11+1,1))</f>
        <v>219.61164494001008</v>
      </c>
      <c r="BJ48" s="62">
        <f t="shared" si="38"/>
        <v>219.59799863414111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197.37499999999994</v>
      </c>
      <c r="BZ48" s="14">
        <f>BY48*VLOOKUP('Données projet'!$B$12,Paramètres!$A$1:$I$89,3,0)*VLOOKUP('Données projet'!$B$12,Paramètres!$A$1:$I$89,5,0)</f>
        <v>153.95249999999996</v>
      </c>
      <c r="CA48" s="14">
        <f t="shared" si="39"/>
        <v>39.475441267837397</v>
      </c>
      <c r="CB48" s="22">
        <f t="shared" si="10"/>
        <v>336.88699770815003</v>
      </c>
      <c r="CC48" s="62">
        <f t="shared" si="11"/>
        <v>630.2203310414834</v>
      </c>
      <c r="CD48" s="62">
        <f ca="1">AVERAGE(OFFSET($CC$3,0,0,'Données projet'!$E$12+1,1))-AVERAGE(OFFSET($H$3,0,0,'Données projet'!$E$12+1,1))</f>
        <v>220.70608186257931</v>
      </c>
      <c r="CE48" s="62">
        <f t="shared" si="40"/>
        <v>208.79744153433245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6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9">
        <f t="shared" si="1"/>
        <v>350.92906080242972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18.714285714285715</v>
      </c>
      <c r="N49" s="14">
        <f>IF('Données projet'!$A$36&gt;35,N48+M49-V48,IF(A49&lt;'Données projet'!$A$36,$K$205^A49,IF(A49='Données projet'!$A$36,'Données projet'!$B$36,N48+M49-V48)))</f>
        <v>416.85714285714266</v>
      </c>
      <c r="O49" s="14">
        <f>N49*VLOOKUP('Données projet'!$B$9,Paramètres!$A$1:$I$89,3,0)*VLOOKUP('Données projet'!$B$9,Paramètres!$A$1:$I$89,5,0)</f>
        <v>233.02314285714277</v>
      </c>
      <c r="P49" s="14">
        <f t="shared" si="33"/>
        <v>56.935858075040223</v>
      </c>
      <c r="Q49" s="22">
        <f t="shared" si="53"/>
        <v>505.01192662355203</v>
      </c>
      <c r="R49" s="62">
        <f t="shared" si="0"/>
        <v>798.34525995688534</v>
      </c>
      <c r="S49" s="62">
        <f ca="1">AVERAGE(OFFSET($R$3,0,0,'Données projet'!$E$9+1,1))-AVERAGE(OFFSET($H$3,0,0,'Données projet'!$E$9+1,1))</f>
        <v>302.20483575440988</v>
      </c>
      <c r="T49" s="62">
        <f t="shared" si="34"/>
        <v>275.32862097158687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14.290576631081535</v>
      </c>
      <c r="AB49" s="23">
        <f>EXP(-LN(2)/2)*AB48+(1-EXP(-LN(2)/2))/(LN(2)/2)*V49*Y49*VLOOKUP('Données projet'!$B$9,Paramètres!$A$1:$I$89,3,0)*0.475*44/12</f>
        <v>4.2999144694083079E-2</v>
      </c>
      <c r="AC49" s="24">
        <f t="shared" si="3"/>
        <v>14.333575775775618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10.666666666666666</v>
      </c>
      <c r="AI49" s="14">
        <f>IF('Données projet'!$A$62&gt;35,AI48+AH49-AQ48,IF(A49&lt;'Données projet'!$A$62,$AF$205^A49,IF(A49='Données projet'!$A$62,'Données projet'!$B$62,AI48+AH49-AQ48)))</f>
        <v>230.66666666666666</v>
      </c>
      <c r="AJ49" s="14">
        <f>AI49*VLOOKUP('Données projet'!$B$10,Paramètres!$A$1:$I$89,3,0)*VLOOKUP('Données projet'!$B$10,Paramètres!$A$1:$I$89,5,0)</f>
        <v>143.93599999999998</v>
      </c>
      <c r="AK49" s="14">
        <f t="shared" si="35"/>
        <v>37.197227655019397</v>
      </c>
      <c r="AL49" s="22">
        <f t="shared" si="4"/>
        <v>315.47370483249205</v>
      </c>
      <c r="AM49" s="62">
        <f t="shared" si="5"/>
        <v>608.80703816582536</v>
      </c>
      <c r="AN49" s="62">
        <f ca="1">AVERAGE(OFFSET($AM$3,0,0,'Données projet'!$E$10+1,1))-AVERAGE(OFFSET($H$3,0,0,'Données projet'!$E$10+1,1))</f>
        <v>180.20749454145079</v>
      </c>
      <c r="AO49" s="62">
        <f t="shared" si="36"/>
        <v>307.23455947678775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18.705105751939829</v>
      </c>
      <c r="AW49" s="23">
        <f>EXP(-LN(2)/2)*AW48+(1-EXP(-LN(2)/2))/(LN(2)/2)*AQ49*AT49*VLOOKUP('Données projet'!$B$10,Paramètres!$A$1:$I$89,3,0)*0.475*44/12</f>
        <v>0.1159577245875946</v>
      </c>
      <c r="AX49" s="23">
        <f t="shared" si="6"/>
        <v>18.821063476527424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2.6</v>
      </c>
      <c r="BD49" s="13">
        <f>IF('Données projet'!$A$88&gt;35,BD48+BC49-BL48,IF(A49&lt;'Données projet'!$A$88,$BA$205^A49,IF(A49='Données projet'!$A$88,'Données projet'!$B$88,BD48+BC49-BL48)))</f>
        <v>207.60000000000002</v>
      </c>
      <c r="BE49" s="14">
        <f>BD49*VLOOKUP('Données projet'!$B$11,Paramètres!$A$1:$I$89,3,0)*VLOOKUP('Données projet'!$B$11,Paramètres!$A$1:$I$89,5,0)</f>
        <v>165.16656000000003</v>
      </c>
      <c r="BF49" s="14">
        <f t="shared" si="37"/>
        <v>42.00568326171458</v>
      </c>
      <c r="BG49" s="22">
        <f t="shared" si="7"/>
        <v>360.82499034748622</v>
      </c>
      <c r="BH49" s="62">
        <f t="shared" si="8"/>
        <v>654.15832368081954</v>
      </c>
      <c r="BI49" s="62">
        <f ca="1">AVERAGE(OFFSET($BH$3,0,0,'Données projet'!$E$11+1,1))-AVERAGE(OFFSET($H$3,0,0,'Données projet'!$E$11+1,1))</f>
        <v>219.61164494001008</v>
      </c>
      <c r="BJ49" s="62">
        <f t="shared" si="38"/>
        <v>219.59799863414111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207.74999999999994</v>
      </c>
      <c r="BZ49" s="14">
        <f>BY49*VLOOKUP('Données projet'!$B$12,Paramètres!$A$1:$I$89,3,0)*VLOOKUP('Données projet'!$B$12,Paramètres!$A$1:$I$89,5,0)</f>
        <v>162.04499999999996</v>
      </c>
      <c r="CA49" s="14">
        <f t="shared" si="39"/>
        <v>41.303429372463391</v>
      </c>
      <c r="CB49" s="22">
        <f t="shared" si="10"/>
        <v>354.16518115704031</v>
      </c>
      <c r="CC49" s="62">
        <f t="shared" si="11"/>
        <v>647.49851449037362</v>
      </c>
      <c r="CD49" s="62">
        <f ca="1">AVERAGE(OFFSET($CC$3,0,0,'Données projet'!$E$12+1,1))-AVERAGE(OFFSET($H$3,0,0,'Données projet'!$E$12+1,1))</f>
        <v>220.70608186257931</v>
      </c>
      <c r="CE49" s="62">
        <f t="shared" si="40"/>
        <v>208.79744153433245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6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9">
        <f t="shared" si="1"/>
        <v>352.14575622651876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18.714285714285715</v>
      </c>
      <c r="N50" s="14">
        <f>IF('Données projet'!$A$36&gt;35,N49+M50-V49,IF(A50&lt;'Données projet'!$A$36,$K$205^A50,IF(A50='Données projet'!$A$36,'Données projet'!$B$36,N49+M50-V49)))</f>
        <v>435.57142857142838</v>
      </c>
      <c r="O50" s="14">
        <f>N50*VLOOKUP('Données projet'!$B$9,Paramètres!$A$1:$I$89,3,0)*VLOOKUP('Données projet'!$B$9,Paramètres!$A$1:$I$89,5,0)</f>
        <v>243.48442857142848</v>
      </c>
      <c r="P50" s="14">
        <f t="shared" si="33"/>
        <v>59.188592189821975</v>
      </c>
      <c r="Q50" s="22">
        <f t="shared" si="53"/>
        <v>527.15551115917788</v>
      </c>
      <c r="R50" s="62">
        <f t="shared" si="0"/>
        <v>820.48884449251113</v>
      </c>
      <c r="S50" s="62">
        <f ca="1">AVERAGE(OFFSET($R$3,0,0,'Données projet'!$E$9+1,1))-AVERAGE(OFFSET($H$3,0,0,'Données projet'!$E$9+1,1))</f>
        <v>302.20483575440988</v>
      </c>
      <c r="T50" s="62">
        <f t="shared" si="34"/>
        <v>275.32862097158687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13.899800061595847</v>
      </c>
      <c r="AB50" s="23">
        <f>EXP(-LN(2)/2)*AB49+(1-EXP(-LN(2)/2))/(LN(2)/2)*V50*Y50*VLOOKUP('Données projet'!$B$9,Paramètres!$A$1:$I$89,3,0)*0.475*44/12</f>
        <v>3.0404986798407703E-2</v>
      </c>
      <c r="AC50" s="24">
        <f t="shared" si="3"/>
        <v>13.930205048394255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10.666666666666666</v>
      </c>
      <c r="AI50" s="14">
        <f>IF('Données projet'!$A$62&gt;35,AI49+AH50-AQ49,IF(A50&lt;'Données projet'!$A$62,$AF$205^A50,IF(A50='Données projet'!$A$62,'Données projet'!$B$62,AI49+AH50-AQ49)))</f>
        <v>241.33333333333331</v>
      </c>
      <c r="AJ50" s="14">
        <f>AI50*VLOOKUP('Données projet'!$B$10,Paramètres!$A$1:$I$89,3,0)*VLOOKUP('Données projet'!$B$10,Paramètres!$A$1:$I$89,5,0)</f>
        <v>150.59199999999998</v>
      </c>
      <c r="AK50" s="14">
        <f t="shared" si="35"/>
        <v>38.713088888505631</v>
      </c>
      <c r="AL50" s="22">
        <f t="shared" si="4"/>
        <v>329.70636314748066</v>
      </c>
      <c r="AM50" s="62">
        <f t="shared" si="5"/>
        <v>623.03969648081397</v>
      </c>
      <c r="AN50" s="62">
        <f ca="1">AVERAGE(OFFSET($AM$3,0,0,'Données projet'!$E$10+1,1))-AVERAGE(OFFSET($H$3,0,0,'Données projet'!$E$10+1,1))</f>
        <v>180.20749454145079</v>
      </c>
      <c r="AO50" s="62">
        <f t="shared" si="36"/>
        <v>307.23455947678775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18.193613651494275</v>
      </c>
      <c r="AW50" s="23">
        <f>EXP(-LN(2)/2)*AW49+(1-EXP(-LN(2)/2))/(LN(2)/2)*AQ50*AT50*VLOOKUP('Données projet'!$B$10,Paramètres!$A$1:$I$89,3,0)*0.475*44/12</f>
        <v>8.1994493386850206E-2</v>
      </c>
      <c r="AX50" s="23">
        <f t="shared" si="6"/>
        <v>18.275608144881126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2.6</v>
      </c>
      <c r="BD50" s="13">
        <f>IF('Données projet'!$A$88&gt;35,BD49+BC50-BL49,IF(A50&lt;'Données projet'!$A$88,$BA$205^A50,IF(A50='Données projet'!$A$88,'Données projet'!$B$88,BD49+BC50-BL49)))</f>
        <v>210.20000000000002</v>
      </c>
      <c r="BE50" s="14">
        <f>BD50*VLOOKUP('Données projet'!$B$11,Paramètres!$A$1:$I$89,3,0)*VLOOKUP('Données projet'!$B$11,Paramètres!$A$1:$I$89,5,0)</f>
        <v>167.23512000000002</v>
      </c>
      <c r="BF50" s="14">
        <f t="shared" si="37"/>
        <v>42.470192710511604</v>
      </c>
      <c r="BG50" s="22">
        <f t="shared" si="7"/>
        <v>365.2367529708078</v>
      </c>
      <c r="BH50" s="62">
        <f t="shared" si="8"/>
        <v>658.57008630414111</v>
      </c>
      <c r="BI50" s="62">
        <f ca="1">AVERAGE(OFFSET($BH$3,0,0,'Données projet'!$E$11+1,1))-AVERAGE(OFFSET($H$3,0,0,'Données projet'!$E$11+1,1))</f>
        <v>219.61164494001008</v>
      </c>
      <c r="BJ50" s="62">
        <f t="shared" si="38"/>
        <v>219.59799863414111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218.12499999999994</v>
      </c>
      <c r="BZ50" s="14">
        <f>BY50*VLOOKUP('Données projet'!$B$12,Paramètres!$A$1:$I$89,3,0)*VLOOKUP('Données projet'!$B$12,Paramètres!$A$1:$I$89,5,0)</f>
        <v>170.13749999999996</v>
      </c>
      <c r="CA50" s="14">
        <f t="shared" si="39"/>
        <v>43.120817562072411</v>
      </c>
      <c r="CB50" s="22">
        <f t="shared" si="10"/>
        <v>371.42490308727605</v>
      </c>
      <c r="CC50" s="62">
        <f t="shared" si="11"/>
        <v>664.75823642060936</v>
      </c>
      <c r="CD50" s="62">
        <f ca="1">AVERAGE(OFFSET($CC$3,0,0,'Données projet'!$E$12+1,1))-AVERAGE(OFFSET($H$3,0,0,'Données projet'!$E$12+1,1))</f>
        <v>220.70608186257931</v>
      </c>
      <c r="CE50" s="62">
        <f t="shared" si="40"/>
        <v>208.79744153433245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6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9">
        <f t="shared" si="1"/>
        <v>353.361794268501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18.714285714285715</v>
      </c>
      <c r="N51" s="14">
        <f>IF('Données projet'!$A$36&gt;35,N50+M51-V50,IF(A51&lt;'Données projet'!$A$36,$K$205^A51,IF(A51='Données projet'!$A$36,'Données projet'!$B$36,N50+M51-V50)))</f>
        <v>454.28571428571411</v>
      </c>
      <c r="O51" s="14">
        <f>N51*VLOOKUP('Données projet'!$B$9,Paramètres!$A$1:$I$89,3,0)*VLOOKUP('Données projet'!$B$9,Paramètres!$A$1:$I$89,5,0)</f>
        <v>253.94571428571419</v>
      </c>
      <c r="P51" s="14">
        <f t="shared" si="33"/>
        <v>61.430084594341928</v>
      </c>
      <c r="Q51" s="22">
        <f t="shared" si="53"/>
        <v>549.27951638276431</v>
      </c>
      <c r="R51" s="62">
        <f t="shared" si="0"/>
        <v>842.61284971609757</v>
      </c>
      <c r="S51" s="62">
        <f ca="1">AVERAGE(OFFSET($R$3,0,0,'Données projet'!$E$9+1,1))-AVERAGE(OFFSET($H$3,0,0,'Données projet'!$E$9+1,1))</f>
        <v>302.20483575440988</v>
      </c>
      <c r="T51" s="62">
        <f t="shared" si="34"/>
        <v>275.32862097158687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13.519709297952792</v>
      </c>
      <c r="AB51" s="23">
        <f>EXP(-LN(2)/2)*AB50+(1-EXP(-LN(2)/2))/(LN(2)/2)*V51*Y51*VLOOKUP('Données projet'!$B$9,Paramètres!$A$1:$I$89,3,0)*0.475*44/12</f>
        <v>2.1499572347041543E-2</v>
      </c>
      <c r="AC51" s="24">
        <f t="shared" si="3"/>
        <v>13.541208870299833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252</v>
      </c>
      <c r="AG51" s="13">
        <f>VLOOKUP(A51,'Données projet'!$A$61:$I$81,9,0)</f>
        <v>10.666666666666666</v>
      </c>
      <c r="AH51" s="13">
        <f t="array" ref="AH51">INDEX(AG:AG,MIN(IF(ISNUMBER(AG51:AG247),ROW(AG51:AG247),"")))</f>
        <v>10.666666666666666</v>
      </c>
      <c r="AI51" s="14">
        <f>IF('Données projet'!$A$62&gt;35,AI50+AH51-AQ50,IF(A51&lt;'Données projet'!$A$62,$AF$205^A51,IF(A51='Données projet'!$A$62,'Données projet'!$B$62,AI50+AH51-AQ50)))</f>
        <v>251.99999999999997</v>
      </c>
      <c r="AJ51" s="14">
        <f>AI51*VLOOKUP('Données projet'!$B$10,Paramètres!$A$1:$I$89,3,0)*VLOOKUP('Données projet'!$B$10,Paramètres!$A$1:$I$89,5,0)</f>
        <v>157.24799999999999</v>
      </c>
      <c r="AK51" s="14">
        <f t="shared" si="35"/>
        <v>40.22116874434861</v>
      </c>
      <c r="AL51" s="22">
        <f t="shared" si="4"/>
        <v>343.92546889640715</v>
      </c>
      <c r="AM51" s="62">
        <f t="shared" si="5"/>
        <v>637.25880222974047</v>
      </c>
      <c r="AN51" s="62">
        <f ca="1">AVERAGE(OFFSET($AM$3,0,0,'Données projet'!$E$10+1,1))-AVERAGE(OFFSET($H$3,0,0,'Données projet'!$E$10+1,1))</f>
        <v>180.20749454145079</v>
      </c>
      <c r="AO51" s="62">
        <f t="shared" si="36"/>
        <v>307.23455947678775</v>
      </c>
      <c r="AP51" s="16">
        <f>IF(ISNA(VLOOKUP(A51,'Données projet'!$A$61:$I$81,3,0)),0,VLOOKUP(A51,'Données projet'!$A$61:$I$81,3,0))</f>
        <v>7</v>
      </c>
      <c r="AQ51" s="16">
        <f>IF(ISNA(VLOOKUP(A51,'Données projet'!$A$61:$I$81,4,0)),0,VLOOKUP(A51,'Données projet'!$A$61:$I$81,4,0))</f>
        <v>65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17.696108329433603</v>
      </c>
      <c r="AW51" s="23">
        <f>EXP(-LN(2)/2)*AW50+(1-EXP(-LN(2)/2))/(LN(2)/2)*AQ51*AT51*VLOOKUP('Données projet'!$B$10,Paramètres!$A$1:$I$89,3,0)*0.475*44/12</f>
        <v>5.7978862293797312E-2</v>
      </c>
      <c r="AX51" s="23">
        <f t="shared" si="6"/>
        <v>17.7540871917274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2.6</v>
      </c>
      <c r="BD51" s="13">
        <f>IF('Données projet'!$A$88&gt;35,BD50+BC51-BL50,IF(A51&lt;'Données projet'!$A$88,$BA$205^A51,IF(A51='Données projet'!$A$88,'Données projet'!$B$88,BD50+BC51-BL50)))</f>
        <v>212.8</v>
      </c>
      <c r="BE51" s="14">
        <f>BD51*VLOOKUP('Données projet'!$B$11,Paramètres!$A$1:$I$89,3,0)*VLOOKUP('Données projet'!$B$11,Paramètres!$A$1:$I$89,5,0)</f>
        <v>169.30368000000001</v>
      </c>
      <c r="BF51" s="14">
        <f t="shared" si="37"/>
        <v>42.934033834973214</v>
      </c>
      <c r="BG51" s="22">
        <f t="shared" si="7"/>
        <v>369.64735159591169</v>
      </c>
      <c r="BH51" s="62">
        <f t="shared" si="8"/>
        <v>662.98068492924494</v>
      </c>
      <c r="BI51" s="62">
        <f ca="1">AVERAGE(OFFSET($BH$3,0,0,'Données projet'!$E$11+1,1))-AVERAGE(OFFSET($H$3,0,0,'Données projet'!$E$11+1,1))</f>
        <v>219.61164494001008</v>
      </c>
      <c r="BJ51" s="62">
        <f t="shared" si="38"/>
        <v>219.59799863414111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228.49999999999994</v>
      </c>
      <c r="BZ51" s="14">
        <f>BY51*VLOOKUP('Données projet'!$B$12,Paramètres!$A$1:$I$89,3,0)*VLOOKUP('Données projet'!$B$12,Paramètres!$A$1:$I$89,5,0)</f>
        <v>178.22999999999996</v>
      </c>
      <c r="CA51" s="14">
        <f t="shared" si="39"/>
        <v>44.928167580487852</v>
      </c>
      <c r="CB51" s="22">
        <f t="shared" si="10"/>
        <v>388.66714186934956</v>
      </c>
      <c r="CC51" s="62">
        <f t="shared" si="11"/>
        <v>682.00047520268288</v>
      </c>
      <c r="CD51" s="62">
        <f ca="1">AVERAGE(OFFSET($CC$3,0,0,'Données projet'!$E$12+1,1))-AVERAGE(OFFSET($H$3,0,0,'Données projet'!$E$12+1,1))</f>
        <v>220.70608186257931</v>
      </c>
      <c r="CE51" s="62">
        <f t="shared" si="40"/>
        <v>208.79744153433245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6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9">
        <f t="shared" si="1"/>
        <v>354.57719020169571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473</v>
      </c>
      <c r="L52" s="13">
        <f>VLOOKUP(A52,'Données projet'!$A$35:$I$55,9,0)</f>
        <v>18.714285714285715</v>
      </c>
      <c r="M52" s="13">
        <f t="array" ref="M52">INDEX(L:L,MIN(IF(ISNUMBER(L52:L248),ROW(L52:L248),"")))</f>
        <v>18.714285714285715</v>
      </c>
      <c r="N52" s="14">
        <f>IF('Données projet'!$A$36&gt;35,N51+M52-V51,IF(A52&lt;'Données projet'!$A$36,$K$205^A52,IF(A52='Données projet'!$A$36,'Données projet'!$B$36,N51+M52-V51)))</f>
        <v>472.99999999999983</v>
      </c>
      <c r="O52" s="14">
        <f>N52*VLOOKUP('Données projet'!$B$9,Paramètres!$A$1:$I$89,3,0)*VLOOKUP('Données projet'!$B$9,Paramètres!$A$1:$I$89,5,0)</f>
        <v>264.40699999999993</v>
      </c>
      <c r="P52" s="14">
        <f t="shared" si="33"/>
        <v>63.660851355620842</v>
      </c>
      <c r="Q52" s="22">
        <f t="shared" si="53"/>
        <v>571.38484111103946</v>
      </c>
      <c r="R52" s="62">
        <f t="shared" si="0"/>
        <v>864.71817444437283</v>
      </c>
      <c r="S52" s="62">
        <f ca="1">AVERAGE(OFFSET($R$3,0,0,'Données projet'!$E$9+1,1))-AVERAGE(OFFSET($H$3,0,0,'Données projet'!$E$9+1,1))</f>
        <v>302.20483575440988</v>
      </c>
      <c r="T52" s="62">
        <f t="shared" si="34"/>
        <v>275.32862097158687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80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13.150012136229661</v>
      </c>
      <c r="AB52" s="23">
        <f>EXP(-LN(2)/2)*AB51+(1-EXP(-LN(2)/2))/(LN(2)/2)*V52*Y52*VLOOKUP('Données projet'!$B$9,Paramètres!$A$1:$I$89,3,0)*0.475*44/12</f>
        <v>1.5202493399203853E-2</v>
      </c>
      <c r="AC52" s="24">
        <f t="shared" si="3"/>
        <v>13.165214629628865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9.75</v>
      </c>
      <c r="AI52" s="14">
        <f>IF('Données projet'!$A$62&gt;35,AI51+AH52-AQ51,IF(A52&lt;'Données projet'!$A$62,$AF$205^A52,IF(A52='Données projet'!$A$62,'Données projet'!$B$62,AI51+AH52-AQ51)))</f>
        <v>196.75</v>
      </c>
      <c r="AJ52" s="14">
        <f>AI52*VLOOKUP('Données projet'!$B$10,Paramètres!$A$1:$I$89,3,0)*VLOOKUP('Données projet'!$B$10,Paramètres!$A$1:$I$89,5,0)</f>
        <v>122.77200000000001</v>
      </c>
      <c r="AK52" s="14">
        <f t="shared" si="35"/>
        <v>32.320660955470466</v>
      </c>
      <c r="AL52" s="22">
        <f t="shared" si="4"/>
        <v>270.11971783077774</v>
      </c>
      <c r="AM52" s="62">
        <f t="shared" si="5"/>
        <v>563.453051164111</v>
      </c>
      <c r="AN52" s="62">
        <f ca="1">AVERAGE(OFFSET($AM$3,0,0,'Données projet'!$E$10+1,1))-AVERAGE(OFFSET($H$3,0,0,'Données projet'!$E$10+1,1))</f>
        <v>180.20749454145079</v>
      </c>
      <c r="AO52" s="62">
        <f t="shared" si="36"/>
        <v>307.23455947678775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17.212207316567348</v>
      </c>
      <c r="AW52" s="23">
        <f>EXP(-LN(2)/2)*AW51+(1-EXP(-LN(2)/2))/(LN(2)/2)*AQ52*AT52*VLOOKUP('Données projet'!$B$10,Paramètres!$A$1:$I$89,3,0)*0.475*44/12</f>
        <v>4.099724669342511E-2</v>
      </c>
      <c r="AX52" s="23">
        <f t="shared" si="6"/>
        <v>17.253204563260773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2.6</v>
      </c>
      <c r="BD52" s="13">
        <f>IF('Données projet'!$A$88&gt;35,BD51+BC52-BL51,IF(A52&lt;'Données projet'!$A$88,$BA$205^A52,IF(A52='Données projet'!$A$88,'Données projet'!$B$88,BD51+BC52-BL51)))</f>
        <v>215.4</v>
      </c>
      <c r="BE52" s="14">
        <f>BD52*VLOOKUP('Données projet'!$B$11,Paramètres!$A$1:$I$89,3,0)*VLOOKUP('Données projet'!$B$11,Paramètres!$A$1:$I$89,5,0)</f>
        <v>171.37224000000001</v>
      </c>
      <c r="BF52" s="14">
        <f t="shared" si="37"/>
        <v>43.397215745170669</v>
      </c>
      <c r="BG52" s="22">
        <f t="shared" si="7"/>
        <v>374.05680208950554</v>
      </c>
      <c r="BH52" s="62">
        <f t="shared" si="8"/>
        <v>667.39013542283885</v>
      </c>
      <c r="BI52" s="62">
        <f ca="1">AVERAGE(OFFSET($BH$3,0,0,'Données projet'!$E$11+1,1))-AVERAGE(OFFSET($H$3,0,0,'Données projet'!$E$11+1,1))</f>
        <v>219.61164494001008</v>
      </c>
      <c r="BJ52" s="62">
        <f t="shared" si="38"/>
        <v>219.59799863414111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238.87499999999994</v>
      </c>
      <c r="BZ52" s="14">
        <f>BY52*VLOOKUP('Données projet'!$B$12,Paramètres!$A$1:$I$89,3,0)*VLOOKUP('Données projet'!$B$12,Paramètres!$A$1:$I$89,5,0)</f>
        <v>186.32249999999996</v>
      </c>
      <c r="CA52" s="14">
        <f t="shared" si="39"/>
        <v>46.725987276254116</v>
      </c>
      <c r="CB52" s="22">
        <f t="shared" si="10"/>
        <v>405.89278200614257</v>
      </c>
      <c r="CC52" s="62">
        <f t="shared" si="11"/>
        <v>699.22611533947588</v>
      </c>
      <c r="CD52" s="62">
        <f ca="1">AVERAGE(OFFSET($CC$3,0,0,'Données projet'!$E$12+1,1))-AVERAGE(OFFSET($H$3,0,0,'Données projet'!$E$12+1,1))</f>
        <v>220.70608186257931</v>
      </c>
      <c r="CE52" s="62">
        <f t="shared" si="40"/>
        <v>208.79744153433245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6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9">
        <f t="shared" si="1"/>
        <v>355.79195864038502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17.285714285714285</v>
      </c>
      <c r="N53" s="14">
        <f>IF('Données projet'!$A$36&gt;35,N52+M53-V52,IF(A53&lt;'Données projet'!$A$36,$K$205^A53,IF(A53='Données projet'!$A$36,'Données projet'!$B$36,N52+M53-V52)))</f>
        <v>410.28571428571411</v>
      </c>
      <c r="O53" s="14">
        <f>N53*VLOOKUP('Données projet'!$B$9,Paramètres!$A$1:$I$89,3,0)*VLOOKUP('Données projet'!$B$9,Paramètres!$A$1:$I$89,5,0)</f>
        <v>229.34971428571419</v>
      </c>
      <c r="P53" s="14">
        <f t="shared" si="33"/>
        <v>56.142051394693567</v>
      </c>
      <c r="Q53" s="22">
        <f t="shared" si="53"/>
        <v>497.23149189337681</v>
      </c>
      <c r="R53" s="62">
        <f t="shared" si="0"/>
        <v>790.56482522671013</v>
      </c>
      <c r="S53" s="62">
        <f ca="1">AVERAGE(OFFSET($R$3,0,0,'Données projet'!$E$9+1,1))-AVERAGE(OFFSET($H$3,0,0,'Données projet'!$E$9+1,1))</f>
        <v>302.20483575440988</v>
      </c>
      <c r="T53" s="62">
        <f t="shared" si="34"/>
        <v>275.32862097158687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12.790424362835378</v>
      </c>
      <c r="AB53" s="23">
        <f>EXP(-LN(2)/2)*AB52+(1-EXP(-LN(2)/2))/(LN(2)/2)*V53*Y53*VLOOKUP('Données projet'!$B$9,Paramètres!$A$1:$I$89,3,0)*0.475*44/12</f>
        <v>1.0749786173520773E-2</v>
      </c>
      <c r="AC53" s="24">
        <f t="shared" si="3"/>
        <v>12.801174149008899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9.75</v>
      </c>
      <c r="AI53" s="14">
        <f>IF('Données projet'!$A$62&gt;35,AI52+AH53-AQ52,IF(A53&lt;'Données projet'!$A$62,$AF$205^A53,IF(A53='Données projet'!$A$62,'Données projet'!$B$62,AI52+AH53-AQ52)))</f>
        <v>206.5</v>
      </c>
      <c r="AJ53" s="14">
        <f>AI53*VLOOKUP('Données projet'!$B$10,Paramètres!$A$1:$I$89,3,0)*VLOOKUP('Données projet'!$B$10,Paramètres!$A$1:$I$89,5,0)</f>
        <v>128.85599999999999</v>
      </c>
      <c r="AK53" s="14">
        <f t="shared" si="35"/>
        <v>33.731878688740906</v>
      </c>
      <c r="AL53" s="22">
        <f t="shared" si="4"/>
        <v>283.1738887162237</v>
      </c>
      <c r="AM53" s="62">
        <f t="shared" si="5"/>
        <v>576.50722204955696</v>
      </c>
      <c r="AN53" s="62">
        <f ca="1">AVERAGE(OFFSET($AM$3,0,0,'Données projet'!$E$10+1,1))-AVERAGE(OFFSET($H$3,0,0,'Données projet'!$E$10+1,1))</f>
        <v>180.20749454145079</v>
      </c>
      <c r="AO53" s="62">
        <f t="shared" si="36"/>
        <v>307.23455947678775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16.74153860234517</v>
      </c>
      <c r="AW53" s="23">
        <f>EXP(-LN(2)/2)*AW52+(1-EXP(-LN(2)/2))/(LN(2)/2)*AQ53*AT53*VLOOKUP('Données projet'!$B$10,Paramètres!$A$1:$I$89,3,0)*0.475*44/12</f>
        <v>2.8989431146898659E-2</v>
      </c>
      <c r="AX53" s="23">
        <f t="shared" si="6"/>
        <v>16.770528033492067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</v>
      </c>
      <c r="BB53" s="13">
        <f>VLOOKUP(A53,'Données projet'!$A$87:$I$107,9,0)</f>
        <v>2.6</v>
      </c>
      <c r="BC53" s="13">
        <f t="array" ref="BC53">INDEX(BB:BB,MIN(IF(ISNUMBER(BB53:BB249),ROW(BB53:BB249),"")))</f>
        <v>2.6</v>
      </c>
      <c r="BD53" s="13">
        <f>IF('Données projet'!$A$88&gt;35,BD52+BC53-BL52,IF(A53&lt;'Données projet'!$A$88,$BA$205^A53,IF(A53='Données projet'!$A$88,'Données projet'!$B$88,BD52+BC53-BL52)))</f>
        <v>218</v>
      </c>
      <c r="BE53" s="14">
        <f>BD53*VLOOKUP('Données projet'!$B$11,Paramètres!$A$1:$I$89,3,0)*VLOOKUP('Données projet'!$B$11,Paramètres!$A$1:$I$89,5,0)</f>
        <v>173.44080000000002</v>
      </c>
      <c r="BF53" s="14">
        <f t="shared" si="37"/>
        <v>43.859747318594479</v>
      </c>
      <c r="BG53" s="22">
        <f t="shared" si="7"/>
        <v>378.46511991321876</v>
      </c>
      <c r="BH53" s="62">
        <f t="shared" si="8"/>
        <v>671.79845324655207</v>
      </c>
      <c r="BI53" s="62">
        <f ca="1">AVERAGE(OFFSET($BH$3,0,0,'Données projet'!$E$11+1,1))-AVERAGE(OFFSET($H$3,0,0,'Données projet'!$E$11+1,1))</f>
        <v>219.61164494001008</v>
      </c>
      <c r="BJ53" s="62">
        <f t="shared" si="38"/>
        <v>219.59799863414111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39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249.24999999999994</v>
      </c>
      <c r="BZ53" s="14">
        <f>BY53*VLOOKUP('Données projet'!$B$12,Paramètres!$A$1:$I$89,3,0)*VLOOKUP('Données projet'!$B$12,Paramètres!$A$1:$I$89,5,0)</f>
        <v>194.41499999999996</v>
      </c>
      <c r="CA53" s="14">
        <f t="shared" si="39"/>
        <v>48.514737888684969</v>
      </c>
      <c r="CB53" s="22">
        <f t="shared" si="10"/>
        <v>423.1026268227929</v>
      </c>
      <c r="CC53" s="62">
        <f t="shared" si="11"/>
        <v>716.43596015612616</v>
      </c>
      <c r="CD53" s="62">
        <f ca="1">AVERAGE(OFFSET($CC$3,0,0,'Données projet'!$E$12+1,1))-AVERAGE(OFFSET($H$3,0,0,'Données projet'!$E$12+1,1))</f>
        <v>220.70608186257931</v>
      </c>
      <c r="CE53" s="62">
        <f t="shared" si="40"/>
        <v>208.79744153433245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6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9">
        <f t="shared" si="1"/>
        <v>357.00611358085365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17.285714285714285</v>
      </c>
      <c r="N54" s="14">
        <f>IF('Données projet'!$A$36&gt;35,N53+M54-V53,IF(A54&lt;'Données projet'!$A$36,$K$205^A54,IF(A54='Données projet'!$A$36,'Données projet'!$B$36,N53+M54-V53)))</f>
        <v>427.57142857142838</v>
      </c>
      <c r="O54" s="14">
        <f>N54*VLOOKUP('Données projet'!$B$9,Paramètres!$A$1:$I$89,3,0)*VLOOKUP('Données projet'!$B$9,Paramètres!$A$1:$I$89,5,0)</f>
        <v>239.01242857142847</v>
      </c>
      <c r="P54" s="14">
        <f t="shared" si="33"/>
        <v>58.226998714225545</v>
      </c>
      <c r="Q54" s="22">
        <f t="shared" si="53"/>
        <v>517.69200252251403</v>
      </c>
      <c r="R54" s="62">
        <f t="shared" si="0"/>
        <v>811.02533585584729</v>
      </c>
      <c r="S54" s="62">
        <f ca="1">AVERAGE(OFFSET($R$3,0,0,'Données projet'!$E$9+1,1))-AVERAGE(OFFSET($H$3,0,0,'Données projet'!$E$9+1,1))</f>
        <v>302.20483575440988</v>
      </c>
      <c r="T54" s="62">
        <f t="shared" si="34"/>
        <v>275.32862097158687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12.440669536014459</v>
      </c>
      <c r="AB54" s="23">
        <f>EXP(-LN(2)/2)*AB53+(1-EXP(-LN(2)/2))/(LN(2)/2)*V54*Y54*VLOOKUP('Données projet'!$B$9,Paramètres!$A$1:$I$89,3,0)*0.475*44/12</f>
        <v>7.6012466996019275E-3</v>
      </c>
      <c r="AC54" s="24">
        <f t="shared" si="3"/>
        <v>12.448270782714062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9.75</v>
      </c>
      <c r="AI54" s="14">
        <f>IF('Données projet'!$A$62&gt;35,AI53+AH54-AQ53,IF(A54&lt;'Données projet'!$A$62,$AF$205^A54,IF(A54='Données projet'!$A$62,'Données projet'!$B$62,AI53+AH54-AQ53)))</f>
        <v>216.25</v>
      </c>
      <c r="AJ54" s="14">
        <f>AI54*VLOOKUP('Données projet'!$B$10,Paramètres!$A$1:$I$89,3,0)*VLOOKUP('Données projet'!$B$10,Paramètres!$A$1:$I$89,5,0)</f>
        <v>134.94</v>
      </c>
      <c r="AK54" s="14">
        <f t="shared" si="35"/>
        <v>35.135358771568036</v>
      </c>
      <c r="AL54" s="22">
        <f t="shared" si="4"/>
        <v>296.21458319381429</v>
      </c>
      <c r="AM54" s="62">
        <f t="shared" si="5"/>
        <v>589.54791652714766</v>
      </c>
      <c r="AN54" s="62">
        <f ca="1">AVERAGE(OFFSET($AM$3,0,0,'Données projet'!$E$10+1,1))-AVERAGE(OFFSET($H$3,0,0,'Données projet'!$E$10+1,1))</f>
        <v>180.20749454145079</v>
      </c>
      <c r="AO54" s="62">
        <f t="shared" si="36"/>
        <v>307.23455947678775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16.283740348864789</v>
      </c>
      <c r="AW54" s="23">
        <f>EXP(-LN(2)/2)*AW53+(1-EXP(-LN(2)/2))/(LN(2)/2)*AQ54*AT54*VLOOKUP('Données projet'!$B$10,Paramètres!$A$1:$I$89,3,0)*0.475*44/12</f>
        <v>2.0498623346712559E-2</v>
      </c>
      <c r="AX54" s="23">
        <f t="shared" si="6"/>
        <v>16.3042389722115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10.8</v>
      </c>
      <c r="BD54" s="13">
        <f>IF('Données projet'!$A$88&gt;35,BD53+BC54-BL53,IF(A54&lt;'Données projet'!$A$88,$BA$205^A54,IF(A54='Données projet'!$A$88,'Données projet'!$B$88,BD53+BC54-BL53)))</f>
        <v>189.8</v>
      </c>
      <c r="BE54" s="14">
        <f>BD54*VLOOKUP('Données projet'!$B$11,Paramètres!$A$1:$I$89,3,0)*VLOOKUP('Données projet'!$B$11,Paramètres!$A$1:$I$89,5,0)</f>
        <v>151.00488000000001</v>
      </c>
      <c r="BF54" s="14">
        <f t="shared" si="37"/>
        <v>38.80685939084016</v>
      </c>
      <c r="BG54" s="22">
        <f t="shared" si="7"/>
        <v>330.58877943904662</v>
      </c>
      <c r="BH54" s="62">
        <f t="shared" si="8"/>
        <v>623.92211277237993</v>
      </c>
      <c r="BI54" s="62">
        <f ca="1">AVERAGE(OFFSET($BH$3,0,0,'Données projet'!$E$11+1,1))-AVERAGE(OFFSET($H$3,0,0,'Données projet'!$E$11+1,1))</f>
        <v>219.61164494001008</v>
      </c>
      <c r="BJ54" s="62">
        <f t="shared" si="38"/>
        <v>219.59799863414111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259.62499999999994</v>
      </c>
      <c r="BZ54" s="14">
        <f>BY54*VLOOKUP('Données projet'!$B$12,Paramètres!$A$1:$I$89,3,0)*VLOOKUP('Données projet'!$B$12,Paramètres!$A$1:$I$89,5,0)</f>
        <v>202.50749999999996</v>
      </c>
      <c r="CA54" s="14">
        <f t="shared" si="39"/>
        <v>50.294840086606349</v>
      </c>
      <c r="CB54" s="22">
        <f t="shared" si="10"/>
        <v>440.29740898417259</v>
      </c>
      <c r="CC54" s="62">
        <f t="shared" si="11"/>
        <v>733.63074231750591</v>
      </c>
      <c r="CD54" s="62">
        <f ca="1">AVERAGE(OFFSET($CC$3,0,0,'Données projet'!$E$12+1,1))-AVERAGE(OFFSET($H$3,0,0,'Données projet'!$E$12+1,1))</f>
        <v>220.70608186257931</v>
      </c>
      <c r="CE54" s="62">
        <f t="shared" si="40"/>
        <v>208.79744153433245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6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9">
        <f t="shared" si="1"/>
        <v>358.21966843911872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17.285714285714285</v>
      </c>
      <c r="N55" s="14">
        <f>IF('Données projet'!$A$36&gt;35,N54+M55-V54,IF(A55&lt;'Données projet'!$A$36,$K$205^A55,IF(A55='Données projet'!$A$36,'Données projet'!$B$36,N54+M55-V54)))</f>
        <v>444.85714285714266</v>
      </c>
      <c r="O55" s="14">
        <f>N55*VLOOKUP('Données projet'!$B$9,Paramètres!$A$1:$I$89,3,0)*VLOOKUP('Données projet'!$B$9,Paramètres!$A$1:$I$89,5,0)</f>
        <v>248.67514285714276</v>
      </c>
      <c r="P55" s="14">
        <f t="shared" si="33"/>
        <v>60.30215496200401</v>
      </c>
      <c r="Q55" s="22">
        <f t="shared" si="53"/>
        <v>538.13546036834725</v>
      </c>
      <c r="R55" s="62">
        <f t="shared" si="0"/>
        <v>831.46879370168062</v>
      </c>
      <c r="S55" s="62">
        <f ca="1">AVERAGE(OFFSET($R$3,0,0,'Données projet'!$E$9+1,1))-AVERAGE(OFFSET($H$3,0,0,'Données projet'!$E$9+1,1))</f>
        <v>302.20483575440988</v>
      </c>
      <c r="T55" s="62">
        <f t="shared" si="34"/>
        <v>275.32862097158687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12.100478773325767</v>
      </c>
      <c r="AB55" s="23">
        <f>EXP(-LN(2)/2)*AB54+(1-EXP(-LN(2)/2))/(LN(2)/2)*V55*Y55*VLOOKUP('Données projet'!$B$9,Paramètres!$A$1:$I$89,3,0)*0.475*44/12</f>
        <v>5.3748930867603874E-3</v>
      </c>
      <c r="AC55" s="24">
        <f t="shared" si="3"/>
        <v>12.105853666412527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9.75</v>
      </c>
      <c r="AI55" s="14">
        <f>IF('Données projet'!$A$62&gt;35,AI54+AH55-AQ54,IF(A55&lt;'Données projet'!$A$62,$AF$205^A55,IF(A55='Données projet'!$A$62,'Données projet'!$B$62,AI54+AH55-AQ54)))</f>
        <v>226</v>
      </c>
      <c r="AJ55" s="14">
        <f>AI55*VLOOKUP('Données projet'!$B$10,Paramètres!$A$1:$I$89,3,0)*VLOOKUP('Données projet'!$B$10,Paramètres!$A$1:$I$89,5,0)</f>
        <v>141.024</v>
      </c>
      <c r="AK55" s="14">
        <f t="shared" si="35"/>
        <v>36.531489925882461</v>
      </c>
      <c r="AL55" s="22">
        <f t="shared" si="4"/>
        <v>309.24247828757859</v>
      </c>
      <c r="AM55" s="62">
        <f t="shared" si="5"/>
        <v>602.57581162091196</v>
      </c>
      <c r="AN55" s="62">
        <f ca="1">AVERAGE(OFFSET($AM$3,0,0,'Données projet'!$E$10+1,1))-AVERAGE(OFFSET($H$3,0,0,'Données projet'!$E$10+1,1))</f>
        <v>180.20749454145079</v>
      </c>
      <c r="AO55" s="62">
        <f t="shared" si="36"/>
        <v>307.23455947678775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15.838460612700393</v>
      </c>
      <c r="AW55" s="23">
        <f>EXP(-LN(2)/2)*AW54+(1-EXP(-LN(2)/2))/(LN(2)/2)*AQ55*AT55*VLOOKUP('Données projet'!$B$10,Paramètres!$A$1:$I$89,3,0)*0.475*44/12</f>
        <v>1.4494715573449333E-2</v>
      </c>
      <c r="AX55" s="23">
        <f t="shared" si="6"/>
        <v>15.852955328273842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10.8</v>
      </c>
      <c r="BD55" s="13">
        <f>IF('Données projet'!$A$88&gt;35,BD54+BC55-BL54,IF(A55&lt;'Données projet'!$A$88,$BA$205^A55,IF(A55='Données projet'!$A$88,'Données projet'!$B$88,BD54+BC55-BL54)))</f>
        <v>200.60000000000002</v>
      </c>
      <c r="BE55" s="14">
        <f>BD55*VLOOKUP('Données projet'!$B$11,Paramètres!$A$1:$I$89,3,0)*VLOOKUP('Données projet'!$B$11,Paramètres!$A$1:$I$89,5,0)</f>
        <v>159.59736000000004</v>
      </c>
      <c r="BF55" s="14">
        <f t="shared" si="37"/>
        <v>40.751685517297737</v>
      </c>
      <c r="BG55" s="22">
        <f t="shared" si="7"/>
        <v>348.94125427596026</v>
      </c>
      <c r="BH55" s="62">
        <f t="shared" si="8"/>
        <v>642.27458760929358</v>
      </c>
      <c r="BI55" s="62">
        <f ca="1">AVERAGE(OFFSET($BH$3,0,0,'Données projet'!$E$11+1,1))-AVERAGE(OFFSET($H$3,0,0,'Données projet'!$E$11+1,1))</f>
        <v>219.61164494001008</v>
      </c>
      <c r="BJ55" s="62">
        <f t="shared" si="38"/>
        <v>219.59799863414111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269.99999999999994</v>
      </c>
      <c r="BZ55" s="14">
        <f>BY55*VLOOKUP('Données projet'!$B$12,Paramètres!$A$1:$I$89,3,0)*VLOOKUP('Données projet'!$B$12,Paramètres!$A$1:$I$89,5,0)</f>
        <v>210.59999999999997</v>
      </c>
      <c r="CA55" s="14">
        <f t="shared" si="39"/>
        <v>52.066679014659961</v>
      </c>
      <c r="CB55" s="22">
        <f t="shared" si="10"/>
        <v>457.47779928386598</v>
      </c>
      <c r="CC55" s="62">
        <f t="shared" si="11"/>
        <v>750.81113261719929</v>
      </c>
      <c r="CD55" s="62">
        <f ca="1">AVERAGE(OFFSET($CC$3,0,0,'Données projet'!$E$12+1,1))-AVERAGE(OFFSET($H$3,0,0,'Données projet'!$E$12+1,1))</f>
        <v>220.70608186257931</v>
      </c>
      <c r="CE55" s="62">
        <f t="shared" si="40"/>
        <v>208.79744153433245</v>
      </c>
      <c r="CF55" s="16">
        <f>IF(ISNA(VLOOKUP(A55,'Données projet'!$A$113:$I$133,3,0)),0,VLOOKUP(A55,'Données projet'!$A$113:$I$133,3,0))</f>
        <v>5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6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9">
        <f t="shared" si="1"/>
        <v>359.43263608567548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17.285714285714285</v>
      </c>
      <c r="N56" s="14">
        <f>IF('Données projet'!$A$36&gt;35,N55+M56-V55,IF(A56&lt;'Données projet'!$A$36,$K$205^A56,IF(A56='Données projet'!$A$36,'Données projet'!$B$36,N55+M56-V55)))</f>
        <v>462.14285714285694</v>
      </c>
      <c r="O56" s="14">
        <f>N56*VLOOKUP('Données projet'!$B$9,Paramètres!$A$1:$I$89,3,0)*VLOOKUP('Données projet'!$B$9,Paramètres!$A$1:$I$89,5,0)</f>
        <v>258.33785714285705</v>
      </c>
      <c r="P56" s="14">
        <f t="shared" si="33"/>
        <v>62.367944130057822</v>
      </c>
      <c r="Q56" s="22">
        <f t="shared" si="53"/>
        <v>558.56260388366002</v>
      </c>
      <c r="R56" s="62">
        <f t="shared" si="0"/>
        <v>851.89593721699339</v>
      </c>
      <c r="S56" s="62">
        <f ca="1">AVERAGE(OFFSET($R$3,0,0,'Données projet'!$E$9+1,1))-AVERAGE(OFFSET($H$3,0,0,'Données projet'!$E$9+1,1))</f>
        <v>302.20483575440988</v>
      </c>
      <c r="T56" s="62">
        <f t="shared" si="34"/>
        <v>275.32862097158687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11.769590544932651</v>
      </c>
      <c r="AB56" s="23">
        <f>EXP(-LN(2)/2)*AB55+(1-EXP(-LN(2)/2))/(LN(2)/2)*V56*Y56*VLOOKUP('Données projet'!$B$9,Paramètres!$A$1:$I$89,3,0)*0.475*44/12</f>
        <v>3.8006233498009646E-3</v>
      </c>
      <c r="AC56" s="24">
        <f t="shared" si="3"/>
        <v>11.773391168282451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9.75</v>
      </c>
      <c r="AI56" s="14">
        <f>IF('Données projet'!$A$62&gt;35,AI55+AH56-AQ55,IF(A56&lt;'Données projet'!$A$62,$AF$205^A56,IF(A56='Données projet'!$A$62,'Données projet'!$B$62,AI55+AH56-AQ55)))</f>
        <v>235.75</v>
      </c>
      <c r="AJ56" s="14">
        <f>AI56*VLOOKUP('Données projet'!$B$10,Paramètres!$A$1:$I$89,3,0)*VLOOKUP('Données projet'!$B$10,Paramètres!$A$1:$I$89,5,0)</f>
        <v>147.108</v>
      </c>
      <c r="AK56" s="14">
        <f t="shared" si="35"/>
        <v>37.920625436598897</v>
      </c>
      <c r="AL56" s="22">
        <f t="shared" si="4"/>
        <v>322.25818930207646</v>
      </c>
      <c r="AM56" s="62">
        <f t="shared" si="5"/>
        <v>615.59152263540977</v>
      </c>
      <c r="AN56" s="62">
        <f ca="1">AVERAGE(OFFSET($AM$3,0,0,'Données projet'!$E$10+1,1))-AVERAGE(OFFSET($H$3,0,0,'Données projet'!$E$10+1,1))</f>
        <v>180.20749454145079</v>
      </c>
      <c r="AO56" s="62">
        <f t="shared" si="36"/>
        <v>307.23455947678775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15.405357074337656</v>
      </c>
      <c r="AW56" s="23">
        <f>EXP(-LN(2)/2)*AW55+(1-EXP(-LN(2)/2))/(LN(2)/2)*AQ56*AT56*VLOOKUP('Données projet'!$B$10,Paramètres!$A$1:$I$89,3,0)*0.475*44/12</f>
        <v>1.0249311673356281E-2</v>
      </c>
      <c r="AX56" s="23">
        <f t="shared" si="6"/>
        <v>15.415606386011012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10.8</v>
      </c>
      <c r="BD56" s="13">
        <f>IF('Données projet'!$A$88&gt;35,BD55+BC56-BL55,IF(A56&lt;'Données projet'!$A$88,$BA$205^A56,IF(A56='Données projet'!$A$88,'Données projet'!$B$88,BD55+BC56-BL55)))</f>
        <v>211.40000000000003</v>
      </c>
      <c r="BE56" s="14">
        <f>BD56*VLOOKUP('Données projet'!$B$11,Paramètres!$A$1:$I$89,3,0)*VLOOKUP('Données projet'!$B$11,Paramètres!$A$1:$I$89,5,0)</f>
        <v>168.18984000000003</v>
      </c>
      <c r="BF56" s="14">
        <f t="shared" si="37"/>
        <v>42.684355718695393</v>
      </c>
      <c r="BG56" s="22">
        <f t="shared" si="7"/>
        <v>367.2725575433945</v>
      </c>
      <c r="BH56" s="62">
        <f t="shared" si="8"/>
        <v>660.60589087672781</v>
      </c>
      <c r="BI56" s="62">
        <f ca="1">AVERAGE(OFFSET($BH$3,0,0,'Données projet'!$E$11+1,1))-AVERAGE(OFFSET($H$3,0,0,'Données projet'!$E$11+1,1))</f>
        <v>219.61164494001008</v>
      </c>
      <c r="BJ56" s="62">
        <f t="shared" si="38"/>
        <v>219.59799863414111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231.37499999999994</v>
      </c>
      <c r="BZ56" s="14">
        <f>BY56*VLOOKUP('Données projet'!$B$12,Paramètres!$A$1:$I$89,3,0)*VLOOKUP('Données projet'!$B$12,Paramètres!$A$1:$I$89,5,0)</f>
        <v>180.47249999999997</v>
      </c>
      <c r="CA56" s="14">
        <f t="shared" si="39"/>
        <v>45.427292666837829</v>
      </c>
      <c r="CB56" s="22">
        <f t="shared" si="10"/>
        <v>393.44213889474253</v>
      </c>
      <c r="CC56" s="62">
        <f t="shared" si="11"/>
        <v>686.77547222807584</v>
      </c>
      <c r="CD56" s="62">
        <f ca="1">AVERAGE(OFFSET($CC$3,0,0,'Données projet'!$E$12+1,1))-AVERAGE(OFFSET($H$3,0,0,'Données projet'!$E$12+1,1))</f>
        <v>220.70608186257931</v>
      </c>
      <c r="CE56" s="62">
        <f t="shared" si="40"/>
        <v>208.79744153433245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6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9">
        <f t="shared" si="1"/>
        <v>360.64502887754611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17.285714285714285</v>
      </c>
      <c r="N57" s="14">
        <f>IF('Données projet'!$A$36&gt;35,N56+M57-V56,IF(A57&lt;'Données projet'!$A$36,$K$205^A57,IF(A57='Données projet'!$A$36,'Données projet'!$B$36,N56+M57-V56)))</f>
        <v>479.42857142857122</v>
      </c>
      <c r="O57" s="14">
        <f>N57*VLOOKUP('Données projet'!$B$9,Paramètres!$A$1:$I$89,3,0)*VLOOKUP('Données projet'!$B$9,Paramètres!$A$1:$I$89,5,0)</f>
        <v>268.00057142857128</v>
      </c>
      <c r="P57" s="14">
        <f t="shared" si="33"/>
        <v>64.42475669606354</v>
      </c>
      <c r="Q57" s="22">
        <f t="shared" si="53"/>
        <v>578.97411315040551</v>
      </c>
      <c r="R57" s="62">
        <f t="shared" si="0"/>
        <v>872.30744648373889</v>
      </c>
      <c r="S57" s="62">
        <f ca="1">AVERAGE(OFFSET($R$3,0,0,'Données projet'!$E$9+1,1))-AVERAGE(OFFSET($H$3,0,0,'Données projet'!$E$9+1,1))</f>
        <v>302.20483575440988</v>
      </c>
      <c r="T57" s="62">
        <f t="shared" si="34"/>
        <v>275.32862097158687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11.4477504725456</v>
      </c>
      <c r="AB57" s="23">
        <f>EXP(-LN(2)/2)*AB56+(1-EXP(-LN(2)/2))/(LN(2)/2)*V57*Y57*VLOOKUP('Données projet'!$B$9,Paramètres!$A$1:$I$89,3,0)*0.475*44/12</f>
        <v>2.6874465433801942E-3</v>
      </c>
      <c r="AC57" s="24">
        <f t="shared" si="3"/>
        <v>11.45043791908898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9.75</v>
      </c>
      <c r="AI57" s="14">
        <f>IF('Données projet'!$A$62&gt;35,AI56+AH57-AQ56,IF(A57&lt;'Données projet'!$A$62,$AF$205^A57,IF(A57='Données projet'!$A$62,'Données projet'!$B$62,AI56+AH57-AQ56)))</f>
        <v>245.5</v>
      </c>
      <c r="AJ57" s="14">
        <f>AI57*VLOOKUP('Données projet'!$B$10,Paramètres!$A$1:$I$89,3,0)*VLOOKUP('Données projet'!$B$10,Paramètres!$A$1:$I$89,5,0)</f>
        <v>153.19199999999998</v>
      </c>
      <c r="AK57" s="14">
        <f t="shared" si="35"/>
        <v>39.303087713366921</v>
      </c>
      <c r="AL57" s="22">
        <f t="shared" si="4"/>
        <v>335.2622777674473</v>
      </c>
      <c r="AM57" s="62">
        <f t="shared" si="5"/>
        <v>628.59561110078062</v>
      </c>
      <c r="AN57" s="62">
        <f ca="1">AVERAGE(OFFSET($AM$3,0,0,'Données projet'!$E$10+1,1))-AVERAGE(OFFSET($H$3,0,0,'Données projet'!$E$10+1,1))</f>
        <v>180.20749454145079</v>
      </c>
      <c r="AO57" s="62">
        <f t="shared" si="36"/>
        <v>307.23455947678775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14.984096775007375</v>
      </c>
      <c r="AW57" s="23">
        <f>EXP(-LN(2)/2)*AW56+(1-EXP(-LN(2)/2))/(LN(2)/2)*AQ57*AT57*VLOOKUP('Données projet'!$B$10,Paramètres!$A$1:$I$89,3,0)*0.475*44/12</f>
        <v>7.2473577867246675E-3</v>
      </c>
      <c r="AX57" s="23">
        <f t="shared" si="6"/>
        <v>14.991344132794099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10.8</v>
      </c>
      <c r="BD57" s="13">
        <f>IF('Données projet'!$A$88&gt;35,BD56+BC57-BL56,IF(A57&lt;'Données projet'!$A$88,$BA$205^A57,IF(A57='Données projet'!$A$88,'Données projet'!$B$88,BD56+BC57-BL56)))</f>
        <v>222.20000000000005</v>
      </c>
      <c r="BE57" s="14">
        <f>BD57*VLOOKUP('Données projet'!$B$11,Paramètres!$A$1:$I$89,3,0)*VLOOKUP('Données projet'!$B$11,Paramètres!$A$1:$I$89,5,0)</f>
        <v>176.78232000000006</v>
      </c>
      <c r="BF57" s="14">
        <f t="shared" si="37"/>
        <v>44.605561863097499</v>
      </c>
      <c r="BG57" s="22">
        <f t="shared" si="7"/>
        <v>385.58389424489491</v>
      </c>
      <c r="BH57" s="62">
        <f t="shared" si="8"/>
        <v>678.91722757822822</v>
      </c>
      <c r="BI57" s="62">
        <f ca="1">AVERAGE(OFFSET($BH$3,0,0,'Données projet'!$E$11+1,1))-AVERAGE(OFFSET($H$3,0,0,'Données projet'!$E$11+1,1))</f>
        <v>219.61164494001008</v>
      </c>
      <c r="BJ57" s="62">
        <f t="shared" si="38"/>
        <v>219.59799863414111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240.74999999999994</v>
      </c>
      <c r="BZ57" s="14">
        <f>BY57*VLOOKUP('Données projet'!$B$12,Paramètres!$A$1:$I$89,3,0)*VLOOKUP('Données projet'!$B$12,Paramètres!$A$1:$I$89,5,0)</f>
        <v>187.78499999999997</v>
      </c>
      <c r="CA57" s="14">
        <f t="shared" si="39"/>
        <v>47.049914090154054</v>
      </c>
      <c r="CB57" s="22">
        <f t="shared" si="10"/>
        <v>409.00414204035161</v>
      </c>
      <c r="CC57" s="62">
        <f t="shared" si="11"/>
        <v>702.33747537368492</v>
      </c>
      <c r="CD57" s="62">
        <f ca="1">AVERAGE(OFFSET($CC$3,0,0,'Données projet'!$E$12+1,1))-AVERAGE(OFFSET($H$3,0,0,'Données projet'!$E$12+1,1))</f>
        <v>220.70608186257931</v>
      </c>
      <c r="CE57" s="62">
        <f t="shared" si="40"/>
        <v>208.79744153433245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6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9">
        <f t="shared" si="1"/>
        <v>361.85685868788795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17.285714285714285</v>
      </c>
      <c r="N58" s="14">
        <f>IF('Données projet'!$A$36&gt;35,N57+M58-V57,IF(A58&lt;'Données projet'!$A$36,$K$205^A58,IF(A58='Données projet'!$A$36,'Données projet'!$B$36,N57+M58-V57)))</f>
        <v>496.7142857142855</v>
      </c>
      <c r="O58" s="14">
        <f>N58*VLOOKUP('Données projet'!$B$9,Paramètres!$A$1:$I$89,3,0)*VLOOKUP('Données projet'!$B$9,Paramètres!$A$1:$I$89,5,0)</f>
        <v>277.66328571428562</v>
      </c>
      <c r="P58" s="14">
        <f t="shared" si="33"/>
        <v>66.47295338451616</v>
      </c>
      <c r="Q58" s="22">
        <f t="shared" si="53"/>
        <v>599.37061643041295</v>
      </c>
      <c r="R58" s="62">
        <f t="shared" si="0"/>
        <v>892.70394976374632</v>
      </c>
      <c r="S58" s="62">
        <f ca="1">AVERAGE(OFFSET($R$3,0,0,'Données projet'!$E$9+1,1))-AVERAGE(OFFSET($H$3,0,0,'Données projet'!$E$9+1,1))</f>
        <v>302.20483575440988</v>
      </c>
      <c r="T58" s="62">
        <f t="shared" si="34"/>
        <v>275.32862097158687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11.134711133862808</v>
      </c>
      <c r="AB58" s="23">
        <f>EXP(-LN(2)/2)*AB57+(1-EXP(-LN(2)/2))/(LN(2)/2)*V58*Y58*VLOOKUP('Données projet'!$B$9,Paramètres!$A$1:$I$89,3,0)*0.475*44/12</f>
        <v>1.9003116749004825E-3</v>
      </c>
      <c r="AC58" s="24">
        <f t="shared" si="3"/>
        <v>11.136611445537708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9.75</v>
      </c>
      <c r="AI58" s="14">
        <f>IF('Données projet'!$A$62&gt;35,AI57+AH58-AQ57,IF(A58&lt;'Données projet'!$A$62,$AF$205^A58,IF(A58='Données projet'!$A$62,'Données projet'!$B$62,AI57+AH58-AQ57)))</f>
        <v>255.25</v>
      </c>
      <c r="AJ58" s="14">
        <f>AI58*VLOOKUP('Données projet'!$B$10,Paramètres!$A$1:$I$89,3,0)*VLOOKUP('Données projet'!$B$10,Paramètres!$A$1:$I$89,5,0)</f>
        <v>159.27600000000001</v>
      </c>
      <c r="AK58" s="14">
        <f t="shared" si="35"/>
        <v>40.679172107249002</v>
      </c>
      <c r="AL58" s="22">
        <f t="shared" si="4"/>
        <v>348.25525808679203</v>
      </c>
      <c r="AM58" s="62">
        <f t="shared" si="5"/>
        <v>641.58859142012534</v>
      </c>
      <c r="AN58" s="62">
        <f ca="1">AVERAGE(OFFSET($AM$3,0,0,'Données projet'!$E$10+1,1))-AVERAGE(OFFSET($H$3,0,0,'Données projet'!$E$10+1,1))</f>
        <v>180.20749454145079</v>
      </c>
      <c r="AO58" s="62">
        <f t="shared" si="36"/>
        <v>307.23455947678775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14.574355860715395</v>
      </c>
      <c r="AW58" s="23">
        <f>EXP(-LN(2)/2)*AW57+(1-EXP(-LN(2)/2))/(LN(2)/2)*AQ58*AT58*VLOOKUP('Données projet'!$B$10,Paramètres!$A$1:$I$89,3,0)*0.475*44/12</f>
        <v>5.1246558366781414E-3</v>
      </c>
      <c r="AX58" s="23">
        <f t="shared" si="6"/>
        <v>14.579480516552072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233</v>
      </c>
      <c r="BB58" s="13">
        <f>VLOOKUP(A58,'Données projet'!$A$87:$I$107,9,0)</f>
        <v>10.8</v>
      </c>
      <c r="BC58" s="13">
        <f t="array" ref="BC58">INDEX(BB:BB,MIN(IF(ISNUMBER(BB58:BB254),ROW(BB58:BB254),"")))</f>
        <v>10.8</v>
      </c>
      <c r="BD58" s="13">
        <f>IF('Données projet'!$A$88&gt;35,BD57+BC58-BL57,IF(A58&lt;'Données projet'!$A$88,$BA$205^A58,IF(A58='Données projet'!$A$88,'Données projet'!$B$88,BD57+BC58-BL57)))</f>
        <v>233.00000000000006</v>
      </c>
      <c r="BE58" s="14">
        <f>BD58*VLOOKUP('Données projet'!$B$11,Paramètres!$A$1:$I$89,3,0)*VLOOKUP('Données projet'!$B$11,Paramètres!$A$1:$I$89,5,0)</f>
        <v>185.37480000000005</v>
      </c>
      <c r="BF58" s="14">
        <f t="shared" si="37"/>
        <v>46.51592476241273</v>
      </c>
      <c r="BG58" s="22">
        <f t="shared" si="7"/>
        <v>403.87634562786894</v>
      </c>
      <c r="BH58" s="62">
        <f t="shared" si="8"/>
        <v>697.20967896120226</v>
      </c>
      <c r="BI58" s="62">
        <f ca="1">AVERAGE(OFFSET($BH$3,0,0,'Données projet'!$E$11+1,1))-AVERAGE(OFFSET($H$3,0,0,'Données projet'!$E$11+1,1))</f>
        <v>219.61164494001008</v>
      </c>
      <c r="BJ58" s="62">
        <f t="shared" si="38"/>
        <v>219.59799863414111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250.12499999999994</v>
      </c>
      <c r="BZ58" s="14">
        <f>BY58*VLOOKUP('Données projet'!$B$12,Paramètres!$A$1:$I$89,3,0)*VLOOKUP('Données projet'!$B$12,Paramètres!$A$1:$I$89,5,0)</f>
        <v>195.09749999999997</v>
      </c>
      <c r="CA58" s="14">
        <f t="shared" si="39"/>
        <v>48.66519532492584</v>
      </c>
      <c r="CB58" s="22">
        <f t="shared" si="10"/>
        <v>424.55336102424576</v>
      </c>
      <c r="CC58" s="62">
        <f t="shared" si="11"/>
        <v>717.88669435757902</v>
      </c>
      <c r="CD58" s="62">
        <f ca="1">AVERAGE(OFFSET($CC$3,0,0,'Données projet'!$E$12+1,1))-AVERAGE(OFFSET($H$3,0,0,'Données projet'!$E$12+1,1))</f>
        <v>220.70608186257931</v>
      </c>
      <c r="CE58" s="62">
        <f t="shared" si="40"/>
        <v>208.79744153433245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6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9">
        <f t="shared" si="1"/>
        <v>363.068136933387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514</v>
      </c>
      <c r="L59" s="13">
        <f>VLOOKUP(A59,'Données projet'!$A$35:$I$55,9,0)</f>
        <v>17.285714285714285</v>
      </c>
      <c r="M59" s="13">
        <f t="array" ref="M59">INDEX(L:L,MIN(IF(ISNUMBER(L59:L255),ROW(L59:L255),"")))</f>
        <v>17.285714285714285</v>
      </c>
      <c r="N59" s="14">
        <f>IF('Données projet'!$A$36&gt;35,N58+M59-V58,IF(A59&lt;'Données projet'!$A$36,$K$205^A59,IF(A59='Données projet'!$A$36,'Données projet'!$B$36,N58+M59-V58)))</f>
        <v>513.99999999999977</v>
      </c>
      <c r="O59" s="14">
        <f>N59*VLOOKUP('Données projet'!$B$9,Paramètres!$A$1:$I$89,3,0)*VLOOKUP('Données projet'!$B$9,Paramètres!$A$1:$I$89,5,0)</f>
        <v>287.32599999999985</v>
      </c>
      <c r="P59" s="14">
        <f t="shared" si="33"/>
        <v>68.512868389632061</v>
      </c>
      <c r="Q59" s="22">
        <f t="shared" si="53"/>
        <v>619.75269577860888</v>
      </c>
      <c r="R59" s="62">
        <f t="shared" si="0"/>
        <v>913.08602911194225</v>
      </c>
      <c r="S59" s="62">
        <f ca="1">AVERAGE(OFFSET($R$3,0,0,'Données projet'!$E$9+1,1))-AVERAGE(OFFSET($H$3,0,0,'Données projet'!$E$9+1,1))</f>
        <v>302.20483575440988</v>
      </c>
      <c r="T59" s="62">
        <f t="shared" si="34"/>
        <v>275.32862097158687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85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10.83023187235832</v>
      </c>
      <c r="AB59" s="23">
        <f>EXP(-LN(2)/2)*AB58+(1-EXP(-LN(2)/2))/(LN(2)/2)*V59*Y59*VLOOKUP('Données projet'!$B$9,Paramètres!$A$1:$I$89,3,0)*0.475*44/12</f>
        <v>1.3437232716900973E-3</v>
      </c>
      <c r="AC59" s="24">
        <f t="shared" si="3"/>
        <v>10.83157559563001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9.75</v>
      </c>
      <c r="AI59" s="14">
        <f>IF('Données projet'!$A$62&gt;35,AI58+AH59-AQ58,IF(A59&lt;'Données projet'!$A$62,$AF$205^A59,IF(A59='Données projet'!$A$62,'Données projet'!$B$62,AI58+AH59-AQ58)))</f>
        <v>265</v>
      </c>
      <c r="AJ59" s="14">
        <f>AI59*VLOOKUP('Données projet'!$B$10,Paramètres!$A$1:$I$89,3,0)*VLOOKUP('Données projet'!$B$10,Paramètres!$A$1:$I$89,5,0)</f>
        <v>165.35999999999999</v>
      </c>
      <c r="AK59" s="14">
        <f t="shared" si="35"/>
        <v>42.04915012784209</v>
      </c>
      <c r="AL59" s="22">
        <f t="shared" si="4"/>
        <v>361.2376031393249</v>
      </c>
      <c r="AM59" s="62">
        <f t="shared" si="5"/>
        <v>654.57093647265822</v>
      </c>
      <c r="AN59" s="62">
        <f ca="1">AVERAGE(OFFSET($AM$3,0,0,'Données projet'!$E$10+1,1))-AVERAGE(OFFSET($H$3,0,0,'Données projet'!$E$10+1,1))</f>
        <v>180.20749454145079</v>
      </c>
      <c r="AO59" s="62">
        <f t="shared" si="36"/>
        <v>307.23455947678775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14.175819333272068</v>
      </c>
      <c r="AW59" s="23">
        <f>EXP(-LN(2)/2)*AW58+(1-EXP(-LN(2)/2))/(LN(2)/2)*AQ59*AT59*VLOOKUP('Données projet'!$B$10,Paramètres!$A$1:$I$89,3,0)*0.475*44/12</f>
        <v>3.6236788933623342E-3</v>
      </c>
      <c r="AX59" s="23">
        <f t="shared" si="6"/>
        <v>14.17944301216543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2.4</v>
      </c>
      <c r="BD59" s="13">
        <f>IF('Données projet'!$A$88&gt;35,BD58+BC59-BL58,IF(A59&lt;'Données projet'!$A$88,$BA$205^A59,IF(A59='Données projet'!$A$88,'Données projet'!$B$88,BD58+BC59-BL58)))</f>
        <v>235.40000000000006</v>
      </c>
      <c r="BE59" s="14">
        <f>BD59*VLOOKUP('Données projet'!$B$11,Paramètres!$A$1:$I$89,3,0)*VLOOKUP('Données projet'!$B$11,Paramètres!$A$1:$I$89,5,0)</f>
        <v>187.28424000000007</v>
      </c>
      <c r="BF59" s="14">
        <f t="shared" si="37"/>
        <v>46.939034723010714</v>
      </c>
      <c r="BG59" s="22">
        <f t="shared" si="7"/>
        <v>407.93887014257706</v>
      </c>
      <c r="BH59" s="62">
        <f t="shared" si="8"/>
        <v>701.27220347591037</v>
      </c>
      <c r="BI59" s="62">
        <f ca="1">AVERAGE(OFFSET($BH$3,0,0,'Données projet'!$E$11+1,1))-AVERAGE(OFFSET($H$3,0,0,'Données projet'!$E$11+1,1))</f>
        <v>219.61164494001008</v>
      </c>
      <c r="BJ59" s="62">
        <f t="shared" si="38"/>
        <v>219.59799863414111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259.49999999999994</v>
      </c>
      <c r="BZ59" s="14">
        <f>BY59*VLOOKUP('Données projet'!$B$12,Paramètres!$A$1:$I$89,3,0)*VLOOKUP('Données projet'!$B$12,Paramètres!$A$1:$I$89,5,0)</f>
        <v>202.40999999999997</v>
      </c>
      <c r="CA59" s="14">
        <f t="shared" si="39"/>
        <v>50.273442991661867</v>
      </c>
      <c r="CB59" s="22">
        <f t="shared" si="10"/>
        <v>440.09032987714431</v>
      </c>
      <c r="CC59" s="62">
        <f t="shared" si="11"/>
        <v>733.42366321047757</v>
      </c>
      <c r="CD59" s="62">
        <f ca="1">AVERAGE(OFFSET($CC$3,0,0,'Données projet'!$E$12+1,1))-AVERAGE(OFFSET($H$3,0,0,'Données projet'!$E$12+1,1))</f>
        <v>220.70608186257931</v>
      </c>
      <c r="CE59" s="62">
        <f t="shared" si="40"/>
        <v>208.79744153433245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6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9">
        <f t="shared" si="1"/>
        <v>364.27887459963966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15.571428571428571</v>
      </c>
      <c r="N60" s="14">
        <f>IF('Données projet'!$A$36&gt;35,N59+M60-V59,IF(A60&lt;'Données projet'!$A$36,$K$205^A60,IF(A60='Données projet'!$A$36,'Données projet'!$B$36,N59+M60-V59)))</f>
        <v>444.57142857142833</v>
      </c>
      <c r="O60" s="14">
        <f>N60*VLOOKUP('Données projet'!$B$9,Paramètres!$A$1:$I$89,3,0)*VLOOKUP('Données projet'!$B$9,Paramètres!$A$1:$I$89,5,0)</f>
        <v>248.51542857142846</v>
      </c>
      <c r="P60" s="14">
        <f t="shared" si="33"/>
        <v>60.267932112745214</v>
      </c>
      <c r="Q60" s="22">
        <f t="shared" si="53"/>
        <v>537.79768652493578</v>
      </c>
      <c r="R60" s="62">
        <f t="shared" si="0"/>
        <v>831.13101985826916</v>
      </c>
      <c r="S60" s="62">
        <f ca="1">AVERAGE(OFFSET($R$3,0,0,'Données projet'!$E$9+1,1))-AVERAGE(OFFSET($H$3,0,0,'Données projet'!$E$9+1,1))</f>
        <v>302.20483575440988</v>
      </c>
      <c r="T60" s="62">
        <f t="shared" si="34"/>
        <v>275.32862097158687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10.534078612271541</v>
      </c>
      <c r="AB60" s="23">
        <f>EXP(-LN(2)/2)*AB59+(1-EXP(-LN(2)/2))/(LN(2)/2)*V60*Y60*VLOOKUP('Données projet'!$B$9,Paramètres!$A$1:$I$89,3,0)*0.475*44/12</f>
        <v>9.5015583745024148E-4</v>
      </c>
      <c r="AC60" s="24">
        <f t="shared" si="3"/>
        <v>10.535028768108992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9.75</v>
      </c>
      <c r="AI60" s="14">
        <f>IF('Données projet'!$A$62&gt;35,AI59+AH60-AQ59,IF(A60&lt;'Données projet'!$A$62,$AF$205^A60,IF(A60='Données projet'!$A$62,'Données projet'!$B$62,AI59+AH60-AQ59)))</f>
        <v>274.75</v>
      </c>
      <c r="AJ60" s="14">
        <f>AI60*VLOOKUP('Données projet'!$B$10,Paramètres!$A$1:$I$89,3,0)*VLOOKUP('Données projet'!$B$10,Paramètres!$A$1:$I$89,5,0)</f>
        <v>171.44399999999999</v>
      </c>
      <c r="AK60" s="14">
        <f t="shared" si="35"/>
        <v>43.413272173627242</v>
      </c>
      <c r="AL60" s="22">
        <f t="shared" si="4"/>
        <v>374.20974903573409</v>
      </c>
      <c r="AM60" s="62">
        <f t="shared" si="5"/>
        <v>667.54308236906741</v>
      </c>
      <c r="AN60" s="62">
        <f ca="1">AVERAGE(OFFSET($AM$3,0,0,'Données projet'!$E$10+1,1))-AVERAGE(OFFSET($H$3,0,0,'Données projet'!$E$10+1,1))</f>
        <v>180.20749454145079</v>
      </c>
      <c r="AO60" s="62">
        <f t="shared" si="36"/>
        <v>307.23455947678775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13.788180808129804</v>
      </c>
      <c r="AW60" s="23">
        <f>EXP(-LN(2)/2)*AW59+(1-EXP(-LN(2)/2))/(LN(2)/2)*AQ60*AT60*VLOOKUP('Données projet'!$B$10,Paramètres!$A$1:$I$89,3,0)*0.475*44/12</f>
        <v>2.5623279183390707E-3</v>
      </c>
      <c r="AX60" s="23">
        <f t="shared" si="6"/>
        <v>13.790743136048143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2.4</v>
      </c>
      <c r="BD60" s="13">
        <f>IF('Données projet'!$A$88&gt;35,BD59+BC60-BL59,IF(A60&lt;'Données projet'!$A$88,$BA$205^A60,IF(A60='Données projet'!$A$88,'Données projet'!$B$88,BD59+BC60-BL59)))</f>
        <v>237.80000000000007</v>
      </c>
      <c r="BE60" s="14">
        <f>BD60*VLOOKUP('Données projet'!$B$11,Paramètres!$A$1:$I$89,3,0)*VLOOKUP('Données projet'!$B$11,Paramètres!$A$1:$I$89,5,0)</f>
        <v>189.19368000000006</v>
      </c>
      <c r="BF60" s="14">
        <f t="shared" si="37"/>
        <v>47.361642848204745</v>
      </c>
      <c r="BG60" s="22">
        <f t="shared" si="7"/>
        <v>412.00052062729009</v>
      </c>
      <c r="BH60" s="62">
        <f t="shared" si="8"/>
        <v>705.3338539606234</v>
      </c>
      <c r="BI60" s="62">
        <f ca="1">AVERAGE(OFFSET($BH$3,0,0,'Données projet'!$E$11+1,1))-AVERAGE(OFFSET($H$3,0,0,'Données projet'!$E$11+1,1))</f>
        <v>219.61164494001008</v>
      </c>
      <c r="BJ60" s="62">
        <f t="shared" si="38"/>
        <v>219.59799863414111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268.87499999999994</v>
      </c>
      <c r="BZ60" s="14">
        <f>BY60*VLOOKUP('Données projet'!$B$12,Paramètres!$A$1:$I$89,3,0)*VLOOKUP('Données projet'!$B$12,Paramètres!$A$1:$I$89,5,0)</f>
        <v>209.72249999999997</v>
      </c>
      <c r="CA60" s="14">
        <f t="shared" si="39"/>
        <v>51.874940300502296</v>
      </c>
      <c r="CB60" s="22">
        <f t="shared" si="10"/>
        <v>455.61554185670815</v>
      </c>
      <c r="CC60" s="62">
        <f t="shared" si="11"/>
        <v>748.94887519004146</v>
      </c>
      <c r="CD60" s="62">
        <f ca="1">AVERAGE(OFFSET($CC$3,0,0,'Données projet'!$E$12+1,1))-AVERAGE(OFFSET($H$3,0,0,'Données projet'!$E$12+1,1))</f>
        <v>220.70608186257931</v>
      </c>
      <c r="CE60" s="62">
        <f t="shared" si="40"/>
        <v>208.79744153433245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6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9">
        <f t="shared" si="1"/>
        <v>365.48908226470269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15.571428571428571</v>
      </c>
      <c r="N61" s="14">
        <f>IF('Données projet'!$A$36&gt;35,N60+M61-V60,IF(A61&lt;'Données projet'!$A$36,$K$205^A61,IF(A61='Données projet'!$A$36,'Données projet'!$B$36,N60+M61-V60)))</f>
        <v>460.14285714285688</v>
      </c>
      <c r="O61" s="14">
        <f>N61*VLOOKUP('Données projet'!$B$9,Paramètres!$A$1:$I$89,3,0)*VLOOKUP('Données projet'!$B$9,Paramètres!$A$1:$I$89,5,0)</f>
        <v>257.21985714285699</v>
      </c>
      <c r="P61" s="14">
        <f t="shared" si="33"/>
        <v>62.129393573116417</v>
      </c>
      <c r="Q61" s="22">
        <f t="shared" si="53"/>
        <v>556.19994499698703</v>
      </c>
      <c r="R61" s="62">
        <f t="shared" si="0"/>
        <v>849.5332783303204</v>
      </c>
      <c r="S61" s="62">
        <f ca="1">AVERAGE(OFFSET($R$3,0,0,'Données projet'!$E$9+1,1))-AVERAGE(OFFSET($H$3,0,0,'Données projet'!$E$9+1,1))</f>
        <v>302.20483575440988</v>
      </c>
      <c r="T61" s="62">
        <f t="shared" si="34"/>
        <v>275.32862097158687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10.246023678655858</v>
      </c>
      <c r="AB61" s="23">
        <f>EXP(-LN(2)/2)*AB60+(1-EXP(-LN(2)/2))/(LN(2)/2)*V61*Y61*VLOOKUP('Données projet'!$B$9,Paramètres!$A$1:$I$89,3,0)*0.475*44/12</f>
        <v>6.7186163584504876E-4</v>
      </c>
      <c r="AC61" s="24">
        <f t="shared" si="3"/>
        <v>10.246695540291704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9.75</v>
      </c>
      <c r="AI61" s="14">
        <f>IF('Données projet'!$A$62&gt;35,AI60+AH61-AQ60,IF(A61&lt;'Données projet'!$A$62,$AF$205^A61,IF(A61='Données projet'!$A$62,'Données projet'!$B$62,AI60+AH61-AQ60)))</f>
        <v>284.5</v>
      </c>
      <c r="AJ61" s="14">
        <f>AI61*VLOOKUP('Données projet'!$B$10,Paramètres!$A$1:$I$89,3,0)*VLOOKUP('Données projet'!$B$10,Paramètres!$A$1:$I$89,5,0)</f>
        <v>177.52800000000002</v>
      </c>
      <c r="AK61" s="14">
        <f t="shared" si="35"/>
        <v>44.771769863863661</v>
      </c>
      <c r="AL61" s="22">
        <f t="shared" si="4"/>
        <v>387.17209917956257</v>
      </c>
      <c r="AM61" s="62">
        <f t="shared" si="5"/>
        <v>680.50543251289582</v>
      </c>
      <c r="AN61" s="62">
        <f ca="1">AVERAGE(OFFSET($AM$3,0,0,'Données projet'!$E$10+1,1))-AVERAGE(OFFSET($H$3,0,0,'Données projet'!$E$10+1,1))</f>
        <v>180.20749454145079</v>
      </c>
      <c r="AO61" s="62">
        <f t="shared" si="36"/>
        <v>307.23455947678775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13.411142278842579</v>
      </c>
      <c r="AW61" s="23">
        <f>EXP(-LN(2)/2)*AW60+(1-EXP(-LN(2)/2))/(LN(2)/2)*AQ61*AT61*VLOOKUP('Données projet'!$B$10,Paramètres!$A$1:$I$89,3,0)*0.475*44/12</f>
        <v>1.8118394466811671E-3</v>
      </c>
      <c r="AX61" s="23">
        <f t="shared" si="6"/>
        <v>13.41295411828926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2.4</v>
      </c>
      <c r="BD61" s="13">
        <f>IF('Données projet'!$A$88&gt;35,BD60+BC61-BL60,IF(A61&lt;'Données projet'!$A$88,$BA$205^A61,IF(A61='Données projet'!$A$88,'Données projet'!$B$88,BD60+BC61-BL60)))</f>
        <v>240.20000000000007</v>
      </c>
      <c r="BE61" s="14">
        <f>BD61*VLOOKUP('Données projet'!$B$11,Paramètres!$A$1:$I$89,3,0)*VLOOKUP('Données projet'!$B$11,Paramètres!$A$1:$I$89,5,0)</f>
        <v>191.10312000000008</v>
      </c>
      <c r="BF61" s="14">
        <f t="shared" si="37"/>
        <v>47.783754789189338</v>
      </c>
      <c r="BG61" s="22">
        <f t="shared" si="7"/>
        <v>416.06130692450489</v>
      </c>
      <c r="BH61" s="62">
        <f t="shared" si="8"/>
        <v>709.3946402578382</v>
      </c>
      <c r="BI61" s="62">
        <f ca="1">AVERAGE(OFFSET($BH$3,0,0,'Données projet'!$E$11+1,1))-AVERAGE(OFFSET($H$3,0,0,'Données projet'!$E$11+1,1))</f>
        <v>219.61164494001008</v>
      </c>
      <c r="BJ61" s="62">
        <f t="shared" si="38"/>
        <v>219.59799863414111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278.24999999999994</v>
      </c>
      <c r="BZ61" s="14">
        <f>BY61*VLOOKUP('Données projet'!$B$12,Paramètres!$A$1:$I$89,3,0)*VLOOKUP('Données projet'!$B$12,Paramètres!$A$1:$I$89,5,0)</f>
        <v>217.03499999999997</v>
      </c>
      <c r="CA61" s="14">
        <f t="shared" si="39"/>
        <v>53.469949591969474</v>
      </c>
      <c r="CB61" s="22">
        <f t="shared" si="10"/>
        <v>471.12945387268002</v>
      </c>
      <c r="CC61" s="62">
        <f t="shared" si="11"/>
        <v>764.46278720601333</v>
      </c>
      <c r="CD61" s="62">
        <f ca="1">AVERAGE(OFFSET($CC$3,0,0,'Données projet'!$E$12+1,1))-AVERAGE(OFFSET($H$3,0,0,'Données projet'!$E$12+1,1))</f>
        <v>220.70608186257931</v>
      </c>
      <c r="CE61" s="62">
        <f t="shared" si="40"/>
        <v>208.79744153433245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6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9">
        <f t="shared" si="1"/>
        <v>366.69877012097305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15.571428571428571</v>
      </c>
      <c r="N62" s="14">
        <f>IF('Données projet'!$A$36&gt;35,N61+M62-V61,IF(A62&lt;'Données projet'!$A$36,$K$205^A62,IF(A62='Données projet'!$A$36,'Données projet'!$B$36,N61+M62-V61)))</f>
        <v>475.71428571428544</v>
      </c>
      <c r="O62" s="14">
        <f>N62*VLOOKUP('Données projet'!$B$9,Paramètres!$A$1:$I$89,3,0)*VLOOKUP('Données projet'!$B$9,Paramètres!$A$1:$I$89,5,0)</f>
        <v>265.92428571428559</v>
      </c>
      <c r="P62" s="14">
        <f t="shared" si="33"/>
        <v>63.983535636381461</v>
      </c>
      <c r="Q62" s="22">
        <f t="shared" si="53"/>
        <v>574.58945551907846</v>
      </c>
      <c r="R62" s="62">
        <f t="shared" si="0"/>
        <v>867.92278885241171</v>
      </c>
      <c r="S62" s="62">
        <f ca="1">AVERAGE(OFFSET($R$3,0,0,'Données projet'!$E$9+1,1))-AVERAGE(OFFSET($H$3,0,0,'Données projet'!$E$9+1,1))</f>
        <v>302.20483575440988</v>
      </c>
      <c r="T62" s="62">
        <f t="shared" si="34"/>
        <v>275.32862097158687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9.9658456223480449</v>
      </c>
      <c r="AB62" s="23">
        <f>EXP(-LN(2)/2)*AB61+(1-EXP(-LN(2)/2))/(LN(2)/2)*V62*Y62*VLOOKUP('Données projet'!$B$9,Paramètres!$A$1:$I$89,3,0)*0.475*44/12</f>
        <v>4.7507791872512079E-4</v>
      </c>
      <c r="AC62" s="24">
        <f t="shared" si="3"/>
        <v>9.9663207002667704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9.75</v>
      </c>
      <c r="AI62" s="14">
        <f>IF('Données projet'!$A$62&gt;35,AI61+AH62-AQ61,IF(A62&lt;'Données projet'!$A$62,$AF$205^A62,IF(A62='Données projet'!$A$62,'Données projet'!$B$62,AI61+AH62-AQ61)))</f>
        <v>294.25</v>
      </c>
      <c r="AJ62" s="14">
        <f>AI62*VLOOKUP('Données projet'!$B$10,Paramètres!$A$1:$I$89,3,0)*VLOOKUP('Données projet'!$B$10,Paramètres!$A$1:$I$89,5,0)</f>
        <v>183.61199999999999</v>
      </c>
      <c r="AK62" s="14">
        <f t="shared" si="35"/>
        <v>46.124858041839339</v>
      </c>
      <c r="AL62" s="22">
        <f t="shared" si="4"/>
        <v>400.12502775620351</v>
      </c>
      <c r="AM62" s="62">
        <f t="shared" si="5"/>
        <v>693.45836108953677</v>
      </c>
      <c r="AN62" s="62">
        <f ca="1">AVERAGE(OFFSET($AM$3,0,0,'Données projet'!$E$10+1,1))-AVERAGE(OFFSET($H$3,0,0,'Données projet'!$E$10+1,1))</f>
        <v>180.20749454145079</v>
      </c>
      <c r="AO62" s="62">
        <f t="shared" si="36"/>
        <v>307.23455947678775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13.044413887966307</v>
      </c>
      <c r="AW62" s="23">
        <f>EXP(-LN(2)/2)*AW61+(1-EXP(-LN(2)/2))/(LN(2)/2)*AQ62*AT62*VLOOKUP('Données projet'!$B$10,Paramètres!$A$1:$I$89,3,0)*0.475*44/12</f>
        <v>1.2811639591695353E-3</v>
      </c>
      <c r="AX62" s="23">
        <f t="shared" si="6"/>
        <v>13.045695051925478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2.4</v>
      </c>
      <c r="BD62" s="13">
        <f>IF('Données projet'!$A$88&gt;35,BD61+BC62-BL61,IF(A62&lt;'Données projet'!$A$88,$BA$205^A62,IF(A62='Données projet'!$A$88,'Données projet'!$B$88,BD61+BC62-BL61)))</f>
        <v>242.60000000000008</v>
      </c>
      <c r="BE62" s="14">
        <f>BD62*VLOOKUP('Données projet'!$B$11,Paramètres!$A$1:$I$89,3,0)*VLOOKUP('Données projet'!$B$11,Paramètres!$A$1:$I$89,5,0)</f>
        <v>193.01256000000006</v>
      </c>
      <c r="BF62" s="14">
        <f t="shared" si="37"/>
        <v>48.205376077720281</v>
      </c>
      <c r="BG62" s="22">
        <f t="shared" si="7"/>
        <v>420.12123866869621</v>
      </c>
      <c r="BH62" s="62">
        <f t="shared" si="8"/>
        <v>713.45457200202952</v>
      </c>
      <c r="BI62" s="62">
        <f ca="1">AVERAGE(OFFSET($BH$3,0,0,'Données projet'!$E$11+1,1))-AVERAGE(OFFSET($H$3,0,0,'Données projet'!$E$11+1,1))</f>
        <v>219.61164494001008</v>
      </c>
      <c r="BJ62" s="62">
        <f t="shared" si="38"/>
        <v>219.59799863414111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287.62499999999994</v>
      </c>
      <c r="BZ62" s="14">
        <f>BY62*VLOOKUP('Données projet'!$B$12,Paramètres!$A$1:$I$89,3,0)*VLOOKUP('Données projet'!$B$12,Paramètres!$A$1:$I$89,5,0)</f>
        <v>224.34749999999997</v>
      </c>
      <c r="CA62" s="14">
        <f t="shared" si="39"/>
        <v>55.058714525680479</v>
      </c>
      <c r="CB62" s="22">
        <f t="shared" si="10"/>
        <v>486.63249029889352</v>
      </c>
      <c r="CC62" s="62">
        <f t="shared" si="11"/>
        <v>779.96582363222683</v>
      </c>
      <c r="CD62" s="62">
        <f ca="1">AVERAGE(OFFSET($CC$3,0,0,'Données projet'!$E$12+1,1))-AVERAGE(OFFSET($H$3,0,0,'Données projet'!$E$12+1,1))</f>
        <v>220.70608186257931</v>
      </c>
      <c r="CE62" s="62">
        <f t="shared" si="40"/>
        <v>208.79744153433245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6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9">
        <f t="shared" si="1"/>
        <v>367.90794799554254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15.571428571428571</v>
      </c>
      <c r="N63" s="14">
        <f>IF('Données projet'!$A$36&gt;35,N62+M63-V62,IF(A63&lt;'Données projet'!$A$36,$K$205^A63,IF(A63='Données projet'!$A$36,'Données projet'!$B$36,N62+M63-V62)))</f>
        <v>491.28571428571399</v>
      </c>
      <c r="O63" s="14">
        <f>N63*VLOOKUP('Données projet'!$B$9,Paramètres!$A$1:$I$89,3,0)*VLOOKUP('Données projet'!$B$9,Paramètres!$A$1:$I$89,5,0)</f>
        <v>274.62871428571412</v>
      </c>
      <c r="P63" s="14">
        <f t="shared" si="33"/>
        <v>65.830625361909483</v>
      </c>
      <c r="Q63" s="22">
        <f t="shared" si="53"/>
        <v>592.96668321961113</v>
      </c>
      <c r="R63" s="62">
        <f t="shared" si="0"/>
        <v>886.3000165529445</v>
      </c>
      <c r="S63" s="62">
        <f ca="1">AVERAGE(OFFSET($R$3,0,0,'Données projet'!$E$9+1,1))-AVERAGE(OFFSET($H$3,0,0,'Données projet'!$E$9+1,1))</f>
        <v>302.20483575440988</v>
      </c>
      <c r="T63" s="62">
        <f t="shared" si="34"/>
        <v>275.32862097158687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9.6933290497238929</v>
      </c>
      <c r="AB63" s="23">
        <f>EXP(-LN(2)/2)*AB62+(1-EXP(-LN(2)/2))/(LN(2)/2)*V63*Y63*VLOOKUP('Données projet'!$B$9,Paramètres!$A$1:$I$89,3,0)*0.475*44/12</f>
        <v>3.3593081792252443E-4</v>
      </c>
      <c r="AC63" s="24">
        <f t="shared" si="3"/>
        <v>9.6936649805418149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304</v>
      </c>
      <c r="AG63" s="13">
        <f>VLOOKUP(A63,'Données projet'!$A$61:$I$81,9,0)</f>
        <v>9.75</v>
      </c>
      <c r="AH63" s="13">
        <f t="array" ref="AH63">INDEX(AG:AG,MIN(IF(ISNUMBER(AG63:AG259),ROW(AG63:AG259),"")))</f>
        <v>9.75</v>
      </c>
      <c r="AI63" s="14">
        <f>IF('Données projet'!$A$62&gt;35,AI62+AH63-AQ62,IF(A63&lt;'Données projet'!$A$62,$AF$205^A63,IF(A63='Données projet'!$A$62,'Données projet'!$B$62,AI62+AH63-AQ62)))</f>
        <v>304</v>
      </c>
      <c r="AJ63" s="14">
        <f>AI63*VLOOKUP('Données projet'!$B$10,Paramètres!$A$1:$I$89,3,0)*VLOOKUP('Données projet'!$B$10,Paramètres!$A$1:$I$89,5,0)</f>
        <v>189.696</v>
      </c>
      <c r="AK63" s="14">
        <f t="shared" si="35"/>
        <v>47.472736505152469</v>
      </c>
      <c r="AL63" s="22">
        <f t="shared" si="4"/>
        <v>413.06888274647389</v>
      </c>
      <c r="AM63" s="62">
        <f t="shared" si="5"/>
        <v>706.4022160798072</v>
      </c>
      <c r="AN63" s="62">
        <f ca="1">AVERAGE(OFFSET($AM$3,0,0,'Données projet'!$E$10+1,1))-AVERAGE(OFFSET($H$3,0,0,'Données projet'!$E$10+1,1))</f>
        <v>180.20749454145079</v>
      </c>
      <c r="AO63" s="62">
        <f t="shared" si="36"/>
        <v>307.23455947678775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304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12.687713704223956</v>
      </c>
      <c r="AW63" s="23">
        <f>EXP(-LN(2)/2)*AW62+(1-EXP(-LN(2)/2))/(LN(2)/2)*AQ63*AT63*VLOOKUP('Données projet'!$B$10,Paramètres!$A$1:$I$89,3,0)*0.475*44/12</f>
        <v>9.0591972334058354E-4</v>
      </c>
      <c r="AX63" s="23">
        <f t="shared" si="6"/>
        <v>12.688619623947297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2.4</v>
      </c>
      <c r="BC63" s="13">
        <f t="array" ref="BC63">INDEX(BB:BB,MIN(IF(ISNUMBER(BB63:BB259),ROW(BB63:BB259),"")))</f>
        <v>2.4</v>
      </c>
      <c r="BD63" s="13">
        <f>IF('Données projet'!$A$88&gt;35,BD62+BC63-BL62,IF(A63&lt;'Données projet'!$A$88,$BA$205^A63,IF(A63='Données projet'!$A$88,'Données projet'!$B$88,BD62+BC63-BL62)))</f>
        <v>245.00000000000009</v>
      </c>
      <c r="BE63" s="14">
        <f>BD63*VLOOKUP('Données projet'!$B$11,Paramètres!$A$1:$I$89,3,0)*VLOOKUP('Données projet'!$B$11,Paramètres!$A$1:$I$89,5,0)</f>
        <v>194.92200000000008</v>
      </c>
      <c r="BF63" s="14">
        <f t="shared" si="37"/>
        <v>48.626512129794968</v>
      </c>
      <c r="BG63" s="22">
        <f t="shared" si="7"/>
        <v>424.18032529272637</v>
      </c>
      <c r="BH63" s="62">
        <f t="shared" si="8"/>
        <v>717.51365862605962</v>
      </c>
      <c r="BI63" s="62">
        <f ca="1">AVERAGE(OFFSET($BH$3,0,0,'Données projet'!$E$11+1,1))-AVERAGE(OFFSET($H$3,0,0,'Données projet'!$E$11+1,1))</f>
        <v>219.61164494001008</v>
      </c>
      <c r="BJ63" s="62">
        <f t="shared" si="38"/>
        <v>219.59799863414111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296.99999999999994</v>
      </c>
      <c r="BZ63" s="14">
        <f>BY63*VLOOKUP('Données projet'!$B$12,Paramètres!$A$1:$I$89,3,0)*VLOOKUP('Données projet'!$B$12,Paramètres!$A$1:$I$89,5,0)</f>
        <v>231.65999999999997</v>
      </c>
      <c r="CA63" s="14">
        <f t="shared" si="39"/>
        <v>56.641461975682766</v>
      </c>
      <c r="CB63" s="22">
        <f t="shared" si="10"/>
        <v>502.12504627431412</v>
      </c>
      <c r="CC63" s="62">
        <f t="shared" si="11"/>
        <v>795.45837960764743</v>
      </c>
      <c r="CD63" s="62">
        <f ca="1">AVERAGE(OFFSET($CC$3,0,0,'Données projet'!$E$12+1,1))-AVERAGE(OFFSET($H$3,0,0,'Données projet'!$E$12+1,1))</f>
        <v>220.70608186257931</v>
      </c>
      <c r="CE63" s="62">
        <f t="shared" si="40"/>
        <v>208.79744153433245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6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9">
        <f t="shared" si="1"/>
        <v>369.11662536915674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15.571428571428571</v>
      </c>
      <c r="N64" s="14">
        <f>IF('Données projet'!$A$36&gt;35,N63+M64-V63,IF(A64&lt;'Données projet'!$A$36,$K$205^A64,IF(A64='Données projet'!$A$36,'Données projet'!$B$36,N63+M64-V63)))</f>
        <v>506.85714285714255</v>
      </c>
      <c r="O64" s="14">
        <f>N64*VLOOKUP('Données projet'!$B$9,Paramètres!$A$1:$I$89,3,0)*VLOOKUP('Données projet'!$B$9,Paramètres!$A$1:$I$89,5,0)</f>
        <v>283.33314285714266</v>
      </c>
      <c r="P64" s="14">
        <f t="shared" si="33"/>
        <v>67.670911918680105</v>
      </c>
      <c r="Q64" s="22">
        <f t="shared" si="53"/>
        <v>611.33206206789123</v>
      </c>
      <c r="R64" s="62">
        <f t="shared" si="0"/>
        <v>904.66539540122449</v>
      </c>
      <c r="S64" s="62">
        <f ca="1">AVERAGE(OFFSET($R$3,0,0,'Données projet'!$E$9+1,1))-AVERAGE(OFFSET($H$3,0,0,'Données projet'!$E$9+1,1))</f>
        <v>302.20483575440988</v>
      </c>
      <c r="T64" s="62">
        <f t="shared" si="34"/>
        <v>275.32862097158687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9.4282644571091723</v>
      </c>
      <c r="AB64" s="23">
        <f>EXP(-LN(2)/2)*AB63+(1-EXP(-LN(2)/2))/(LN(2)/2)*V64*Y64*VLOOKUP('Données projet'!$B$9,Paramètres!$A$1:$I$89,3,0)*0.475*44/12</f>
        <v>2.3753895936256045E-4</v>
      </c>
      <c r="AC64" s="24">
        <f t="shared" si="3"/>
        <v>9.428501996068535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180.20749454145079</v>
      </c>
      <c r="AO64" s="62">
        <f t="shared" si="36"/>
        <v>307.23455947678775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12.340767505764086</v>
      </c>
      <c r="AW64" s="23">
        <f>EXP(-LN(2)/2)*AW63+(1-EXP(-LN(2)/2))/(LN(2)/2)*AQ64*AT64*VLOOKUP('Données projet'!$B$10,Paramètres!$A$1:$I$89,3,0)*0.475*44/12</f>
        <v>6.4058197958476767E-4</v>
      </c>
      <c r="AX64" s="23">
        <f t="shared" si="6"/>
        <v>12.341408087743671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227.00000000000009</v>
      </c>
      <c r="BE64" s="14">
        <f>BD64*VLOOKUP('Données projet'!$B$11,Paramètres!$A$1:$I$89,3,0)*VLOOKUP('Données projet'!$B$11,Paramètres!$A$1:$I$89,5,0)</f>
        <v>180.60120000000006</v>
      </c>
      <c r="BF64" s="14">
        <f t="shared" si="37"/>
        <v>45.455916121824579</v>
      </c>
      <c r="BG64" s="22">
        <f t="shared" si="7"/>
        <v>393.71614391217787</v>
      </c>
      <c r="BH64" s="62">
        <f t="shared" si="8"/>
        <v>687.04947724551118</v>
      </c>
      <c r="BI64" s="62">
        <f ca="1">AVERAGE(OFFSET($BH$3,0,0,'Données projet'!$E$11+1,1))-AVERAGE(OFFSET($H$3,0,0,'Données projet'!$E$11+1,1))</f>
        <v>219.61164494001008</v>
      </c>
      <c r="BJ64" s="62">
        <f t="shared" si="38"/>
        <v>219.59799863414111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258.66666666666663</v>
      </c>
      <c r="BZ64" s="14">
        <f>BY64*VLOOKUP('Données projet'!$B$12,Paramètres!$A$1:$I$89,3,0)*VLOOKUP('Données projet'!$B$12,Paramètres!$A$1:$I$89,5,0)</f>
        <v>201.76</v>
      </c>
      <c r="CA64" s="14">
        <f t="shared" si="39"/>
        <v>50.130765000424212</v>
      </c>
      <c r="CB64" s="22">
        <f t="shared" si="10"/>
        <v>438.70974904240546</v>
      </c>
      <c r="CC64" s="62">
        <f t="shared" si="11"/>
        <v>732.04308237573878</v>
      </c>
      <c r="CD64" s="62">
        <f ca="1">AVERAGE(OFFSET($CC$3,0,0,'Données projet'!$E$12+1,1))-AVERAGE(OFFSET($H$3,0,0,'Données projet'!$E$12+1,1))</f>
        <v>220.70608186257931</v>
      </c>
      <c r="CE64" s="62">
        <f t="shared" si="40"/>
        <v>208.79744153433245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6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9">
        <f t="shared" si="1"/>
        <v>370.32481139389552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15.571428571428571</v>
      </c>
      <c r="N65" s="14">
        <f>IF('Données projet'!$A$36&gt;35,N64+M65-V64,IF(A65&lt;'Données projet'!$A$36,$K$205^A65,IF(A65='Données projet'!$A$36,'Données projet'!$B$36,N64+M65-V64)))</f>
        <v>522.4285714285711</v>
      </c>
      <c r="O65" s="14">
        <f>N65*VLOOKUP('Données projet'!$B$9,Paramètres!$A$1:$I$89,3,0)*VLOOKUP('Données projet'!$B$9,Paramètres!$A$1:$I$89,5,0)</f>
        <v>292.03757142857125</v>
      </c>
      <c r="P65" s="14">
        <f t="shared" si="33"/>
        <v>69.504628296156</v>
      </c>
      <c r="Q65" s="22">
        <f t="shared" si="53"/>
        <v>629.68599785389995</v>
      </c>
      <c r="R65" s="62">
        <f t="shared" si="0"/>
        <v>923.01933118723332</v>
      </c>
      <c r="S65" s="62">
        <f ca="1">AVERAGE(OFFSET($R$3,0,0,'Données projet'!$E$9+1,1))-AVERAGE(OFFSET($H$3,0,0,'Données projet'!$E$9+1,1))</f>
        <v>302.20483575440988</v>
      </c>
      <c r="T65" s="62">
        <f t="shared" si="34"/>
        <v>275.32862097158687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9.1704480697186419</v>
      </c>
      <c r="AB65" s="23">
        <f>EXP(-LN(2)/2)*AB64+(1-EXP(-LN(2)/2))/(LN(2)/2)*V65*Y65*VLOOKUP('Données projet'!$B$9,Paramètres!$A$1:$I$89,3,0)*0.475*44/12</f>
        <v>1.6796540896126224E-4</v>
      </c>
      <c r="AC65" s="24">
        <f t="shared" si="3"/>
        <v>9.1706160351276029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180.20749454145079</v>
      </c>
      <c r="AO65" s="62">
        <f t="shared" si="36"/>
        <v>307.23455947678775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12.00330856934621</v>
      </c>
      <c r="AW65" s="23">
        <f>EXP(-LN(2)/2)*AW64+(1-EXP(-LN(2)/2))/(LN(2)/2)*AQ65*AT65*VLOOKUP('Données projet'!$B$10,Paramètres!$A$1:$I$89,3,0)*0.475*44/12</f>
        <v>4.5295986167029177E-4</v>
      </c>
      <c r="AX65" s="23">
        <f t="shared" si="6"/>
        <v>12.00376152920788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234.00000000000009</v>
      </c>
      <c r="BE65" s="14">
        <f>BD65*VLOOKUP('Données projet'!$B$11,Paramètres!$A$1:$I$89,3,0)*VLOOKUP('Données projet'!$B$11,Paramètres!$A$1:$I$89,5,0)</f>
        <v>186.17040000000009</v>
      </c>
      <c r="BF65" s="14">
        <f t="shared" si="37"/>
        <v>46.69228193379606</v>
      </c>
      <c r="BG65" s="22">
        <f t="shared" si="7"/>
        <v>405.56917103469499</v>
      </c>
      <c r="BH65" s="62">
        <f t="shared" si="8"/>
        <v>698.9025043680283</v>
      </c>
      <c r="BI65" s="62">
        <f ca="1">AVERAGE(OFFSET($BH$3,0,0,'Données projet'!$E$11+1,1))-AVERAGE(OFFSET($H$3,0,0,'Données projet'!$E$11+1,1))</f>
        <v>219.61164494001008</v>
      </c>
      <c r="BJ65" s="62">
        <f t="shared" si="38"/>
        <v>219.59799863414111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267.33333333333331</v>
      </c>
      <c r="BZ65" s="14">
        <f>BY65*VLOOKUP('Données projet'!$B$12,Paramètres!$A$1:$I$89,3,0)*VLOOKUP('Données projet'!$B$12,Paramètres!$A$1:$I$89,5,0)</f>
        <v>208.51999999999998</v>
      </c>
      <c r="CA65" s="14">
        <f t="shared" si="39"/>
        <v>51.612035456318509</v>
      </c>
      <c r="CB65" s="22">
        <f t="shared" si="10"/>
        <v>453.06329508642131</v>
      </c>
      <c r="CC65" s="62">
        <f t="shared" si="11"/>
        <v>746.39662841975462</v>
      </c>
      <c r="CD65" s="62">
        <f ca="1">AVERAGE(OFFSET($CC$3,0,0,'Données projet'!$E$12+1,1))-AVERAGE(OFFSET($H$3,0,0,'Données projet'!$E$12+1,1))</f>
        <v>220.70608186257931</v>
      </c>
      <c r="CE65" s="62">
        <f t="shared" si="40"/>
        <v>208.79744153433245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6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9">
        <f t="shared" si="1"/>
        <v>371.53251490968091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538</v>
      </c>
      <c r="L66" s="13">
        <f>VLOOKUP(A66,'Données projet'!$A$35:$I$55,9,0)</f>
        <v>15.571428571428571</v>
      </c>
      <c r="M66" s="13">
        <f t="array" ref="M66">INDEX(L:L,MIN(IF(ISNUMBER(L66:L262),ROW(L66:L262),"")))</f>
        <v>15.571428571428571</v>
      </c>
      <c r="N66" s="14">
        <f>IF('Données projet'!$A$36&gt;35,N65+M66-V65,IF(A66&lt;'Données projet'!$A$36,$K$205^A66,IF(A66='Données projet'!$A$36,'Données projet'!$B$36,N65+M66-V65)))</f>
        <v>537.99999999999966</v>
      </c>
      <c r="O66" s="14">
        <f>N66*VLOOKUP('Données projet'!$B$9,Paramètres!$A$1:$I$89,3,0)*VLOOKUP('Données projet'!$B$9,Paramètres!$A$1:$I$89,5,0)</f>
        <v>300.74199999999985</v>
      </c>
      <c r="P66" s="14">
        <f t="shared" si="33"/>
        <v>71.331992805448763</v>
      </c>
      <c r="Q66" s="22">
        <f t="shared" si="53"/>
        <v>648.02887080282289</v>
      </c>
      <c r="R66" s="62">
        <f t="shared" si="0"/>
        <v>941.36220413615615</v>
      </c>
      <c r="S66" s="62">
        <f ca="1">AVERAGE(OFFSET($R$3,0,0,'Données projet'!$E$9+1,1))-AVERAGE(OFFSET($H$3,0,0,'Données projet'!$E$9+1,1))</f>
        <v>302.20483575440988</v>
      </c>
      <c r="T66" s="62">
        <f t="shared" si="34"/>
        <v>275.32862097158687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84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8.919681684999281</v>
      </c>
      <c r="AB66" s="23">
        <f>EXP(-LN(2)/2)*AB65+(1-EXP(-LN(2)/2))/(LN(2)/2)*V66*Y66*VLOOKUP('Données projet'!$B$9,Paramètres!$A$1:$I$89,3,0)*0.475*44/12</f>
        <v>1.1876947968128024E-4</v>
      </c>
      <c r="AC66" s="24">
        <f t="shared" si="3"/>
        <v>8.9198004544789615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180.20749454145079</v>
      </c>
      <c r="AO66" s="62">
        <f t="shared" si="36"/>
        <v>307.23455947678775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11.675077465290874</v>
      </c>
      <c r="AW66" s="23">
        <f>EXP(-LN(2)/2)*AW65+(1-EXP(-LN(2)/2))/(LN(2)/2)*AQ66*AT66*VLOOKUP('Données projet'!$B$10,Paramètres!$A$1:$I$89,3,0)*0.475*44/12</f>
        <v>3.2029098979238384E-4</v>
      </c>
      <c r="AX66" s="23">
        <f t="shared" si="6"/>
        <v>11.675397756280667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241.00000000000009</v>
      </c>
      <c r="BE66" s="14">
        <f>BD66*VLOOKUP('Données projet'!$B$11,Paramètres!$A$1:$I$89,3,0)*VLOOKUP('Données projet'!$B$11,Paramètres!$A$1:$I$89,5,0)</f>
        <v>191.73960000000008</v>
      </c>
      <c r="BF66" s="14">
        <f t="shared" si="37"/>
        <v>47.924349465834943</v>
      </c>
      <c r="BG66" s="22">
        <f t="shared" si="7"/>
        <v>417.41471198632934</v>
      </c>
      <c r="BH66" s="62">
        <f t="shared" si="8"/>
        <v>710.74804531966265</v>
      </c>
      <c r="BI66" s="62">
        <f ca="1">AVERAGE(OFFSET($BH$3,0,0,'Données projet'!$E$11+1,1))-AVERAGE(OFFSET($H$3,0,0,'Données projet'!$E$11+1,1))</f>
        <v>219.61164494001008</v>
      </c>
      <c r="BJ66" s="62">
        <f t="shared" si="38"/>
        <v>219.59799863414111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276</v>
      </c>
      <c r="BZ66" s="14">
        <f>BY66*VLOOKUP('Données projet'!$B$12,Paramètres!$A$1:$I$89,3,0)*VLOOKUP('Données projet'!$B$12,Paramètres!$A$1:$I$89,5,0)</f>
        <v>215.28</v>
      </c>
      <c r="CA66" s="14">
        <f t="shared" si="39"/>
        <v>53.087725740853138</v>
      </c>
      <c r="CB66" s="22">
        <f t="shared" si="10"/>
        <v>467.40712233198587</v>
      </c>
      <c r="CC66" s="62">
        <f t="shared" si="11"/>
        <v>760.74045566531913</v>
      </c>
      <c r="CD66" s="62">
        <f ca="1">AVERAGE(OFFSET($CC$3,0,0,'Données projet'!$E$12+1,1))-AVERAGE(OFFSET($H$3,0,0,'Données projet'!$E$12+1,1))</f>
        <v>220.70608186257931</v>
      </c>
      <c r="CE66" s="62">
        <f t="shared" si="40"/>
        <v>208.79744153433245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6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9">
        <f t="shared" si="1"/>
        <v>372.73974445970646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13.857142857142858</v>
      </c>
      <c r="N67" s="14">
        <f>IF('Données projet'!$A$36&gt;35,N66+M67-V66,IF(A67&lt;'Données projet'!$A$36,$K$205^A67,IF(A67='Données projet'!$A$36,'Données projet'!$B$36,N66+M67-V66)))</f>
        <v>467.85714285714255</v>
      </c>
      <c r="O67" s="14">
        <f>N67*VLOOKUP('Données projet'!$B$9,Paramètres!$A$1:$I$89,3,0)*VLOOKUP('Données projet'!$B$9,Paramètres!$A$1:$I$89,5,0)</f>
        <v>261.53214285714273</v>
      </c>
      <c r="P67" s="14">
        <f t="shared" si="33"/>
        <v>63.048857133846255</v>
      </c>
      <c r="Q67" s="22">
        <f t="shared" ref="Q67:Q98" si="54">(O67+P67)*0.475*44/12</f>
        <v>565.31190831763899</v>
      </c>
      <c r="R67" s="62">
        <f t="shared" ref="R67:R130" si="55">Q67+(I67+J67)*44/12</f>
        <v>858.64524165097237</v>
      </c>
      <c r="S67" s="62">
        <f ca="1">AVERAGE(OFFSET($R$3,0,0,'Données projet'!$E$9+1,1))-AVERAGE(OFFSET($H$3,0,0,'Données projet'!$E$9+1,1))</f>
        <v>302.20483575440988</v>
      </c>
      <c r="T67" s="62">
        <f t="shared" si="34"/>
        <v>275.32862097158687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8.6757725202573024</v>
      </c>
      <c r="AB67" s="23">
        <f>EXP(-LN(2)/2)*AB66+(1-EXP(-LN(2)/2))/(LN(2)/2)*V67*Y67*VLOOKUP('Données projet'!$B$9,Paramètres!$A$1:$I$89,3,0)*0.475*44/12</f>
        <v>8.3982704480631135E-5</v>
      </c>
      <c r="AC67" s="24">
        <f t="shared" si="3"/>
        <v>8.6758565029617838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180.20749454145079</v>
      </c>
      <c r="AO67" s="62">
        <f t="shared" si="36"/>
        <v>307.23455947678775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11.355821858036855</v>
      </c>
      <c r="AW67" s="23">
        <f>EXP(-LN(2)/2)*AW66+(1-EXP(-LN(2)/2))/(LN(2)/2)*AQ67*AT67*VLOOKUP('Données projet'!$B$10,Paramètres!$A$1:$I$89,3,0)*0.475*44/12</f>
        <v>2.2647993083514589E-4</v>
      </c>
      <c r="AX67" s="23">
        <f t="shared" si="6"/>
        <v>11.356048337967691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248.00000000000009</v>
      </c>
      <c r="BE67" s="14">
        <f>BD67*VLOOKUP('Données projet'!$B$11,Paramètres!$A$1:$I$89,3,0)*VLOOKUP('Données projet'!$B$11,Paramètres!$A$1:$I$89,5,0)</f>
        <v>197.30880000000008</v>
      </c>
      <c r="BF67" s="14">
        <f t="shared" si="37"/>
        <v>49.152257900676119</v>
      </c>
      <c r="BG67" s="22">
        <f t="shared" si="7"/>
        <v>429.25300917701105</v>
      </c>
      <c r="BH67" s="62">
        <f t="shared" si="8"/>
        <v>722.58634251034437</v>
      </c>
      <c r="BI67" s="62">
        <f ca="1">AVERAGE(OFFSET($BH$3,0,0,'Données projet'!$E$11+1,1))-AVERAGE(OFFSET($H$3,0,0,'Données projet'!$E$11+1,1))</f>
        <v>219.61164494001008</v>
      </c>
      <c r="BJ67" s="62">
        <f t="shared" si="38"/>
        <v>219.59799863414111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284.66666666666669</v>
      </c>
      <c r="BZ67" s="14">
        <f>BY67*VLOOKUP('Données projet'!$B$12,Paramètres!$A$1:$I$89,3,0)*VLOOKUP('Données projet'!$B$12,Paramètres!$A$1:$I$89,5,0)</f>
        <v>222.04000000000002</v>
      </c>
      <c r="CA67" s="14">
        <f t="shared" si="39"/>
        <v>54.558031180803596</v>
      </c>
      <c r="CB67" s="22">
        <f t="shared" si="10"/>
        <v>481.74157097323291</v>
      </c>
      <c r="CC67" s="62">
        <f t="shared" si="11"/>
        <v>775.07490430656617</v>
      </c>
      <c r="CD67" s="62">
        <f ca="1">AVERAGE(OFFSET($CC$3,0,0,'Données projet'!$E$12+1,1))-AVERAGE(OFFSET($H$3,0,0,'Données projet'!$E$12+1,1))</f>
        <v>220.70608186257931</v>
      </c>
      <c r="CE67" s="62">
        <f t="shared" si="40"/>
        <v>208.79744153433245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6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9">
        <f t="shared" ref="H68:H131" si="56">(B68+E68+F68)*44/12+(C68+D68)*0.475*44/12</f>
        <v>373.94650830487547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13.857142857142858</v>
      </c>
      <c r="N68" s="14">
        <f>IF('Données projet'!$A$36&gt;35,N67+M68-V67,IF(A68&lt;'Données projet'!$A$36,$K$205^A68,IF(A68='Données projet'!$A$36,'Données projet'!$B$36,N67+M68-V67)))</f>
        <v>481.71428571428538</v>
      </c>
      <c r="O68" s="14">
        <f>N68*VLOOKUP('Données projet'!$B$9,Paramètres!$A$1:$I$89,3,0)*VLOOKUP('Données projet'!$B$9,Paramètres!$A$1:$I$89,5,0)</f>
        <v>269.27828571428557</v>
      </c>
      <c r="P68" s="14">
        <f t="shared" si="33"/>
        <v>64.696079449868591</v>
      </c>
      <c r="Q68" s="22">
        <f t="shared" si="54"/>
        <v>581.67201932756836</v>
      </c>
      <c r="R68" s="62">
        <f t="shared" si="55"/>
        <v>875.00535266090174</v>
      </c>
      <c r="S68" s="62">
        <f ca="1">AVERAGE(OFFSET($R$3,0,0,'Données projet'!$E$9+1,1))-AVERAGE(OFFSET($H$3,0,0,'Données projet'!$E$9+1,1))</f>
        <v>302.20483575440988</v>
      </c>
      <c r="T68" s="62">
        <f t="shared" si="34"/>
        <v>275.32862097158687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8.4385330644518177</v>
      </c>
      <c r="AB68" s="23">
        <f>EXP(-LN(2)/2)*AB67+(1-EXP(-LN(2)/2))/(LN(2)/2)*V68*Y68*VLOOKUP('Données projet'!$B$9,Paramètres!$A$1:$I$89,3,0)*0.475*44/12</f>
        <v>5.9384739840640126E-5</v>
      </c>
      <c r="AC68" s="24">
        <f t="shared" ref="AC68:AC131" si="57">SUM(Z68:AB68)</f>
        <v>8.438592449191658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180.20749454145079</v>
      </c>
      <c r="AO68" s="62">
        <f t="shared" si="36"/>
        <v>307.23455947678775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11.04529631215212</v>
      </c>
      <c r="AW68" s="23">
        <f>EXP(-LN(2)/2)*AW67+(1-EXP(-LN(2)/2))/(LN(2)/2)*AQ68*AT68*VLOOKUP('Données projet'!$B$10,Paramètres!$A$1:$I$89,3,0)*0.475*44/12</f>
        <v>1.6014549489619192E-4</v>
      </c>
      <c r="AX68" s="23">
        <f t="shared" ref="AX68:AX131" si="60">SUM(AU68:AW68)</f>
        <v>11.045456457647015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255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255.00000000000009</v>
      </c>
      <c r="BE68" s="14">
        <f>BD68*VLOOKUP('Données projet'!$B$11,Paramètres!$A$1:$I$89,3,0)*VLOOKUP('Données projet'!$B$11,Paramètres!$A$1:$I$89,5,0)</f>
        <v>202.87800000000007</v>
      </c>
      <c r="BF68" s="14">
        <f t="shared" si="37"/>
        <v>50.376138116990127</v>
      </c>
      <c r="BG68" s="22">
        <f t="shared" ref="BG68:BG131" si="61">(BE68+BF68)*0.475*44/12</f>
        <v>441.08429055375791</v>
      </c>
      <c r="BH68" s="62">
        <f t="shared" ref="BH68:BH131" si="62">BG68+(AY68+AZ68)*44/12</f>
        <v>734.41762388709117</v>
      </c>
      <c r="BI68" s="62">
        <f ca="1">AVERAGE(OFFSET($BH$3,0,0,'Données projet'!$E$11+1,1))-AVERAGE(OFFSET($H$3,0,0,'Données projet'!$E$11+1,1))</f>
        <v>219.61164494001008</v>
      </c>
      <c r="BJ68" s="62">
        <f t="shared" si="38"/>
        <v>219.59799863414111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293.33333333333337</v>
      </c>
      <c r="BZ68" s="14">
        <f>BY68*VLOOKUP('Données projet'!$B$12,Paramètres!$A$1:$I$89,3,0)*VLOOKUP('Données projet'!$B$12,Paramètres!$A$1:$I$89,5,0)</f>
        <v>228.80000000000004</v>
      </c>
      <c r="CA68" s="14">
        <f t="shared" si="39"/>
        <v>56.023134533701196</v>
      </c>
      <c r="CB68" s="22">
        <f t="shared" ref="CB68:CB131" si="64">(BZ68+CA68)*0.475*44/12</f>
        <v>496.06695931286299</v>
      </c>
      <c r="CC68" s="62">
        <f t="shared" ref="CC68:CC131" si="65">CB68+(BT68+BU68)*44/12</f>
        <v>789.40029264619625</v>
      </c>
      <c r="CD68" s="62">
        <f ca="1">AVERAGE(OFFSET($CC$3,0,0,'Données projet'!$E$12+1,1))-AVERAGE(OFFSET($H$3,0,0,'Données projet'!$E$12+1,1))</f>
        <v>220.70608186257931</v>
      </c>
      <c r="CE68" s="62">
        <f t="shared" si="40"/>
        <v>208.79744153433245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6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9">
        <f t="shared" si="56"/>
        <v>375.15281443732528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13.857142857142858</v>
      </c>
      <c r="N69" s="14">
        <f>IF('Données projet'!$A$36&gt;35,N68+M69-V68,IF(A69&lt;'Données projet'!$A$36,$K$205^A69,IF(A69='Données projet'!$A$36,'Données projet'!$B$36,N68+M69-V68)))</f>
        <v>495.57142857142821</v>
      </c>
      <c r="O69" s="14">
        <f>N69*VLOOKUP('Données projet'!$B$9,Paramètres!$A$1:$I$89,3,0)*VLOOKUP('Données projet'!$B$9,Paramètres!$A$1:$I$89,5,0)</f>
        <v>277.02442857142842</v>
      </c>
      <c r="P69" s="14">
        <f t="shared" ref="P69:P132" si="87">EXP(-1.0587+0.8836*LN(O69)+0.284)</f>
        <v>66.337794630329327</v>
      </c>
      <c r="Q69" s="22">
        <f t="shared" si="54"/>
        <v>598.02253874306132</v>
      </c>
      <c r="R69" s="62">
        <f t="shared" si="55"/>
        <v>891.35587207639469</v>
      </c>
      <c r="S69" s="62">
        <f ca="1">AVERAGE(OFFSET($R$3,0,0,'Données projet'!$E$9+1,1))-AVERAGE(OFFSET($H$3,0,0,'Données projet'!$E$9+1,1))</f>
        <v>302.20483575440988</v>
      </c>
      <c r="T69" s="62">
        <f t="shared" ref="T69:T132" si="88">$T$3</f>
        <v>275.32862097158687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8.2077809340412156</v>
      </c>
      <c r="AB69" s="23">
        <f>EXP(-LN(2)/2)*AB68+(1-EXP(-LN(2)/2))/(LN(2)/2)*V69*Y69*VLOOKUP('Données projet'!$B$9,Paramètres!$A$1:$I$89,3,0)*0.475*44/12</f>
        <v>4.1991352240315574E-5</v>
      </c>
      <c r="AC69" s="24">
        <f t="shared" si="57"/>
        <v>8.2078229253934563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180.20749454145079</v>
      </c>
      <c r="AO69" s="62">
        <f t="shared" ref="AO69:AO132" si="90">$AO$3</f>
        <v>307.23455947678775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10.743262103649432</v>
      </c>
      <c r="AW69" s="23">
        <f>EXP(-LN(2)/2)*AW68+(1-EXP(-LN(2)/2))/(LN(2)/2)*AQ69*AT69*VLOOKUP('Données projet'!$B$10,Paramètres!$A$1:$I$89,3,0)*0.475*44/12</f>
        <v>1.1323996541757294E-4</v>
      </c>
      <c r="AX69" s="23">
        <f t="shared" si="60"/>
        <v>10.743375343614849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1.6</v>
      </c>
      <c r="BD69" s="13">
        <f>IF('Données projet'!$A$88&gt;35,BD68+BC69-BL68,IF(A69&lt;'Données projet'!$A$88,$BA$205^A69,IF(A69='Données projet'!$A$88,'Données projet'!$B$88,BD68+BC69-BL68)))</f>
        <v>256.60000000000008</v>
      </c>
      <c r="BE69" s="14">
        <f>BD69*VLOOKUP('Données projet'!$B$11,Paramètres!$A$1:$I$89,3,0)*VLOOKUP('Données projet'!$B$11,Paramètres!$A$1:$I$89,5,0)</f>
        <v>204.15096000000008</v>
      </c>
      <c r="BF69" s="14">
        <f t="shared" ref="BF69:BF132" si="91">EXP(-1.0587+0.8836*LN(BE69)+0.284)</f>
        <v>50.65532957489819</v>
      </c>
      <c r="BG69" s="22">
        <f t="shared" si="61"/>
        <v>443.7876210096145</v>
      </c>
      <c r="BH69" s="62">
        <f t="shared" si="62"/>
        <v>737.12095434294781</v>
      </c>
      <c r="BI69" s="62">
        <f ca="1">AVERAGE(OFFSET($BH$3,0,0,'Données projet'!$E$11+1,1))-AVERAGE(OFFSET($H$3,0,0,'Données projet'!$E$11+1,1))</f>
        <v>219.61164494001008</v>
      </c>
      <c r="BJ69" s="62">
        <f t="shared" ref="BJ69:BJ132" si="92">$BJ$3</f>
        <v>219.59799863414111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302.00000000000006</v>
      </c>
      <c r="BZ69" s="14">
        <f>BY69*VLOOKUP('Données projet'!$B$12,Paramètres!$A$1:$I$89,3,0)*VLOOKUP('Données projet'!$B$12,Paramètres!$A$1:$I$89,5,0)</f>
        <v>235.56000000000006</v>
      </c>
      <c r="CA69" s="14">
        <f t="shared" ref="CA69:CA132" si="93">EXP(-1.0587+0.8836*LN(BZ69)+0.284)</f>
        <v>57.483207143847771</v>
      </c>
      <c r="CB69" s="22">
        <f t="shared" si="64"/>
        <v>510.38358577553487</v>
      </c>
      <c r="CC69" s="62">
        <f t="shared" si="65"/>
        <v>803.71691910886818</v>
      </c>
      <c r="CD69" s="62">
        <f ca="1">AVERAGE(OFFSET($CC$3,0,0,'Données projet'!$E$12+1,1))-AVERAGE(OFFSET($H$3,0,0,'Données projet'!$E$12+1,1))</f>
        <v>220.70608186257931</v>
      </c>
      <c r="CE69" s="62">
        <f t="shared" ref="CE69:CE132" si="94">$CE$3</f>
        <v>208.79744153433245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6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9">
        <f t="shared" si="56"/>
        <v>376.3586705931088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13.857142857142858</v>
      </c>
      <c r="N70" s="14">
        <f>IF('Données projet'!$A$36&gt;35,N69+M70-V69,IF(A70&lt;'Données projet'!$A$36,$K$205^A70,IF(A70='Données projet'!$A$36,'Données projet'!$B$36,N69+M70-V69)))</f>
        <v>509.42857142857105</v>
      </c>
      <c r="O70" s="14">
        <f>N70*VLOOKUP('Données projet'!$B$9,Paramètres!$A$1:$I$89,3,0)*VLOOKUP('Données projet'!$B$9,Paramètres!$A$1:$I$89,5,0)</f>
        <v>284.77057142857126</v>
      </c>
      <c r="P70" s="14">
        <f t="shared" si="87"/>
        <v>67.974174355789401</v>
      </c>
      <c r="Q70" s="22">
        <f t="shared" si="54"/>
        <v>614.36376557442816</v>
      </c>
      <c r="R70" s="62">
        <f t="shared" si="55"/>
        <v>907.69709890776153</v>
      </c>
      <c r="S70" s="62">
        <f ca="1">AVERAGE(OFFSET($R$3,0,0,'Données projet'!$E$9+1,1))-AVERAGE(OFFSET($H$3,0,0,'Données projet'!$E$9+1,1))</f>
        <v>302.20483575440988</v>
      </c>
      <c r="T70" s="62">
        <f t="shared" si="88"/>
        <v>275.32862097158687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7.9833387327714185</v>
      </c>
      <c r="AB70" s="23">
        <f>EXP(-LN(2)/2)*AB69+(1-EXP(-LN(2)/2))/(LN(2)/2)*V70*Y70*VLOOKUP('Données projet'!$B$9,Paramètres!$A$1:$I$89,3,0)*0.475*44/12</f>
        <v>2.969236992032007E-5</v>
      </c>
      <c r="AC70" s="24">
        <f t="shared" si="57"/>
        <v>7.9833684251413386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180.20749454145079</v>
      </c>
      <c r="AO70" s="62">
        <f t="shared" si="90"/>
        <v>307.23455947678775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10.449487036461537</v>
      </c>
      <c r="AW70" s="23">
        <f>EXP(-LN(2)/2)*AW69+(1-EXP(-LN(2)/2))/(LN(2)/2)*AQ70*AT70*VLOOKUP('Données projet'!$B$10,Paramètres!$A$1:$I$89,3,0)*0.475*44/12</f>
        <v>8.0072747448095959E-5</v>
      </c>
      <c r="AX70" s="23">
        <f t="shared" si="60"/>
        <v>10.449567109208985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1.6</v>
      </c>
      <c r="BD70" s="13">
        <f>IF('Données projet'!$A$88&gt;35,BD69+BC70-BL69,IF(A70&lt;'Données projet'!$A$88,$BA$205^A70,IF(A70='Données projet'!$A$88,'Données projet'!$B$88,BD69+BC70-BL69)))</f>
        <v>258.2000000000001</v>
      </c>
      <c r="BE70" s="14">
        <f>BD70*VLOOKUP('Données projet'!$B$11,Paramètres!$A$1:$I$89,3,0)*VLOOKUP('Données projet'!$B$11,Paramètres!$A$1:$I$89,5,0)</f>
        <v>205.42392000000007</v>
      </c>
      <c r="BF70" s="14">
        <f t="shared" si="91"/>
        <v>50.934318468081216</v>
      </c>
      <c r="BG70" s="22">
        <f t="shared" si="61"/>
        <v>446.49059866524152</v>
      </c>
      <c r="BH70" s="62">
        <f t="shared" si="62"/>
        <v>739.82393199857484</v>
      </c>
      <c r="BI70" s="62">
        <f ca="1">AVERAGE(OFFSET($BH$3,0,0,'Données projet'!$E$11+1,1))-AVERAGE(OFFSET($H$3,0,0,'Données projet'!$E$11+1,1))</f>
        <v>219.61164494001008</v>
      </c>
      <c r="BJ70" s="62">
        <f t="shared" si="92"/>
        <v>219.59799863414111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310.66666666666674</v>
      </c>
      <c r="BZ70" s="14">
        <f>BY70*VLOOKUP('Données projet'!$B$12,Paramètres!$A$1:$I$89,3,0)*VLOOKUP('Données projet'!$B$12,Paramètres!$A$1:$I$89,5,0)</f>
        <v>242.32000000000008</v>
      </c>
      <c r="CA70" s="14">
        <f t="shared" si="93"/>
        <v>58.938409961900909</v>
      </c>
      <c r="CB70" s="22">
        <f t="shared" si="64"/>
        <v>524.69173068364421</v>
      </c>
      <c r="CC70" s="62">
        <f t="shared" si="65"/>
        <v>818.02506401697747</v>
      </c>
      <c r="CD70" s="62">
        <f ca="1">AVERAGE(OFFSET($CC$3,0,0,'Données projet'!$E$12+1,1))-AVERAGE(OFFSET($H$3,0,0,'Données projet'!$E$12+1,1))</f>
        <v>220.70608186257931</v>
      </c>
      <c r="CE70" s="62">
        <f t="shared" si="94"/>
        <v>208.79744153433245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6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9">
        <f t="shared" si="56"/>
        <v>377.56408426409683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13.857142857142858</v>
      </c>
      <c r="N71" s="14">
        <f>IF('Données projet'!$A$36&gt;35,N70+M71-V70,IF(A71&lt;'Données projet'!$A$36,$K$205^A71,IF(A71='Données projet'!$A$36,'Données projet'!$B$36,N70+M71-V70)))</f>
        <v>523.28571428571388</v>
      </c>
      <c r="O71" s="14">
        <f>N71*VLOOKUP('Données projet'!$B$9,Paramètres!$A$1:$I$89,3,0)*VLOOKUP('Données projet'!$B$9,Paramètres!$A$1:$I$89,5,0)</f>
        <v>292.5167142857141</v>
      </c>
      <c r="P71" s="14">
        <f t="shared" si="87"/>
        <v>69.605380435295899</v>
      </c>
      <c r="Q71" s="22">
        <f t="shared" si="54"/>
        <v>630.69598163909245</v>
      </c>
      <c r="R71" s="62">
        <f t="shared" si="55"/>
        <v>924.02931497242571</v>
      </c>
      <c r="S71" s="62">
        <f ca="1">AVERAGE(OFFSET($R$3,0,0,'Données projet'!$E$9+1,1))-AVERAGE(OFFSET($H$3,0,0,'Données projet'!$E$9+1,1))</f>
        <v>302.20483575440988</v>
      </c>
      <c r="T71" s="62">
        <f t="shared" si="88"/>
        <v>275.32862097158687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7.7650339152982459</v>
      </c>
      <c r="AB71" s="23">
        <f>EXP(-LN(2)/2)*AB70+(1-EXP(-LN(2)/2))/(LN(2)/2)*V71*Y71*VLOOKUP('Données projet'!$B$9,Paramètres!$A$1:$I$89,3,0)*0.475*44/12</f>
        <v>2.0995676120157791E-5</v>
      </c>
      <c r="AC71" s="24">
        <f t="shared" si="57"/>
        <v>7.7650549109743663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180.20749454145079</v>
      </c>
      <c r="AO71" s="62">
        <f t="shared" si="90"/>
        <v>307.23455947678775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10.163745263934857</v>
      </c>
      <c r="AW71" s="23">
        <f>EXP(-LN(2)/2)*AW70+(1-EXP(-LN(2)/2))/(LN(2)/2)*AQ71*AT71*VLOOKUP('Données projet'!$B$10,Paramètres!$A$1:$I$89,3,0)*0.475*44/12</f>
        <v>5.6619982708786471E-5</v>
      </c>
      <c r="AX71" s="23">
        <f t="shared" si="60"/>
        <v>10.163801883917566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1.6</v>
      </c>
      <c r="BD71" s="13">
        <f>IF('Données projet'!$A$88&gt;35,BD70+BC71-BL70,IF(A71&lt;'Données projet'!$A$88,$BA$205^A71,IF(A71='Données projet'!$A$88,'Données projet'!$B$88,BD70+BC71-BL70)))</f>
        <v>259.80000000000013</v>
      </c>
      <c r="BE71" s="14">
        <f>BD71*VLOOKUP('Données projet'!$B$11,Paramètres!$A$1:$I$89,3,0)*VLOOKUP('Données projet'!$B$11,Paramètres!$A$1:$I$89,5,0)</f>
        <v>206.69688000000014</v>
      </c>
      <c r="BF71" s="14">
        <f t="shared" si="91"/>
        <v>51.213106197404478</v>
      </c>
      <c r="BG71" s="22">
        <f t="shared" si="61"/>
        <v>449.19322596047977</v>
      </c>
      <c r="BH71" s="62">
        <f t="shared" si="62"/>
        <v>742.52655929381308</v>
      </c>
      <c r="BI71" s="62">
        <f ca="1">AVERAGE(OFFSET($BH$3,0,0,'Données projet'!$E$11+1,1))-AVERAGE(OFFSET($H$3,0,0,'Données projet'!$E$11+1,1))</f>
        <v>219.61164494001008</v>
      </c>
      <c r="BJ71" s="62">
        <f t="shared" si="92"/>
        <v>219.59799863414111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319.33333333333343</v>
      </c>
      <c r="BZ71" s="14">
        <f>BY71*VLOOKUP('Données projet'!$B$12,Paramètres!$A$1:$I$89,3,0)*VLOOKUP('Données projet'!$B$12,Paramètres!$A$1:$I$89,5,0)</f>
        <v>249.08000000000007</v>
      </c>
      <c r="CA71" s="14">
        <f t="shared" si="93"/>
        <v>60.388894447487807</v>
      </c>
      <c r="CB71" s="22">
        <f t="shared" si="64"/>
        <v>538.99165782937473</v>
      </c>
      <c r="CC71" s="62">
        <f t="shared" si="65"/>
        <v>832.3249911627081</v>
      </c>
      <c r="CD71" s="62">
        <f ca="1">AVERAGE(OFFSET($CC$3,0,0,'Données projet'!$E$12+1,1))-AVERAGE(OFFSET($H$3,0,0,'Données projet'!$E$12+1,1))</f>
        <v>220.70608186257931</v>
      </c>
      <c r="CE71" s="62">
        <f t="shared" si="94"/>
        <v>208.79744153433245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6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9">
        <f t="shared" si="56"/>
        <v>378.76906270916135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13.857142857142858</v>
      </c>
      <c r="N72" s="14">
        <f>IF('Données projet'!$A$36&gt;35,N71+M72-V71,IF(A72&lt;'Données projet'!$A$36,$K$205^A72,IF(A72='Données projet'!$A$36,'Données projet'!$B$36,N71+M72-V71)))</f>
        <v>537.14285714285677</v>
      </c>
      <c r="O72" s="14">
        <f>N72*VLOOKUP('Données projet'!$B$9,Paramètres!$A$1:$I$89,3,0)*VLOOKUP('Données projet'!$B$9,Paramètres!$A$1:$I$89,5,0)</f>
        <v>300.26285714285694</v>
      </c>
      <c r="P72" s="14">
        <f t="shared" si="87"/>
        <v>71.231565620163408</v>
      </c>
      <c r="Q72" s="22">
        <f t="shared" si="54"/>
        <v>647.01945297892712</v>
      </c>
      <c r="R72" s="62">
        <f t="shared" si="55"/>
        <v>940.35278631226038</v>
      </c>
      <c r="S72" s="62">
        <f ca="1">AVERAGE(OFFSET($R$3,0,0,'Données projet'!$E$9+1,1))-AVERAGE(OFFSET($H$3,0,0,'Données projet'!$E$9+1,1))</f>
        <v>302.20483575440988</v>
      </c>
      <c r="T72" s="62">
        <f t="shared" si="88"/>
        <v>275.32862097158687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7.5526986545390287</v>
      </c>
      <c r="AB72" s="23">
        <f>EXP(-LN(2)/2)*AB71+(1-EXP(-LN(2)/2))/(LN(2)/2)*V72*Y72*VLOOKUP('Données projet'!$B$9,Paramètres!$A$1:$I$89,3,0)*0.475*44/12</f>
        <v>1.4846184960160037E-5</v>
      </c>
      <c r="AC72" s="24">
        <f t="shared" si="57"/>
        <v>7.5527135007239892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180.20749454145079</v>
      </c>
      <c r="AO72" s="62">
        <f t="shared" si="90"/>
        <v>307.23455947678775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9.885817115204425</v>
      </c>
      <c r="AW72" s="23">
        <f>EXP(-LN(2)/2)*AW71+(1-EXP(-LN(2)/2))/(LN(2)/2)*AQ72*AT72*VLOOKUP('Données projet'!$B$10,Paramètres!$A$1:$I$89,3,0)*0.475*44/12</f>
        <v>4.0036373724047979E-5</v>
      </c>
      <c r="AX72" s="23">
        <f t="shared" si="60"/>
        <v>9.8858571515781488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1.6</v>
      </c>
      <c r="BD72" s="13">
        <f>IF('Données projet'!$A$88&gt;35,BD71+BC72-BL71,IF(A72&lt;'Données projet'!$A$88,$BA$205^A72,IF(A72='Données projet'!$A$88,'Données projet'!$B$88,BD71+BC72-BL71)))</f>
        <v>261.40000000000015</v>
      </c>
      <c r="BE72" s="14">
        <f>BD72*VLOOKUP('Données projet'!$B$11,Paramètres!$A$1:$I$89,3,0)*VLOOKUP('Données projet'!$B$11,Paramètres!$A$1:$I$89,5,0)</f>
        <v>207.96984000000012</v>
      </c>
      <c r="BF72" s="14">
        <f t="shared" si="91"/>
        <v>51.491694145480423</v>
      </c>
      <c r="BG72" s="22">
        <f t="shared" si="61"/>
        <v>451.89550530337857</v>
      </c>
      <c r="BH72" s="62">
        <f t="shared" si="62"/>
        <v>745.22883863671188</v>
      </c>
      <c r="BI72" s="62">
        <f ca="1">AVERAGE(OFFSET($BH$3,0,0,'Données projet'!$E$11+1,1))-AVERAGE(OFFSET($H$3,0,0,'Données projet'!$E$11+1,1))</f>
        <v>219.61164494001008</v>
      </c>
      <c r="BJ72" s="62">
        <f t="shared" si="92"/>
        <v>219.59799863414111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328.00000000000011</v>
      </c>
      <c r="BZ72" s="14">
        <f>BY72*VLOOKUP('Données projet'!$B$12,Paramètres!$A$1:$I$89,3,0)*VLOOKUP('Données projet'!$B$12,Paramètres!$A$1:$I$89,5,0)</f>
        <v>255.84000000000009</v>
      </c>
      <c r="CA72" s="14">
        <f t="shared" si="93"/>
        <v>61.834803371075836</v>
      </c>
      <c r="CB72" s="22">
        <f t="shared" si="64"/>
        <v>553.28361587129064</v>
      </c>
      <c r="CC72" s="62">
        <f t="shared" si="65"/>
        <v>846.61694920462401</v>
      </c>
      <c r="CD72" s="62">
        <f ca="1">AVERAGE(OFFSET($CC$3,0,0,'Données projet'!$E$12+1,1))-AVERAGE(OFFSET($H$3,0,0,'Données projet'!$E$12+1,1))</f>
        <v>220.70608186257931</v>
      </c>
      <c r="CE72" s="62">
        <f t="shared" si="94"/>
        <v>208.79744153433245</v>
      </c>
      <c r="CF72" s="16">
        <f>IF(ISNA(VLOOKUP(A72,'Données projet'!$A$113:$I$133,3,0)),0,VLOOKUP(A72,'Données projet'!$A$113:$I$133,3,0))</f>
        <v>7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6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9">
        <f t="shared" si="56"/>
        <v>379.97361296469114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551</v>
      </c>
      <c r="L73" s="13">
        <f>VLOOKUP(A73,'Données projet'!$A$35:$I$55,9,0)</f>
        <v>13.857142857142858</v>
      </c>
      <c r="M73" s="13">
        <f t="array" ref="M73">INDEX(L:L,MIN(IF(ISNUMBER(L73:L269),ROW(L73:L269),"")))</f>
        <v>13.857142857142858</v>
      </c>
      <c r="N73" s="14">
        <f>IF('Données projet'!$A$36&gt;35,N72+M73-V72,IF(A73&lt;'Données projet'!$A$36,$K$205^A73,IF(A73='Données projet'!$A$36,'Données projet'!$B$36,N72+M73-V72)))</f>
        <v>550.99999999999966</v>
      </c>
      <c r="O73" s="14">
        <f>N73*VLOOKUP('Données projet'!$B$9,Paramètres!$A$1:$I$89,3,0)*VLOOKUP('Données projet'!$B$9,Paramètres!$A$1:$I$89,5,0)</f>
        <v>308.00899999999979</v>
      </c>
      <c r="P73" s="14">
        <f t="shared" si="87"/>
        <v>72.852874331417695</v>
      </c>
      <c r="Q73" s="22">
        <f t="shared" si="54"/>
        <v>663.33443112721886</v>
      </c>
      <c r="R73" s="62">
        <f t="shared" si="55"/>
        <v>956.66776446055223</v>
      </c>
      <c r="S73" s="62">
        <f ca="1">AVERAGE(OFFSET($R$3,0,0,'Données projet'!$E$9+1,1))-AVERAGE(OFFSET($H$3,0,0,'Données projet'!$E$9+1,1))</f>
        <v>302.20483575440988</v>
      </c>
      <c r="T73" s="62">
        <f t="shared" si="88"/>
        <v>275.32862097158687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551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7.3461697126514984</v>
      </c>
      <c r="AB73" s="23">
        <f>EXP(-LN(2)/2)*AB72+(1-EXP(-LN(2)/2))/(LN(2)/2)*V73*Y73*VLOOKUP('Données projet'!$B$9,Paramètres!$A$1:$I$89,3,0)*0.475*44/12</f>
        <v>1.0497838060078897E-5</v>
      </c>
      <c r="AC73" s="24">
        <f t="shared" si="57"/>
        <v>7.3461802104895586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180.20749454145079</v>
      </c>
      <c r="AO73" s="62">
        <f t="shared" si="90"/>
        <v>307.23455947678775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9.6154889263166314</v>
      </c>
      <c r="AW73" s="23">
        <f>EXP(-LN(2)/2)*AW72+(1-EXP(-LN(2)/2))/(LN(2)/2)*AQ73*AT73*VLOOKUP('Données projet'!$B$10,Paramètres!$A$1:$I$89,3,0)*0.475*44/12</f>
        <v>2.8309991354393236E-5</v>
      </c>
      <c r="AX73" s="23">
        <f t="shared" si="60"/>
        <v>9.6155172363079853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1.6</v>
      </c>
      <c r="BC73" s="13">
        <f t="array" ref="BC73">INDEX(BB:BB,MIN(IF(ISNUMBER(BB73:BB269),ROW(BB73:BB269),"")))</f>
        <v>1.6</v>
      </c>
      <c r="BD73" s="13">
        <f>IF('Données projet'!$A$88&gt;35,BD72+BC73-BL72,IF(A73&lt;'Données projet'!$A$88,$BA$205^A73,IF(A73='Données projet'!$A$88,'Données projet'!$B$88,BD72+BC73-BL72)))</f>
        <v>263.00000000000017</v>
      </c>
      <c r="BE73" s="14">
        <f>BD73*VLOOKUP('Données projet'!$B$11,Paramètres!$A$1:$I$89,3,0)*VLOOKUP('Données projet'!$B$11,Paramètres!$A$1:$I$89,5,0)</f>
        <v>209.24280000000013</v>
      </c>
      <c r="BF73" s="14">
        <f t="shared" si="91"/>
        <v>51.770083677016856</v>
      </c>
      <c r="BG73" s="22">
        <f t="shared" si="61"/>
        <v>454.59743907080457</v>
      </c>
      <c r="BH73" s="62">
        <f t="shared" si="62"/>
        <v>747.93077240413788</v>
      </c>
      <c r="BI73" s="62">
        <f ca="1">AVERAGE(OFFSET($BH$3,0,0,'Données projet'!$E$11+1,1))-AVERAGE(OFFSET($H$3,0,0,'Données projet'!$E$11+1,1))</f>
        <v>219.61164494001008</v>
      </c>
      <c r="BJ73" s="62">
        <f t="shared" si="92"/>
        <v>219.59799863414111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1.1368683772161603E-13</v>
      </c>
      <c r="BZ73" s="14">
        <f>BY73*VLOOKUP('Données projet'!$B$12,Paramètres!$A$1:$I$89,3,0)*VLOOKUP('Données projet'!$B$12,Paramètres!$A$1:$I$89,5,0)</f>
        <v>8.8675733422860506E-14</v>
      </c>
      <c r="CA73" s="14">
        <f t="shared" si="93"/>
        <v>1.3509285393066301E-12</v>
      </c>
      <c r="CB73" s="22">
        <f t="shared" si="64"/>
        <v>2.5073107750038623E-12</v>
      </c>
      <c r="CC73" s="62">
        <f t="shared" si="65"/>
        <v>293.33333333333582</v>
      </c>
      <c r="CD73" s="62">
        <f ca="1">AVERAGE(OFFSET($CC$3,0,0,'Données projet'!$E$12+1,1))-AVERAGE(OFFSET($H$3,0,0,'Données projet'!$E$12+1,1))</f>
        <v>220.70608186257931</v>
      </c>
      <c r="CE73" s="62">
        <f t="shared" si="94"/>
        <v>208.79744153433245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6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9">
        <f t="shared" si="56"/>
        <v>381.17774185449025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-3.4106051316484809E-13</v>
      </c>
      <c r="O74" s="14">
        <f>N74*VLOOKUP('Données projet'!$B$9,Paramètres!$A$1:$I$89,3,0)*VLOOKUP('Données projet'!$B$9,Paramètres!$A$1:$I$89,5,0)</f>
        <v>-1.9065282685915009E-13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302.20483575440988</v>
      </c>
      <c r="T74" s="62">
        <f t="shared" si="88"/>
        <v>275.32862097158687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7.1452883155407676</v>
      </c>
      <c r="AB74" s="23">
        <f>EXP(-LN(2)/2)*AB73+(1-EXP(-LN(2)/2))/(LN(2)/2)*V74*Y74*VLOOKUP('Données projet'!$B$9,Paramètres!$A$1:$I$89,3,0)*0.475*44/12</f>
        <v>7.42309248008002E-6</v>
      </c>
      <c r="AC74" s="24">
        <f t="shared" si="57"/>
        <v>7.1452957386332479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180.20749454145079</v>
      </c>
      <c r="AO74" s="62">
        <f t="shared" si="90"/>
        <v>307.23455947678775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9.3525528759699164</v>
      </c>
      <c r="AW74" s="23">
        <f>EXP(-LN(2)/2)*AW73+(1-EXP(-LN(2)/2))/(LN(2)/2)*AQ74*AT74*VLOOKUP('Données projet'!$B$10,Paramètres!$A$1:$I$89,3,0)*0.475*44/12</f>
        <v>2.001818686202399E-5</v>
      </c>
      <c r="AX74" s="23">
        <f t="shared" si="60"/>
        <v>9.3525728941567792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5.6</v>
      </c>
      <c r="BD74" s="13">
        <f>IF('Données projet'!$A$88&gt;35,BD73+BC74-BL73,IF(A74&lt;'Données projet'!$A$88,$BA$205^A74,IF(A74='Données projet'!$A$88,'Données projet'!$B$88,BD73+BC74-BL73)))</f>
        <v>247.60000000000019</v>
      </c>
      <c r="BE74" s="14">
        <f>BD74*VLOOKUP('Données projet'!$B$11,Paramètres!$A$1:$I$89,3,0)*VLOOKUP('Données projet'!$B$11,Paramètres!$A$1:$I$89,5,0)</f>
        <v>196.99056000000016</v>
      </c>
      <c r="BF74" s="14">
        <f t="shared" si="91"/>
        <v>49.082201425782451</v>
      </c>
      <c r="BG74" s="22">
        <f t="shared" si="61"/>
        <v>428.57672614990469</v>
      </c>
      <c r="BH74" s="62">
        <f t="shared" si="62"/>
        <v>721.910059483238</v>
      </c>
      <c r="BI74" s="62">
        <f ca="1">AVERAGE(OFFSET($BH$3,0,0,'Données projet'!$E$11+1,1))-AVERAGE(OFFSET($H$3,0,0,'Données projet'!$E$11+1,1))</f>
        <v>219.61164494001008</v>
      </c>
      <c r="BJ74" s="62">
        <f t="shared" si="92"/>
        <v>219.59799863414111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1.1368683772161603E-13</v>
      </c>
      <c r="BZ74" s="14">
        <f>BY74*VLOOKUP('Données projet'!$B$12,Paramètres!$A$1:$I$89,3,0)*VLOOKUP('Données projet'!$B$12,Paramètres!$A$1:$I$89,5,0)</f>
        <v>8.8675733422860506E-14</v>
      </c>
      <c r="CA74" s="14">
        <f t="shared" si="93"/>
        <v>1.3509285393066301E-12</v>
      </c>
      <c r="CB74" s="22">
        <f t="shared" si="64"/>
        <v>2.5073107750038623E-12</v>
      </c>
      <c r="CC74" s="62">
        <f t="shared" si="65"/>
        <v>293.33333333333582</v>
      </c>
      <c r="CD74" s="62">
        <f ca="1">AVERAGE(OFFSET($CC$3,0,0,'Données projet'!$E$12+1,1))-AVERAGE(OFFSET($H$3,0,0,'Données projet'!$E$12+1,1))</f>
        <v>220.70608186257931</v>
      </c>
      <c r="CE74" s="62">
        <f t="shared" si="94"/>
        <v>208.79744153433245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6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9">
        <f t="shared" si="56"/>
        <v>382.38145599910195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-3.4106051316484809E-13</v>
      </c>
      <c r="O75" s="14">
        <f>N75*VLOOKUP('Données projet'!$B$9,Paramètres!$A$1:$I$89,3,0)*VLOOKUP('Données projet'!$B$9,Paramètres!$A$1:$I$89,5,0)</f>
        <v>-1.9065282685915009E-13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302.20483575440988</v>
      </c>
      <c r="T75" s="62">
        <f t="shared" si="88"/>
        <v>275.32862097158687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6.9499000307979237</v>
      </c>
      <c r="AB75" s="23">
        <f>EXP(-LN(2)/2)*AB74+(1-EXP(-LN(2)/2))/(LN(2)/2)*V75*Y75*VLOOKUP('Données projet'!$B$9,Paramètres!$A$1:$I$89,3,0)*0.475*44/12</f>
        <v>5.2489190300394493E-6</v>
      </c>
      <c r="AC75" s="24">
        <f t="shared" si="57"/>
        <v>6.9499052797169538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180.20749454145079</v>
      </c>
      <c r="AO75" s="62">
        <f t="shared" si="90"/>
        <v>307.23455947678775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9.0968068257471391</v>
      </c>
      <c r="AW75" s="23">
        <f>EXP(-LN(2)/2)*AW74+(1-EXP(-LN(2)/2))/(LN(2)/2)*AQ75*AT75*VLOOKUP('Données projet'!$B$10,Paramètres!$A$1:$I$89,3,0)*0.475*44/12</f>
        <v>1.4154995677196618E-5</v>
      </c>
      <c r="AX75" s="23">
        <f t="shared" si="60"/>
        <v>9.096820980742816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5.6</v>
      </c>
      <c r="BD75" s="13">
        <f>IF('Données projet'!$A$88&gt;35,BD74+BC75-BL74,IF(A75&lt;'Données projet'!$A$88,$BA$205^A75,IF(A75='Données projet'!$A$88,'Données projet'!$B$88,BD74+BC75-BL74)))</f>
        <v>253.20000000000019</v>
      </c>
      <c r="BE75" s="14">
        <f>BD75*VLOOKUP('Données projet'!$B$11,Paramètres!$A$1:$I$89,3,0)*VLOOKUP('Données projet'!$B$11,Paramètres!$A$1:$I$89,5,0)</f>
        <v>201.44592000000014</v>
      </c>
      <c r="BF75" s="14">
        <f t="shared" si="91"/>
        <v>50.061803830547262</v>
      </c>
      <c r="BG75" s="22">
        <f t="shared" si="61"/>
        <v>438.04261900487001</v>
      </c>
      <c r="BH75" s="62">
        <f t="shared" si="62"/>
        <v>731.37595233820332</v>
      </c>
      <c r="BI75" s="62">
        <f ca="1">AVERAGE(OFFSET($BH$3,0,0,'Données projet'!$E$11+1,1))-AVERAGE(OFFSET($H$3,0,0,'Données projet'!$E$11+1,1))</f>
        <v>219.61164494001008</v>
      </c>
      <c r="BJ75" s="62">
        <f t="shared" si="92"/>
        <v>219.59799863414111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1.1368683772161603E-13</v>
      </c>
      <c r="BZ75" s="14">
        <f>BY75*VLOOKUP('Données projet'!$B$12,Paramètres!$A$1:$I$89,3,0)*VLOOKUP('Données projet'!$B$12,Paramètres!$A$1:$I$89,5,0)</f>
        <v>8.8675733422860506E-14</v>
      </c>
      <c r="CA75" s="14">
        <f t="shared" si="93"/>
        <v>1.3509285393066301E-12</v>
      </c>
      <c r="CB75" s="22">
        <f t="shared" si="64"/>
        <v>2.5073107750038623E-12</v>
      </c>
      <c r="CC75" s="62">
        <f t="shared" si="65"/>
        <v>293.33333333333582</v>
      </c>
      <c r="CD75" s="62">
        <f ca="1">AVERAGE(OFFSET($CC$3,0,0,'Données projet'!$E$12+1,1))-AVERAGE(OFFSET($H$3,0,0,'Données projet'!$E$12+1,1))</f>
        <v>220.70608186257931</v>
      </c>
      <c r="CE75" s="62">
        <f t="shared" si="94"/>
        <v>208.79744153433245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6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9">
        <f t="shared" si="56"/>
        <v>383.58476182460123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-3.4106051316484809E-13</v>
      </c>
      <c r="O76" s="14">
        <f>N76*VLOOKUP('Données projet'!$B$9,Paramètres!$A$1:$I$89,3,0)*VLOOKUP('Données projet'!$B$9,Paramètres!$A$1:$I$89,5,0)</f>
        <v>-1.9065282685915009E-13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302.20483575440988</v>
      </c>
      <c r="T76" s="62">
        <f t="shared" si="88"/>
        <v>275.32862097158687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6.759854648976396</v>
      </c>
      <c r="AB76" s="23">
        <f>EXP(-LN(2)/2)*AB75+(1-EXP(-LN(2)/2))/(LN(2)/2)*V76*Y76*VLOOKUP('Données projet'!$B$9,Paramètres!$A$1:$I$89,3,0)*0.475*44/12</f>
        <v>3.7115462400400104E-6</v>
      </c>
      <c r="AC76" s="24">
        <f t="shared" si="57"/>
        <v>6.7598583605226361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180.20749454145079</v>
      </c>
      <c r="AO76" s="62">
        <f t="shared" si="90"/>
        <v>307.23455947678775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8.8480541647168032</v>
      </c>
      <c r="AW76" s="23">
        <f>EXP(-LN(2)/2)*AW75+(1-EXP(-LN(2)/2))/(LN(2)/2)*AQ76*AT76*VLOOKUP('Données projet'!$B$10,Paramètres!$A$1:$I$89,3,0)*0.475*44/12</f>
        <v>1.0009093431011995E-5</v>
      </c>
      <c r="AX76" s="23">
        <f t="shared" si="60"/>
        <v>8.8480641738102346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5.6</v>
      </c>
      <c r="BD76" s="13">
        <f>IF('Données projet'!$A$88&gt;35,BD75+BC76-BL75,IF(A76&lt;'Données projet'!$A$88,$BA$205^A76,IF(A76='Données projet'!$A$88,'Données projet'!$B$88,BD75+BC76-BL75)))</f>
        <v>258.80000000000018</v>
      </c>
      <c r="BE76" s="14">
        <f>BD76*VLOOKUP('Données projet'!$B$11,Paramètres!$A$1:$I$89,3,0)*VLOOKUP('Données projet'!$B$11,Paramètres!$A$1:$I$89,5,0)</f>
        <v>205.90128000000013</v>
      </c>
      <c r="BF76" s="14">
        <f t="shared" si="91"/>
        <v>51.038887365811256</v>
      </c>
      <c r="BG76" s="22">
        <f t="shared" si="61"/>
        <v>447.50412482878806</v>
      </c>
      <c r="BH76" s="62">
        <f t="shared" si="62"/>
        <v>740.83745816212138</v>
      </c>
      <c r="BI76" s="62">
        <f ca="1">AVERAGE(OFFSET($BH$3,0,0,'Données projet'!$E$11+1,1))-AVERAGE(OFFSET($H$3,0,0,'Données projet'!$E$11+1,1))</f>
        <v>219.61164494001008</v>
      </c>
      <c r="BJ76" s="62">
        <f t="shared" si="92"/>
        <v>219.59799863414111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1.1368683772161603E-13</v>
      </c>
      <c r="BZ76" s="14">
        <f>BY76*VLOOKUP('Données projet'!$B$12,Paramètres!$A$1:$I$89,3,0)*VLOOKUP('Données projet'!$B$12,Paramètres!$A$1:$I$89,5,0)</f>
        <v>8.8675733422860506E-14</v>
      </c>
      <c r="CA76" s="14">
        <f t="shared" si="93"/>
        <v>1.3509285393066301E-12</v>
      </c>
      <c r="CB76" s="22">
        <f t="shared" si="64"/>
        <v>2.5073107750038623E-12</v>
      </c>
      <c r="CC76" s="62">
        <f t="shared" si="65"/>
        <v>293.33333333333582</v>
      </c>
      <c r="CD76" s="62">
        <f ca="1">AVERAGE(OFFSET($CC$3,0,0,'Données projet'!$E$12+1,1))-AVERAGE(OFFSET($H$3,0,0,'Données projet'!$E$12+1,1))</f>
        <v>220.70608186257931</v>
      </c>
      <c r="CE76" s="62">
        <f t="shared" si="94"/>
        <v>208.79744153433245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6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9">
        <f t="shared" si="56"/>
        <v>384.78766557089068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-3.4106051316484809E-13</v>
      </c>
      <c r="O77" s="14">
        <f>N77*VLOOKUP('Données projet'!$B$9,Paramètres!$A$1:$I$89,3,0)*VLOOKUP('Données projet'!$B$9,Paramètres!$A$1:$I$89,5,0)</f>
        <v>-1.9065282685915009E-13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302.20483575440988</v>
      </c>
      <c r="T77" s="62">
        <f t="shared" si="88"/>
        <v>275.32862097158687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6.5750060681148303</v>
      </c>
      <c r="AB77" s="23">
        <f>EXP(-LN(2)/2)*AB76+(1-EXP(-LN(2)/2))/(LN(2)/2)*V77*Y77*VLOOKUP('Données projet'!$B$9,Paramètres!$A$1:$I$89,3,0)*0.475*44/12</f>
        <v>2.6244595150197251E-6</v>
      </c>
      <c r="AC77" s="24">
        <f t="shared" si="57"/>
        <v>6.5750086925743449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180.20749454145079</v>
      </c>
      <c r="AO77" s="62">
        <f t="shared" si="90"/>
        <v>307.23455947678775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8.6061036582836756</v>
      </c>
      <c r="AW77" s="23">
        <f>EXP(-LN(2)/2)*AW76+(1-EXP(-LN(2)/2))/(LN(2)/2)*AQ77*AT77*VLOOKUP('Données projet'!$B$10,Paramètres!$A$1:$I$89,3,0)*0.475*44/12</f>
        <v>7.0774978385983089E-6</v>
      </c>
      <c r="AX77" s="23">
        <f t="shared" si="60"/>
        <v>8.606110735781515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5.6</v>
      </c>
      <c r="BD77" s="13">
        <f>IF('Données projet'!$A$88&gt;35,BD76+BC77-BL76,IF(A77&lt;'Données projet'!$A$88,$BA$205^A77,IF(A77='Données projet'!$A$88,'Données projet'!$B$88,BD76+BC77-BL76)))</f>
        <v>264.4000000000002</v>
      </c>
      <c r="BE77" s="14">
        <f>BD77*VLOOKUP('Données projet'!$B$11,Paramètres!$A$1:$I$89,3,0)*VLOOKUP('Données projet'!$B$11,Paramètres!$A$1:$I$89,5,0)</f>
        <v>210.35664000000017</v>
      </c>
      <c r="BF77" s="14">
        <f t="shared" si="91"/>
        <v>52.013512813001839</v>
      </c>
      <c r="BG77" s="22">
        <f t="shared" si="61"/>
        <v>456.96134948264512</v>
      </c>
      <c r="BH77" s="62">
        <f t="shared" si="62"/>
        <v>750.29468281597838</v>
      </c>
      <c r="BI77" s="62">
        <f ca="1">AVERAGE(OFFSET($BH$3,0,0,'Données projet'!$E$11+1,1))-AVERAGE(OFFSET($H$3,0,0,'Données projet'!$E$11+1,1))</f>
        <v>219.61164494001008</v>
      </c>
      <c r="BJ77" s="62">
        <f t="shared" si="92"/>
        <v>219.59799863414111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1.1368683772161603E-13</v>
      </c>
      <c r="BZ77" s="14">
        <f>BY77*VLOOKUP('Données projet'!$B$12,Paramètres!$A$1:$I$89,3,0)*VLOOKUP('Données projet'!$B$12,Paramètres!$A$1:$I$89,5,0)</f>
        <v>8.8675733422860506E-14</v>
      </c>
      <c r="CA77" s="14">
        <f t="shared" si="93"/>
        <v>1.3509285393066301E-12</v>
      </c>
      <c r="CB77" s="22">
        <f t="shared" si="64"/>
        <v>2.5073107750038623E-12</v>
      </c>
      <c r="CC77" s="62">
        <f t="shared" si="65"/>
        <v>293.33333333333582</v>
      </c>
      <c r="CD77" s="62">
        <f ca="1">AVERAGE(OFFSET($CC$3,0,0,'Données projet'!$E$12+1,1))-AVERAGE(OFFSET($H$3,0,0,'Données projet'!$E$12+1,1))</f>
        <v>220.70608186257931</v>
      </c>
      <c r="CE77" s="62">
        <f t="shared" si="94"/>
        <v>208.79744153433245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6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9">
        <f t="shared" si="56"/>
        <v>385.99017329953574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-3.4106051316484809E-13</v>
      </c>
      <c r="O78" s="14">
        <f>N78*VLOOKUP('Données projet'!$B$9,Paramètres!$A$1:$I$89,3,0)*VLOOKUP('Données projet'!$B$9,Paramètres!$A$1:$I$89,5,0)</f>
        <v>-1.9065282685915009E-13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302.20483575440988</v>
      </c>
      <c r="T78" s="62">
        <f t="shared" si="88"/>
        <v>275.32862097158687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6.3952121814176888</v>
      </c>
      <c r="AB78" s="23">
        <f>EXP(-LN(2)/2)*AB77+(1-EXP(-LN(2)/2))/(LN(2)/2)*V78*Y78*VLOOKUP('Données projet'!$B$9,Paramètres!$A$1:$I$89,3,0)*0.475*44/12</f>
        <v>1.8557731200200054E-6</v>
      </c>
      <c r="AC78" s="24">
        <f t="shared" si="57"/>
        <v>6.3952140371908088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180.20749454145079</v>
      </c>
      <c r="AO78" s="62">
        <f t="shared" si="90"/>
        <v>307.23455947678775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8.3707693011725866</v>
      </c>
      <c r="AW78" s="23">
        <f>EXP(-LN(2)/2)*AW77+(1-EXP(-LN(2)/2))/(LN(2)/2)*AQ78*AT78*VLOOKUP('Données projet'!$B$10,Paramètres!$A$1:$I$89,3,0)*0.475*44/12</f>
        <v>5.0045467155059974E-6</v>
      </c>
      <c r="AX78" s="23">
        <f t="shared" si="60"/>
        <v>8.3707743057193014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270</v>
      </c>
      <c r="BB78" s="13">
        <f>VLOOKUP(A78,'Données projet'!$A$87:$I$107,9,0)</f>
        <v>5.6</v>
      </c>
      <c r="BC78" s="13">
        <f t="array" ref="BC78">INDEX(BB:BB,MIN(IF(ISNUMBER(BB78:BB274),ROW(BB78:BB274),"")))</f>
        <v>5.6</v>
      </c>
      <c r="BD78" s="13">
        <f>IF('Données projet'!$A$88&gt;35,BD77+BC78-BL77,IF(A78&lt;'Données projet'!$A$88,$BA$205^A78,IF(A78='Données projet'!$A$88,'Données projet'!$B$88,BD77+BC78-BL77)))</f>
        <v>270.00000000000023</v>
      </c>
      <c r="BE78" s="14">
        <f>BD78*VLOOKUP('Données projet'!$B$11,Paramètres!$A$1:$I$89,3,0)*VLOOKUP('Données projet'!$B$11,Paramètres!$A$1:$I$89,5,0)</f>
        <v>214.81200000000021</v>
      </c>
      <c r="BF78" s="14">
        <f t="shared" si="91"/>
        <v>52.985738231738104</v>
      </c>
      <c r="BG78" s="22">
        <f t="shared" si="61"/>
        <v>466.41439408694424</v>
      </c>
      <c r="BH78" s="62">
        <f t="shared" si="62"/>
        <v>759.74772742027756</v>
      </c>
      <c r="BI78" s="62">
        <f ca="1">AVERAGE(OFFSET($BH$3,0,0,'Données projet'!$E$11+1,1))-AVERAGE(OFFSET($H$3,0,0,'Données projet'!$E$11+1,1))</f>
        <v>219.61164494001008</v>
      </c>
      <c r="BJ78" s="62">
        <f t="shared" si="92"/>
        <v>219.59799863414111</v>
      </c>
      <c r="BK78" s="16">
        <f>IF(ISNA(VLOOKUP(A78,'Données projet'!$A$87:$I$107,3,0)),0,VLOOKUP(A78,'Données projet'!$A$87:$I$107,3,0))</f>
        <v>7</v>
      </c>
      <c r="BL78" s="16">
        <f>IF(ISNA(VLOOKUP(A78,'Données projet'!$A$87:$I$107,4,0)),0,VLOOKUP(A78,'Données projet'!$A$87:$I$107,4,0))</f>
        <v>9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1.1368683772161603E-13</v>
      </c>
      <c r="BZ78" s="14">
        <f>BY78*VLOOKUP('Données projet'!$B$12,Paramètres!$A$1:$I$89,3,0)*VLOOKUP('Données projet'!$B$12,Paramètres!$A$1:$I$89,5,0)</f>
        <v>8.8675733422860506E-14</v>
      </c>
      <c r="CA78" s="14">
        <f t="shared" si="93"/>
        <v>1.3509285393066301E-12</v>
      </c>
      <c r="CB78" s="22">
        <f t="shared" si="64"/>
        <v>2.5073107750038623E-12</v>
      </c>
      <c r="CC78" s="62">
        <f t="shared" si="65"/>
        <v>293.33333333333582</v>
      </c>
      <c r="CD78" s="62">
        <f ca="1">AVERAGE(OFFSET($CC$3,0,0,'Données projet'!$E$12+1,1))-AVERAGE(OFFSET($H$3,0,0,'Données projet'!$E$12+1,1))</f>
        <v>220.70608186257931</v>
      </c>
      <c r="CE78" s="62">
        <f t="shared" si="94"/>
        <v>208.79744153433245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6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9">
        <f t="shared" si="56"/>
        <v>387.19229090117022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-3.4106051316484809E-13</v>
      </c>
      <c r="O79" s="14">
        <f>N79*VLOOKUP('Données projet'!$B$9,Paramètres!$A$1:$I$89,3,0)*VLOOKUP('Données projet'!$B$9,Paramètres!$A$1:$I$89,5,0)</f>
        <v>-1.9065282685915009E-13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302.20483575440988</v>
      </c>
      <c r="T79" s="62">
        <f t="shared" si="88"/>
        <v>275.32862097158687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6.2203347680072296</v>
      </c>
      <c r="AB79" s="23">
        <f>EXP(-LN(2)/2)*AB78+(1-EXP(-LN(2)/2))/(LN(2)/2)*V79*Y79*VLOOKUP('Données projet'!$B$9,Paramètres!$A$1:$I$89,3,0)*0.475*44/12</f>
        <v>1.3122297575098628E-6</v>
      </c>
      <c r="AC79" s="24">
        <f t="shared" si="57"/>
        <v>6.2203360802369874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180.20749454145079</v>
      </c>
      <c r="AO79" s="62">
        <f t="shared" si="90"/>
        <v>307.23455947678775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8.1418701744323965</v>
      </c>
      <c r="AW79" s="23">
        <f>EXP(-LN(2)/2)*AW78+(1-EXP(-LN(2)/2))/(LN(2)/2)*AQ79*AT79*VLOOKUP('Données projet'!$B$10,Paramètres!$A$1:$I$89,3,0)*0.475*44/12</f>
        <v>3.5387489192991545E-6</v>
      </c>
      <c r="AX79" s="23">
        <f t="shared" si="60"/>
        <v>8.1418737131813153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</v>
      </c>
      <c r="BD79" s="13">
        <f>IF('Données projet'!$A$88&gt;35,BD78+BC79-BL78,IF(A79&lt;'Données projet'!$A$88,$BA$205^A79,IF(A79='Données projet'!$A$88,'Données projet'!$B$88,BD78+BC79-BL78)))</f>
        <v>264.00000000000023</v>
      </c>
      <c r="BE79" s="14">
        <f>BD79*VLOOKUP('Données projet'!$B$11,Paramètres!$A$1:$I$89,3,0)*VLOOKUP('Données projet'!$B$11,Paramètres!$A$1:$I$89,5,0)</f>
        <v>210.03840000000019</v>
      </c>
      <c r="BF79" s="14">
        <f t="shared" si="91"/>
        <v>51.943976975133673</v>
      </c>
      <c r="BG79" s="22">
        <f t="shared" si="61"/>
        <v>456.28597323169151</v>
      </c>
      <c r="BH79" s="62">
        <f t="shared" si="62"/>
        <v>749.61930656502477</v>
      </c>
      <c r="BI79" s="62">
        <f ca="1">AVERAGE(OFFSET($BH$3,0,0,'Données projet'!$E$11+1,1))-AVERAGE(OFFSET($H$3,0,0,'Données projet'!$E$11+1,1))</f>
        <v>219.61164494001008</v>
      </c>
      <c r="BJ79" s="62">
        <f t="shared" si="92"/>
        <v>219.59799863414111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1.1368683772161603E-13</v>
      </c>
      <c r="BZ79" s="14">
        <f>BY79*VLOOKUP('Données projet'!$B$12,Paramètres!$A$1:$I$89,3,0)*VLOOKUP('Données projet'!$B$12,Paramètres!$A$1:$I$89,5,0)</f>
        <v>8.8675733422860506E-14</v>
      </c>
      <c r="CA79" s="14">
        <f t="shared" si="93"/>
        <v>1.3509285393066301E-12</v>
      </c>
      <c r="CB79" s="22">
        <f t="shared" si="64"/>
        <v>2.5073107750038623E-12</v>
      </c>
      <c r="CC79" s="62">
        <f t="shared" si="65"/>
        <v>293.33333333333582</v>
      </c>
      <c r="CD79" s="62">
        <f ca="1">AVERAGE(OFFSET($CC$3,0,0,'Données projet'!$E$12+1,1))-AVERAGE(OFFSET($H$3,0,0,'Données projet'!$E$12+1,1))</f>
        <v>220.70608186257931</v>
      </c>
      <c r="CE79" s="62">
        <f t="shared" si="94"/>
        <v>208.79744153433245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6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9">
        <f t="shared" si="56"/>
        <v>388.39402410250074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-3.4106051316484809E-13</v>
      </c>
      <c r="O80" s="14">
        <f>N80*VLOOKUP('Données projet'!$B$9,Paramètres!$A$1:$I$89,3,0)*VLOOKUP('Données projet'!$B$9,Paramètres!$A$1:$I$89,5,0)</f>
        <v>-1.9065282685915009E-13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302.20483575440988</v>
      </c>
      <c r="T80" s="62">
        <f t="shared" si="88"/>
        <v>275.32862097158687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6.0502393866628834</v>
      </c>
      <c r="AB80" s="23">
        <f>EXP(-LN(2)/2)*AB79+(1-EXP(-LN(2)/2))/(LN(2)/2)*V80*Y80*VLOOKUP('Données projet'!$B$9,Paramètres!$A$1:$I$89,3,0)*0.475*44/12</f>
        <v>9.2788656001000292E-7</v>
      </c>
      <c r="AC80" s="24">
        <f t="shared" si="57"/>
        <v>6.050240314549443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180.20749454145079</v>
      </c>
      <c r="AO80" s="62">
        <f t="shared" si="90"/>
        <v>307.23455947678775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7.9192303063501983</v>
      </c>
      <c r="AW80" s="23">
        <f>EXP(-LN(2)/2)*AW79+(1-EXP(-LN(2)/2))/(LN(2)/2)*AQ80*AT80*VLOOKUP('Données projet'!$B$10,Paramètres!$A$1:$I$89,3,0)*0.475*44/12</f>
        <v>2.5022733577529987E-6</v>
      </c>
      <c r="AX80" s="23">
        <f t="shared" si="60"/>
        <v>7.9192328086235557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</v>
      </c>
      <c r="BD80" s="13">
        <f>IF('Données projet'!$A$88&gt;35,BD79+BC80-BL79,IF(A80&lt;'Données projet'!$A$88,$BA$205^A80,IF(A80='Données projet'!$A$88,'Données projet'!$B$88,BD79+BC80-BL79)))</f>
        <v>267.00000000000023</v>
      </c>
      <c r="BE80" s="14">
        <f>BD80*VLOOKUP('Données projet'!$B$11,Paramètres!$A$1:$I$89,3,0)*VLOOKUP('Données projet'!$B$11,Paramètres!$A$1:$I$89,5,0)</f>
        <v>212.42520000000022</v>
      </c>
      <c r="BF80" s="14">
        <f t="shared" si="91"/>
        <v>52.465198231787234</v>
      </c>
      <c r="BG80" s="22">
        <f t="shared" si="61"/>
        <v>461.35077692036316</v>
      </c>
      <c r="BH80" s="62">
        <f t="shared" si="62"/>
        <v>754.68411025369642</v>
      </c>
      <c r="BI80" s="62">
        <f ca="1">AVERAGE(OFFSET($BH$3,0,0,'Données projet'!$E$11+1,1))-AVERAGE(OFFSET($H$3,0,0,'Données projet'!$E$11+1,1))</f>
        <v>219.61164494001008</v>
      </c>
      <c r="BJ80" s="62">
        <f t="shared" si="92"/>
        <v>219.59799863414111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1.1368683772161603E-13</v>
      </c>
      <c r="BZ80" s="14">
        <f>BY80*VLOOKUP('Données projet'!$B$12,Paramètres!$A$1:$I$89,3,0)*VLOOKUP('Données projet'!$B$12,Paramètres!$A$1:$I$89,5,0)</f>
        <v>8.8675733422860506E-14</v>
      </c>
      <c r="CA80" s="14">
        <f t="shared" si="93"/>
        <v>1.3509285393066301E-12</v>
      </c>
      <c r="CB80" s="22">
        <f t="shared" si="64"/>
        <v>2.5073107750038623E-12</v>
      </c>
      <c r="CC80" s="62">
        <f t="shared" si="65"/>
        <v>293.33333333333582</v>
      </c>
      <c r="CD80" s="62">
        <f ca="1">AVERAGE(OFFSET($CC$3,0,0,'Données projet'!$E$12+1,1))-AVERAGE(OFFSET($H$3,0,0,'Données projet'!$E$12+1,1))</f>
        <v>220.70608186257931</v>
      </c>
      <c r="CE80" s="62">
        <f t="shared" si="94"/>
        <v>208.79744153433245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6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9">
        <f t="shared" si="56"/>
        <v>389.59537847293694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-3.4106051316484809E-13</v>
      </c>
      <c r="O81" s="14">
        <f>N81*VLOOKUP('Données projet'!$B$9,Paramètres!$A$1:$I$89,3,0)*VLOOKUP('Données projet'!$B$9,Paramètres!$A$1:$I$89,5,0)</f>
        <v>-1.9065282685915009E-13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302.20483575440988</v>
      </c>
      <c r="T81" s="62">
        <f t="shared" si="88"/>
        <v>275.32862097158687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5.8847952724663255</v>
      </c>
      <c r="AB81" s="23">
        <f>EXP(-LN(2)/2)*AB80+(1-EXP(-LN(2)/2))/(LN(2)/2)*V81*Y81*VLOOKUP('Données projet'!$B$9,Paramètres!$A$1:$I$89,3,0)*0.475*44/12</f>
        <v>6.5611487875493148E-7</v>
      </c>
      <c r="AC81" s="24">
        <f t="shared" si="57"/>
        <v>5.8847959285812044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180.20749454145079</v>
      </c>
      <c r="AO81" s="62">
        <f t="shared" si="90"/>
        <v>307.23455947678775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7.70267853716883</v>
      </c>
      <c r="AW81" s="23">
        <f>EXP(-LN(2)/2)*AW80+(1-EXP(-LN(2)/2))/(LN(2)/2)*AQ81*AT81*VLOOKUP('Données projet'!$B$10,Paramètres!$A$1:$I$89,3,0)*0.475*44/12</f>
        <v>1.7693744596495772E-6</v>
      </c>
      <c r="AX81" s="23">
        <f t="shared" si="60"/>
        <v>7.7026803065432894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</v>
      </c>
      <c r="BD81" s="13">
        <f>IF('Données projet'!$A$88&gt;35,BD80+BC81-BL80,IF(A81&lt;'Données projet'!$A$88,$BA$205^A81,IF(A81='Données projet'!$A$88,'Données projet'!$B$88,BD80+BC81-BL80)))</f>
        <v>270.00000000000023</v>
      </c>
      <c r="BE81" s="14">
        <f>BD81*VLOOKUP('Données projet'!$B$11,Paramètres!$A$1:$I$89,3,0)*VLOOKUP('Données projet'!$B$11,Paramètres!$A$1:$I$89,5,0)</f>
        <v>214.81200000000021</v>
      </c>
      <c r="BF81" s="14">
        <f t="shared" si="91"/>
        <v>52.985738231738104</v>
      </c>
      <c r="BG81" s="22">
        <f t="shared" si="61"/>
        <v>466.41439408694424</v>
      </c>
      <c r="BH81" s="62">
        <f t="shared" si="62"/>
        <v>759.74772742027756</v>
      </c>
      <c r="BI81" s="62">
        <f ca="1">AVERAGE(OFFSET($BH$3,0,0,'Données projet'!$E$11+1,1))-AVERAGE(OFFSET($H$3,0,0,'Données projet'!$E$11+1,1))</f>
        <v>219.61164494001008</v>
      </c>
      <c r="BJ81" s="62">
        <f t="shared" si="92"/>
        <v>219.59799863414111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1.1368683772161603E-13</v>
      </c>
      <c r="BZ81" s="14">
        <f>BY81*VLOOKUP('Données projet'!$B$12,Paramètres!$A$1:$I$89,3,0)*VLOOKUP('Données projet'!$B$12,Paramètres!$A$1:$I$89,5,0)</f>
        <v>8.8675733422860506E-14</v>
      </c>
      <c r="CA81" s="14">
        <f t="shared" si="93"/>
        <v>1.3509285393066301E-12</v>
      </c>
      <c r="CB81" s="22">
        <f t="shared" si="64"/>
        <v>2.5073107750038623E-12</v>
      </c>
      <c r="CC81" s="62">
        <f t="shared" si="65"/>
        <v>293.33333333333582</v>
      </c>
      <c r="CD81" s="62">
        <f ca="1">AVERAGE(OFFSET($CC$3,0,0,'Données projet'!$E$12+1,1))-AVERAGE(OFFSET($H$3,0,0,'Données projet'!$E$12+1,1))</f>
        <v>220.70608186257931</v>
      </c>
      <c r="CE81" s="62">
        <f t="shared" si="94"/>
        <v>208.79744153433245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6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9">
        <f t="shared" si="56"/>
        <v>390.79635943087231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-3.4106051316484809E-13</v>
      </c>
      <c r="O82" s="14">
        <f>N82*VLOOKUP('Données projet'!$B$9,Paramètres!$A$1:$I$89,3,0)*VLOOKUP('Données projet'!$B$9,Paramètres!$A$1:$I$89,5,0)</f>
        <v>-1.9065282685915009E-13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302.20483575440988</v>
      </c>
      <c r="T82" s="62">
        <f t="shared" si="88"/>
        <v>275.32862097158687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5.7238752362728</v>
      </c>
      <c r="AB82" s="23">
        <f>EXP(-LN(2)/2)*AB81+(1-EXP(-LN(2)/2))/(LN(2)/2)*V82*Y82*VLOOKUP('Données projet'!$B$9,Paramètres!$A$1:$I$89,3,0)*0.475*44/12</f>
        <v>4.6394328000500152E-7</v>
      </c>
      <c r="AC82" s="24">
        <f t="shared" si="57"/>
        <v>5.7238757002160803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180.20749454145079</v>
      </c>
      <c r="AO82" s="62">
        <f t="shared" si="90"/>
        <v>307.23455947678775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7.4920483875036892</v>
      </c>
      <c r="AW82" s="23">
        <f>EXP(-LN(2)/2)*AW81+(1-EXP(-LN(2)/2))/(LN(2)/2)*AQ82*AT82*VLOOKUP('Données projet'!$B$10,Paramètres!$A$1:$I$89,3,0)*0.475*44/12</f>
        <v>1.2511366788764994E-6</v>
      </c>
      <c r="AX82" s="23">
        <f t="shared" si="60"/>
        <v>7.4920496386403679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</v>
      </c>
      <c r="BD82" s="13">
        <f>IF('Données projet'!$A$88&gt;35,BD81+BC82-BL81,IF(A82&lt;'Données projet'!$A$88,$BA$205^A82,IF(A82='Données projet'!$A$88,'Données projet'!$B$88,BD81+BC82-BL81)))</f>
        <v>273.00000000000023</v>
      </c>
      <c r="BE82" s="14">
        <f>BD82*VLOOKUP('Données projet'!$B$11,Paramètres!$A$1:$I$89,3,0)*VLOOKUP('Données projet'!$B$11,Paramètres!$A$1:$I$89,5,0)</f>
        <v>217.1988000000002</v>
      </c>
      <c r="BF82" s="14">
        <f t="shared" si="91"/>
        <v>53.505605420484088</v>
      </c>
      <c r="BG82" s="22">
        <f t="shared" si="61"/>
        <v>471.47683944067677</v>
      </c>
      <c r="BH82" s="62">
        <f t="shared" si="62"/>
        <v>764.81017277401008</v>
      </c>
      <c r="BI82" s="62">
        <f ca="1">AVERAGE(OFFSET($BH$3,0,0,'Données projet'!$E$11+1,1))-AVERAGE(OFFSET($H$3,0,0,'Données projet'!$E$11+1,1))</f>
        <v>219.61164494001008</v>
      </c>
      <c r="BJ82" s="62">
        <f t="shared" si="92"/>
        <v>219.59799863414111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1.1368683772161603E-13</v>
      </c>
      <c r="BZ82" s="14">
        <f>BY82*VLOOKUP('Données projet'!$B$12,Paramètres!$A$1:$I$89,3,0)*VLOOKUP('Données projet'!$B$12,Paramètres!$A$1:$I$89,5,0)</f>
        <v>8.8675733422860506E-14</v>
      </c>
      <c r="CA82" s="14">
        <f t="shared" si="93"/>
        <v>1.3509285393066301E-12</v>
      </c>
      <c r="CB82" s="22">
        <f t="shared" si="64"/>
        <v>2.5073107750038623E-12</v>
      </c>
      <c r="CC82" s="62">
        <f t="shared" si="65"/>
        <v>293.33333333333582</v>
      </c>
      <c r="CD82" s="62">
        <f ca="1">AVERAGE(OFFSET($CC$3,0,0,'Données projet'!$E$12+1,1))-AVERAGE(OFFSET($H$3,0,0,'Données projet'!$E$12+1,1))</f>
        <v>220.70608186257931</v>
      </c>
      <c r="CE82" s="62">
        <f t="shared" si="94"/>
        <v>208.79744153433245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6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9">
        <f t="shared" si="56"/>
        <v>391.99697224963751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-3.4106051316484809E-13</v>
      </c>
      <c r="O83" s="14">
        <f>N83*VLOOKUP('Données projet'!$B$9,Paramètres!$A$1:$I$89,3,0)*VLOOKUP('Données projet'!$B$9,Paramètres!$A$1:$I$89,5,0)</f>
        <v>-1.9065282685915009E-13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302.20483575440988</v>
      </c>
      <c r="T83" s="62">
        <f t="shared" si="88"/>
        <v>275.32862097158687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5.5673555669314041</v>
      </c>
      <c r="AB83" s="23">
        <f>EXP(-LN(2)/2)*AB82+(1-EXP(-LN(2)/2))/(LN(2)/2)*V83*Y83*VLOOKUP('Données projet'!$B$9,Paramètres!$A$1:$I$89,3,0)*0.475*44/12</f>
        <v>3.280574393774658E-7</v>
      </c>
      <c r="AC83" s="24">
        <f t="shared" si="57"/>
        <v>5.5673558949888431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180.20749454145079</v>
      </c>
      <c r="AO83" s="62">
        <f t="shared" si="90"/>
        <v>307.23455947678775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7.2871779303576991</v>
      </c>
      <c r="AW83" s="23">
        <f>EXP(-LN(2)/2)*AW82+(1-EXP(-LN(2)/2))/(LN(2)/2)*AQ83*AT83*VLOOKUP('Données projet'!$B$10,Paramètres!$A$1:$I$89,3,0)*0.475*44/12</f>
        <v>8.8468722982478861E-7</v>
      </c>
      <c r="AX83" s="23">
        <f t="shared" si="60"/>
        <v>7.2871788150449293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276</v>
      </c>
      <c r="BB83" s="13">
        <f>VLOOKUP(A83,'Données projet'!$A$87:$I$107,9,0)</f>
        <v>3</v>
      </c>
      <c r="BC83" s="13">
        <f t="array" ref="BC83">INDEX(BB:BB,MIN(IF(ISNUMBER(BB83:BB279),ROW(BB83:BB279),"")))</f>
        <v>3</v>
      </c>
      <c r="BD83" s="13">
        <f>IF('Données projet'!$A$88&gt;35,BD82+BC83-BL82,IF(A83&lt;'Données projet'!$A$88,$BA$205^A83,IF(A83='Données projet'!$A$88,'Données projet'!$B$88,BD82+BC83-BL82)))</f>
        <v>276.00000000000023</v>
      </c>
      <c r="BE83" s="14">
        <f>BD83*VLOOKUP('Données projet'!$B$11,Paramètres!$A$1:$I$89,3,0)*VLOOKUP('Données projet'!$B$11,Paramètres!$A$1:$I$89,5,0)</f>
        <v>219.58560000000017</v>
      </c>
      <c r="BF83" s="14">
        <f t="shared" si="91"/>
        <v>54.024808047218592</v>
      </c>
      <c r="BG83" s="22">
        <f t="shared" si="61"/>
        <v>476.5381273489059</v>
      </c>
      <c r="BH83" s="62">
        <f t="shared" si="62"/>
        <v>769.87146068223922</v>
      </c>
      <c r="BI83" s="62">
        <f ca="1">AVERAGE(OFFSET($BH$3,0,0,'Données projet'!$E$11+1,1))-AVERAGE(OFFSET($H$3,0,0,'Données projet'!$E$11+1,1))</f>
        <v>219.61164494001008</v>
      </c>
      <c r="BJ83" s="62">
        <f t="shared" si="92"/>
        <v>219.59799863414111</v>
      </c>
      <c r="BK83" s="16">
        <f>IF(ISNA(VLOOKUP(A83,'Données projet'!$A$87:$I$107,3,0)),0,VLOOKUP(A83,'Données projet'!$A$87:$I$107,3,0))</f>
        <v>8</v>
      </c>
      <c r="BL83" s="23">
        <f>IF(ISNA(VLOOKUP(A83,'Données projet'!$A$87:$I$107,4,0)),0,VLOOKUP(A83,'Données projet'!$A$87:$I$107,4,0))</f>
        <v>276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1.1368683772161603E-13</v>
      </c>
      <c r="BZ83" s="14">
        <f>BY83*VLOOKUP('Données projet'!$B$12,Paramètres!$A$1:$I$89,3,0)*VLOOKUP('Données projet'!$B$12,Paramètres!$A$1:$I$89,5,0)</f>
        <v>8.8675733422860506E-14</v>
      </c>
      <c r="CA83" s="14">
        <f t="shared" si="93"/>
        <v>1.3509285393066301E-12</v>
      </c>
      <c r="CB83" s="22">
        <f t="shared" si="64"/>
        <v>2.5073107750038623E-12</v>
      </c>
      <c r="CC83" s="62">
        <f t="shared" si="65"/>
        <v>293.33333333333582</v>
      </c>
      <c r="CD83" s="62">
        <f ca="1">AVERAGE(OFFSET($CC$3,0,0,'Données projet'!$E$12+1,1))-AVERAGE(OFFSET($H$3,0,0,'Données projet'!$E$12+1,1))</f>
        <v>220.70608186257931</v>
      </c>
      <c r="CE83" s="62">
        <f t="shared" si="94"/>
        <v>208.79744153433245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6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9">
        <f t="shared" si="56"/>
        <v>393.19722206314799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-3.4106051316484809E-13</v>
      </c>
      <c r="O84" s="14">
        <f>N84*VLOOKUP('Données projet'!$B$9,Paramètres!$A$1:$I$89,3,0)*VLOOKUP('Données projet'!$B$9,Paramètres!$A$1:$I$89,5,0)</f>
        <v>-1.9065282685915009E-13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302.20483575440988</v>
      </c>
      <c r="T84" s="62">
        <f t="shared" si="88"/>
        <v>275.32862097158687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5.4151159361791601</v>
      </c>
      <c r="AB84" s="23">
        <f>EXP(-LN(2)/2)*AB83+(1-EXP(-LN(2)/2))/(LN(2)/2)*V84*Y84*VLOOKUP('Données projet'!$B$9,Paramètres!$A$1:$I$89,3,0)*0.475*44/12</f>
        <v>2.3197164000250081E-7</v>
      </c>
      <c r="AC84" s="24">
        <f t="shared" si="57"/>
        <v>5.4151161681508002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180.20749454145079</v>
      </c>
      <c r="AO84" s="62">
        <f t="shared" si="90"/>
        <v>307.23455947678775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7.0879096666360359</v>
      </c>
      <c r="AW84" s="23">
        <f>EXP(-LN(2)/2)*AW83+(1-EXP(-LN(2)/2))/(LN(2)/2)*AQ84*AT84*VLOOKUP('Données projet'!$B$10,Paramètres!$A$1:$I$89,3,0)*0.475*44/12</f>
        <v>6.2556833943824968E-7</v>
      </c>
      <c r="AX84" s="23">
        <f t="shared" si="60"/>
        <v>7.0879102922043753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2.2737367544323206E-13</v>
      </c>
      <c r="BE84" s="14">
        <f>BD84*VLOOKUP('Données projet'!$B$11,Paramètres!$A$1:$I$89,3,0)*VLOOKUP('Données projet'!$B$11,Paramètres!$A$1:$I$89,5,0)</f>
        <v>1.8089849618263545E-13</v>
      </c>
      <c r="BF84" s="14">
        <f t="shared" si="91"/>
        <v>2.536422473342444E-12</v>
      </c>
      <c r="BG84" s="22">
        <f t="shared" si="61"/>
        <v>4.7326673552561798E-12</v>
      </c>
      <c r="BH84" s="62">
        <f t="shared" si="62"/>
        <v>293.33333333333803</v>
      </c>
      <c r="BI84" s="62">
        <f ca="1">AVERAGE(OFFSET($BH$3,0,0,'Données projet'!$E$11+1,1))-AVERAGE(OFFSET($H$3,0,0,'Données projet'!$E$11+1,1))</f>
        <v>219.61164494001008</v>
      </c>
      <c r="BJ84" s="62">
        <f t="shared" si="92"/>
        <v>219.59799863414111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1.1368683772161603E-13</v>
      </c>
      <c r="BZ84" s="14">
        <f>BY84*VLOOKUP('Données projet'!$B$12,Paramètres!$A$1:$I$89,3,0)*VLOOKUP('Données projet'!$B$12,Paramètres!$A$1:$I$89,5,0)</f>
        <v>8.8675733422860506E-14</v>
      </c>
      <c r="CA84" s="14">
        <f t="shared" si="93"/>
        <v>1.3509285393066301E-12</v>
      </c>
      <c r="CB84" s="22">
        <f t="shared" si="64"/>
        <v>2.5073107750038623E-12</v>
      </c>
      <c r="CC84" s="62">
        <f t="shared" si="65"/>
        <v>293.33333333333582</v>
      </c>
      <c r="CD84" s="62">
        <f ca="1">AVERAGE(OFFSET($CC$3,0,0,'Données projet'!$E$12+1,1))-AVERAGE(OFFSET($H$3,0,0,'Données projet'!$E$12+1,1))</f>
        <v>220.70608186257931</v>
      </c>
      <c r="CE84" s="62">
        <f t="shared" si="94"/>
        <v>208.79744153433245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6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9">
        <f t="shared" si="56"/>
        <v>394.39711387126425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-3.4106051316484809E-13</v>
      </c>
      <c r="O85" s="14">
        <f>N85*VLOOKUP('Données projet'!$B$9,Paramètres!$A$1:$I$89,3,0)*VLOOKUP('Données projet'!$B$9,Paramètres!$A$1:$I$89,5,0)</f>
        <v>-1.9065282685915009E-13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302.20483575440988</v>
      </c>
      <c r="T85" s="62">
        <f t="shared" si="88"/>
        <v>275.32862097158687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5.2670393061357705</v>
      </c>
      <c r="AB85" s="23">
        <f>EXP(-LN(2)/2)*AB84+(1-EXP(-LN(2)/2))/(LN(2)/2)*V85*Y85*VLOOKUP('Données projet'!$B$9,Paramètres!$A$1:$I$89,3,0)*0.475*44/12</f>
        <v>1.6402871968873292E-7</v>
      </c>
      <c r="AC85" s="24">
        <f t="shared" si="57"/>
        <v>5.26703947016449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180.20749454145079</v>
      </c>
      <c r="AO85" s="62">
        <f t="shared" si="90"/>
        <v>307.23455947678775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6.8940904040649036</v>
      </c>
      <c r="AW85" s="23">
        <f>EXP(-LN(2)/2)*AW84+(1-EXP(-LN(2)/2))/(LN(2)/2)*AQ85*AT85*VLOOKUP('Données projet'!$B$10,Paramètres!$A$1:$I$89,3,0)*0.475*44/12</f>
        <v>4.4234361491239431E-7</v>
      </c>
      <c r="AX85" s="23">
        <f t="shared" si="60"/>
        <v>6.8940908464085187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2.2737367544323206E-13</v>
      </c>
      <c r="BE85" s="14">
        <f>BD85*VLOOKUP('Données projet'!$B$11,Paramètres!$A$1:$I$89,3,0)*VLOOKUP('Données projet'!$B$11,Paramètres!$A$1:$I$89,5,0)</f>
        <v>1.8089849618263545E-13</v>
      </c>
      <c r="BF85" s="14">
        <f t="shared" si="91"/>
        <v>2.536422473342444E-12</v>
      </c>
      <c r="BG85" s="22">
        <f t="shared" si="61"/>
        <v>4.7326673552561798E-12</v>
      </c>
      <c r="BH85" s="62">
        <f t="shared" si="62"/>
        <v>293.33333333333803</v>
      </c>
      <c r="BI85" s="62">
        <f ca="1">AVERAGE(OFFSET($BH$3,0,0,'Données projet'!$E$11+1,1))-AVERAGE(OFFSET($H$3,0,0,'Données projet'!$E$11+1,1))</f>
        <v>219.61164494001008</v>
      </c>
      <c r="BJ85" s="62">
        <f t="shared" si="92"/>
        <v>219.59799863414111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1.1368683772161603E-13</v>
      </c>
      <c r="BZ85" s="14">
        <f>BY85*VLOOKUP('Données projet'!$B$12,Paramètres!$A$1:$I$89,3,0)*VLOOKUP('Données projet'!$B$12,Paramètres!$A$1:$I$89,5,0)</f>
        <v>8.8675733422860506E-14</v>
      </c>
      <c r="CA85" s="14">
        <f t="shared" si="93"/>
        <v>1.3509285393066301E-12</v>
      </c>
      <c r="CB85" s="22">
        <f t="shared" si="64"/>
        <v>2.5073107750038623E-12</v>
      </c>
      <c r="CC85" s="62">
        <f t="shared" si="65"/>
        <v>293.33333333333582</v>
      </c>
      <c r="CD85" s="62">
        <f ca="1">AVERAGE(OFFSET($CC$3,0,0,'Données projet'!$E$12+1,1))-AVERAGE(OFFSET($H$3,0,0,'Données projet'!$E$12+1,1))</f>
        <v>220.70608186257931</v>
      </c>
      <c r="CE85" s="62">
        <f t="shared" si="94"/>
        <v>208.79744153433245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6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9">
        <f t="shared" si="56"/>
        <v>395.59665254488391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-3.4106051316484809E-13</v>
      </c>
      <c r="O86" s="14">
        <f>N86*VLOOKUP('Données projet'!$B$9,Paramètres!$A$1:$I$89,3,0)*VLOOKUP('Données projet'!$B$9,Paramètres!$A$1:$I$89,5,0)</f>
        <v>-1.9065282685915009E-13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302.20483575440988</v>
      </c>
      <c r="T86" s="62">
        <f t="shared" si="88"/>
        <v>275.32862097158687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5.1230118393279289</v>
      </c>
      <c r="AB86" s="23">
        <f>EXP(-LN(2)/2)*AB85+(1-EXP(-LN(2)/2))/(LN(2)/2)*V86*Y86*VLOOKUP('Données projet'!$B$9,Paramètres!$A$1:$I$89,3,0)*0.475*44/12</f>
        <v>1.1598582000125042E-7</v>
      </c>
      <c r="AC86" s="24">
        <f t="shared" si="57"/>
        <v>5.123011955313749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180.20749454145079</v>
      </c>
      <c r="AO86" s="62">
        <f t="shared" si="90"/>
        <v>307.23455947678775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6.7055711394212913</v>
      </c>
      <c r="AW86" s="23">
        <f>EXP(-LN(2)/2)*AW85+(1-EXP(-LN(2)/2))/(LN(2)/2)*AQ86*AT86*VLOOKUP('Données projet'!$B$10,Paramètres!$A$1:$I$89,3,0)*0.475*44/12</f>
        <v>3.1278416971912484E-7</v>
      </c>
      <c r="AX86" s="23">
        <f t="shared" si="60"/>
        <v>6.7055714522054615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2.2737367544323206E-13</v>
      </c>
      <c r="BE86" s="14">
        <f>BD86*VLOOKUP('Données projet'!$B$11,Paramètres!$A$1:$I$89,3,0)*VLOOKUP('Données projet'!$B$11,Paramètres!$A$1:$I$89,5,0)</f>
        <v>1.8089849618263545E-13</v>
      </c>
      <c r="BF86" s="14">
        <f t="shared" si="91"/>
        <v>2.536422473342444E-12</v>
      </c>
      <c r="BG86" s="22">
        <f t="shared" si="61"/>
        <v>4.7326673552561798E-12</v>
      </c>
      <c r="BH86" s="62">
        <f t="shared" si="62"/>
        <v>293.33333333333803</v>
      </c>
      <c r="BI86" s="62">
        <f ca="1">AVERAGE(OFFSET($BH$3,0,0,'Données projet'!$E$11+1,1))-AVERAGE(OFFSET($H$3,0,0,'Données projet'!$E$11+1,1))</f>
        <v>219.61164494001008</v>
      </c>
      <c r="BJ86" s="62">
        <f t="shared" si="92"/>
        <v>219.59799863414111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1.1368683772161603E-13</v>
      </c>
      <c r="BZ86" s="14">
        <f>BY86*VLOOKUP('Données projet'!$B$12,Paramètres!$A$1:$I$89,3,0)*VLOOKUP('Données projet'!$B$12,Paramètres!$A$1:$I$89,5,0)</f>
        <v>8.8675733422860506E-14</v>
      </c>
      <c r="CA86" s="14">
        <f t="shared" si="93"/>
        <v>1.3509285393066301E-12</v>
      </c>
      <c r="CB86" s="22">
        <f t="shared" si="64"/>
        <v>2.5073107750038623E-12</v>
      </c>
      <c r="CC86" s="62">
        <f t="shared" si="65"/>
        <v>293.33333333333582</v>
      </c>
      <c r="CD86" s="62">
        <f ca="1">AVERAGE(OFFSET($CC$3,0,0,'Données projet'!$E$12+1,1))-AVERAGE(OFFSET($H$3,0,0,'Données projet'!$E$12+1,1))</f>
        <v>220.70608186257931</v>
      </c>
      <c r="CE86" s="62">
        <f t="shared" si="94"/>
        <v>208.79744153433245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6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9">
        <f t="shared" si="56"/>
        <v>396.79584283078037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-3.4106051316484809E-13</v>
      </c>
      <c r="O87" s="14">
        <f>N87*VLOOKUP('Données projet'!$B$9,Paramètres!$A$1:$I$89,3,0)*VLOOKUP('Données projet'!$B$9,Paramètres!$A$1:$I$89,5,0)</f>
        <v>-1.9065282685915009E-13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302.20483575440988</v>
      </c>
      <c r="T87" s="62">
        <f t="shared" si="88"/>
        <v>275.32862097158687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4.9829228111740225</v>
      </c>
      <c r="AB87" s="23">
        <f>EXP(-LN(2)/2)*AB86+(1-EXP(-LN(2)/2))/(LN(2)/2)*V87*Y87*VLOOKUP('Données projet'!$B$9,Paramètres!$A$1:$I$89,3,0)*0.475*44/12</f>
        <v>8.2014359844366475E-8</v>
      </c>
      <c r="AC87" s="24">
        <f t="shared" si="57"/>
        <v>4.9829228931883822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180.20749454145079</v>
      </c>
      <c r="AO87" s="62">
        <f t="shared" si="90"/>
        <v>307.23455947678775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6.5222069439831554</v>
      </c>
      <c r="AW87" s="23">
        <f>EXP(-LN(2)/2)*AW86+(1-EXP(-LN(2)/2))/(LN(2)/2)*AQ87*AT87*VLOOKUP('Données projet'!$B$10,Paramètres!$A$1:$I$89,3,0)*0.475*44/12</f>
        <v>2.2117180745619715E-7</v>
      </c>
      <c r="AX87" s="23">
        <f t="shared" si="60"/>
        <v>6.5222071651549625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2.2737367544323206E-13</v>
      </c>
      <c r="BE87" s="14">
        <f>BD87*VLOOKUP('Données projet'!$B$11,Paramètres!$A$1:$I$89,3,0)*VLOOKUP('Données projet'!$B$11,Paramètres!$A$1:$I$89,5,0)</f>
        <v>1.8089849618263545E-13</v>
      </c>
      <c r="BF87" s="14">
        <f t="shared" si="91"/>
        <v>2.536422473342444E-12</v>
      </c>
      <c r="BG87" s="22">
        <f t="shared" si="61"/>
        <v>4.7326673552561798E-12</v>
      </c>
      <c r="BH87" s="62">
        <f t="shared" si="62"/>
        <v>293.33333333333803</v>
      </c>
      <c r="BI87" s="62">
        <f ca="1">AVERAGE(OFFSET($BH$3,0,0,'Données projet'!$E$11+1,1))-AVERAGE(OFFSET($H$3,0,0,'Données projet'!$E$11+1,1))</f>
        <v>219.61164494001008</v>
      </c>
      <c r="BJ87" s="62">
        <f t="shared" si="92"/>
        <v>219.59799863414111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1.1368683772161603E-13</v>
      </c>
      <c r="BZ87" s="14">
        <f>BY87*VLOOKUP('Données projet'!$B$12,Paramètres!$A$1:$I$89,3,0)*VLOOKUP('Données projet'!$B$12,Paramètres!$A$1:$I$89,5,0)</f>
        <v>8.8675733422860506E-14</v>
      </c>
      <c r="CA87" s="14">
        <f t="shared" si="93"/>
        <v>1.3509285393066301E-12</v>
      </c>
      <c r="CB87" s="22">
        <f t="shared" si="64"/>
        <v>2.5073107750038623E-12</v>
      </c>
      <c r="CC87" s="62">
        <f t="shared" si="65"/>
        <v>293.33333333333582</v>
      </c>
      <c r="CD87" s="62">
        <f ca="1">AVERAGE(OFFSET($CC$3,0,0,'Données projet'!$E$12+1,1))-AVERAGE(OFFSET($H$3,0,0,'Données projet'!$E$12+1,1))</f>
        <v>220.70608186257931</v>
      </c>
      <c r="CE87" s="62">
        <f t="shared" si="94"/>
        <v>208.79744153433245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6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9">
        <f t="shared" si="56"/>
        <v>397.99468935620564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-3.4106051316484809E-13</v>
      </c>
      <c r="O88" s="14">
        <f>N88*VLOOKUP('Données projet'!$B$9,Paramètres!$A$1:$I$89,3,0)*VLOOKUP('Données projet'!$B$9,Paramètres!$A$1:$I$89,5,0)</f>
        <v>-1.9065282685915009E-13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302.20483575440988</v>
      </c>
      <c r="T88" s="62">
        <f t="shared" si="88"/>
        <v>275.32862097158687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4.8466645248619464</v>
      </c>
      <c r="AB88" s="23">
        <f>EXP(-LN(2)/2)*AB87+(1-EXP(-LN(2)/2))/(LN(2)/2)*V88*Y88*VLOOKUP('Données projet'!$B$9,Paramètres!$A$1:$I$89,3,0)*0.475*44/12</f>
        <v>5.7992910000625216E-8</v>
      </c>
      <c r="AC88" s="24">
        <f t="shared" si="57"/>
        <v>4.8466645828548565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180.20749454145079</v>
      </c>
      <c r="AO88" s="62">
        <f t="shared" si="90"/>
        <v>307.23455947678775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6.3438568521119798</v>
      </c>
      <c r="AW88" s="23">
        <f>EXP(-LN(2)/2)*AW87+(1-EXP(-LN(2)/2))/(LN(2)/2)*AQ88*AT88*VLOOKUP('Données projet'!$B$10,Paramètres!$A$1:$I$89,3,0)*0.475*44/12</f>
        <v>1.5639208485956242E-7</v>
      </c>
      <c r="AX88" s="23">
        <f t="shared" si="60"/>
        <v>6.3438570085040649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2.2737367544323206E-13</v>
      </c>
      <c r="BE88" s="14">
        <f>BD88*VLOOKUP('Données projet'!$B$11,Paramètres!$A$1:$I$89,3,0)*VLOOKUP('Données projet'!$B$11,Paramètres!$A$1:$I$89,5,0)</f>
        <v>1.8089849618263545E-13</v>
      </c>
      <c r="BF88" s="14">
        <f t="shared" si="91"/>
        <v>2.536422473342444E-12</v>
      </c>
      <c r="BG88" s="22">
        <f t="shared" si="61"/>
        <v>4.7326673552561798E-12</v>
      </c>
      <c r="BH88" s="62">
        <f t="shared" si="62"/>
        <v>293.33333333333803</v>
      </c>
      <c r="BI88" s="62">
        <f ca="1">AVERAGE(OFFSET($BH$3,0,0,'Données projet'!$E$11+1,1))-AVERAGE(OFFSET($H$3,0,0,'Données projet'!$E$11+1,1))</f>
        <v>219.61164494001008</v>
      </c>
      <c r="BJ88" s="62">
        <f t="shared" si="92"/>
        <v>219.59799863414111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1.1368683772161603E-13</v>
      </c>
      <c r="BZ88" s="14">
        <f>BY88*VLOOKUP('Données projet'!$B$12,Paramètres!$A$1:$I$89,3,0)*VLOOKUP('Données projet'!$B$12,Paramètres!$A$1:$I$89,5,0)</f>
        <v>8.8675733422860506E-14</v>
      </c>
      <c r="CA88" s="14">
        <f t="shared" si="93"/>
        <v>1.3509285393066301E-12</v>
      </c>
      <c r="CB88" s="22">
        <f t="shared" si="64"/>
        <v>2.5073107750038623E-12</v>
      </c>
      <c r="CC88" s="62">
        <f t="shared" si="65"/>
        <v>293.33333333333582</v>
      </c>
      <c r="CD88" s="62">
        <f ca="1">AVERAGE(OFFSET($CC$3,0,0,'Données projet'!$E$12+1,1))-AVERAGE(OFFSET($H$3,0,0,'Données projet'!$E$12+1,1))</f>
        <v>220.70608186257931</v>
      </c>
      <c r="CE88" s="62">
        <f t="shared" si="94"/>
        <v>208.79744153433245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6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9">
        <f t="shared" si="56"/>
        <v>399.19319663326939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-3.4106051316484809E-13</v>
      </c>
      <c r="O89" s="14">
        <f>N89*VLOOKUP('Données projet'!$B$9,Paramètres!$A$1:$I$89,3,0)*VLOOKUP('Données projet'!$B$9,Paramètres!$A$1:$I$89,5,0)</f>
        <v>-1.9065282685915009E-13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302.20483575440988</v>
      </c>
      <c r="T89" s="62">
        <f t="shared" si="88"/>
        <v>275.32862097158687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4.7141322285545861</v>
      </c>
      <c r="AB89" s="23">
        <f>EXP(-LN(2)/2)*AB88+(1-EXP(-LN(2)/2))/(LN(2)/2)*V89*Y89*VLOOKUP('Données projet'!$B$9,Paramètres!$A$1:$I$89,3,0)*0.475*44/12</f>
        <v>4.1007179922183244E-8</v>
      </c>
      <c r="AC89" s="24">
        <f t="shared" si="57"/>
        <v>4.714132269561766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180.20749454145079</v>
      </c>
      <c r="AO89" s="62">
        <f t="shared" si="90"/>
        <v>307.23455947678775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6.1703837528820449</v>
      </c>
      <c r="AW89" s="23">
        <f>EXP(-LN(2)/2)*AW88+(1-EXP(-LN(2)/2))/(LN(2)/2)*AQ89*AT89*VLOOKUP('Données projet'!$B$10,Paramètres!$A$1:$I$89,3,0)*0.475*44/12</f>
        <v>1.1058590372809858E-7</v>
      </c>
      <c r="AX89" s="23">
        <f t="shared" si="60"/>
        <v>6.1703838634679489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2.2737367544323206E-13</v>
      </c>
      <c r="BE89" s="14">
        <f>BD89*VLOOKUP('Données projet'!$B$11,Paramètres!$A$1:$I$89,3,0)*VLOOKUP('Données projet'!$B$11,Paramètres!$A$1:$I$89,5,0)</f>
        <v>1.8089849618263545E-13</v>
      </c>
      <c r="BF89" s="14">
        <f t="shared" si="91"/>
        <v>2.536422473342444E-12</v>
      </c>
      <c r="BG89" s="22">
        <f t="shared" si="61"/>
        <v>4.7326673552561798E-12</v>
      </c>
      <c r="BH89" s="62">
        <f t="shared" si="62"/>
        <v>293.33333333333803</v>
      </c>
      <c r="BI89" s="62">
        <f ca="1">AVERAGE(OFFSET($BH$3,0,0,'Données projet'!$E$11+1,1))-AVERAGE(OFFSET($H$3,0,0,'Données projet'!$E$11+1,1))</f>
        <v>219.61164494001008</v>
      </c>
      <c r="BJ89" s="62">
        <f t="shared" si="92"/>
        <v>219.59799863414111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1.1368683772161603E-13</v>
      </c>
      <c r="BZ89" s="14">
        <f>BY89*VLOOKUP('Données projet'!$B$12,Paramètres!$A$1:$I$89,3,0)*VLOOKUP('Données projet'!$B$12,Paramètres!$A$1:$I$89,5,0)</f>
        <v>8.8675733422860506E-14</v>
      </c>
      <c r="CA89" s="14">
        <f t="shared" si="93"/>
        <v>1.3509285393066301E-12</v>
      </c>
      <c r="CB89" s="22">
        <f t="shared" si="64"/>
        <v>2.5073107750038623E-12</v>
      </c>
      <c r="CC89" s="62">
        <f t="shared" si="65"/>
        <v>293.33333333333582</v>
      </c>
      <c r="CD89" s="62">
        <f ca="1">AVERAGE(OFFSET($CC$3,0,0,'Données projet'!$E$12+1,1))-AVERAGE(OFFSET($H$3,0,0,'Données projet'!$E$12+1,1))</f>
        <v>220.70608186257931</v>
      </c>
      <c r="CE89" s="62">
        <f t="shared" si="94"/>
        <v>208.79744153433245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6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9">
        <f t="shared" si="56"/>
        <v>400.39136906310915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-3.4106051316484809E-13</v>
      </c>
      <c r="O90" s="14">
        <f>N90*VLOOKUP('Données projet'!$B$9,Paramètres!$A$1:$I$89,3,0)*VLOOKUP('Données projet'!$B$9,Paramètres!$A$1:$I$89,5,0)</f>
        <v>-1.9065282685915009E-13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302.20483575440988</v>
      </c>
      <c r="T90" s="62">
        <f t="shared" si="88"/>
        <v>275.32862097158687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4.585224034859321</v>
      </c>
      <c r="AB90" s="23">
        <f>EXP(-LN(2)/2)*AB89+(1-EXP(-LN(2)/2))/(LN(2)/2)*V90*Y90*VLOOKUP('Données projet'!$B$9,Paramètres!$A$1:$I$89,3,0)*0.475*44/12</f>
        <v>2.8996455000312615E-8</v>
      </c>
      <c r="AC90" s="24">
        <f t="shared" si="57"/>
        <v>4.585224063855776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180.20749454145079</v>
      </c>
      <c r="AO90" s="62">
        <f t="shared" si="90"/>
        <v>307.23455947678775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6.0016542846731067</v>
      </c>
      <c r="AW90" s="23">
        <f>EXP(-LN(2)/2)*AW89+(1-EXP(-LN(2)/2))/(LN(2)/2)*AQ90*AT90*VLOOKUP('Données projet'!$B$10,Paramètres!$A$1:$I$89,3,0)*0.475*44/12</f>
        <v>7.819604242978121E-8</v>
      </c>
      <c r="AX90" s="23">
        <f t="shared" si="60"/>
        <v>6.0016543628691492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2.2737367544323206E-13</v>
      </c>
      <c r="BE90" s="14">
        <f>BD90*VLOOKUP('Données projet'!$B$11,Paramètres!$A$1:$I$89,3,0)*VLOOKUP('Données projet'!$B$11,Paramètres!$A$1:$I$89,5,0)</f>
        <v>1.8089849618263545E-13</v>
      </c>
      <c r="BF90" s="14">
        <f t="shared" si="91"/>
        <v>2.536422473342444E-12</v>
      </c>
      <c r="BG90" s="22">
        <f t="shared" si="61"/>
        <v>4.7326673552561798E-12</v>
      </c>
      <c r="BH90" s="62">
        <f t="shared" si="62"/>
        <v>293.33333333333803</v>
      </c>
      <c r="BI90" s="62">
        <f ca="1">AVERAGE(OFFSET($BH$3,0,0,'Données projet'!$E$11+1,1))-AVERAGE(OFFSET($H$3,0,0,'Données projet'!$E$11+1,1))</f>
        <v>219.61164494001008</v>
      </c>
      <c r="BJ90" s="62">
        <f t="shared" si="92"/>
        <v>219.59799863414111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1.1368683772161603E-13</v>
      </c>
      <c r="BZ90" s="14">
        <f>BY90*VLOOKUP('Données projet'!$B$12,Paramètres!$A$1:$I$89,3,0)*VLOOKUP('Données projet'!$B$12,Paramètres!$A$1:$I$89,5,0)</f>
        <v>8.8675733422860506E-14</v>
      </c>
      <c r="CA90" s="14">
        <f t="shared" si="93"/>
        <v>1.3509285393066301E-12</v>
      </c>
      <c r="CB90" s="22">
        <f t="shared" si="64"/>
        <v>2.5073107750038623E-12</v>
      </c>
      <c r="CC90" s="62">
        <f t="shared" si="65"/>
        <v>293.33333333333582</v>
      </c>
      <c r="CD90" s="62">
        <f ca="1">AVERAGE(OFFSET($CC$3,0,0,'Données projet'!$E$12+1,1))-AVERAGE(OFFSET($H$3,0,0,'Données projet'!$E$12+1,1))</f>
        <v>220.70608186257931</v>
      </c>
      <c r="CE90" s="62">
        <f t="shared" si="94"/>
        <v>208.79744153433245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6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9">
        <f t="shared" si="56"/>
        <v>401.58921093986299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-3.4106051316484809E-13</v>
      </c>
      <c r="O91" s="14">
        <f>N91*VLOOKUP('Données projet'!$B$9,Paramètres!$A$1:$I$89,3,0)*VLOOKUP('Données projet'!$B$9,Paramètres!$A$1:$I$89,5,0)</f>
        <v>-1.9065282685915009E-13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302.20483575440988</v>
      </c>
      <c r="T91" s="62">
        <f t="shared" si="88"/>
        <v>275.32862097158687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4.4598408424996405</v>
      </c>
      <c r="AB91" s="23">
        <f>EXP(-LN(2)/2)*AB90+(1-EXP(-LN(2)/2))/(LN(2)/2)*V91*Y91*VLOOKUP('Données projet'!$B$9,Paramètres!$A$1:$I$89,3,0)*0.475*44/12</f>
        <v>2.0503589961091625E-8</v>
      </c>
      <c r="AC91" s="24">
        <f t="shared" si="57"/>
        <v>4.4598408630032305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180.20749454145079</v>
      </c>
      <c r="AO91" s="62">
        <f t="shared" si="90"/>
        <v>307.23455947678775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5.8375387326454389</v>
      </c>
      <c r="AW91" s="23">
        <f>EXP(-LN(2)/2)*AW90+(1-EXP(-LN(2)/2))/(LN(2)/2)*AQ91*AT91*VLOOKUP('Données projet'!$B$10,Paramètres!$A$1:$I$89,3,0)*0.475*44/12</f>
        <v>5.5292951864049288E-8</v>
      </c>
      <c r="AX91" s="23">
        <f t="shared" si="60"/>
        <v>5.8375387879383904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2.2737367544323206E-13</v>
      </c>
      <c r="BE91" s="14">
        <f>BD91*VLOOKUP('Données projet'!$B$11,Paramètres!$A$1:$I$89,3,0)*VLOOKUP('Données projet'!$B$11,Paramètres!$A$1:$I$89,5,0)</f>
        <v>1.8089849618263545E-13</v>
      </c>
      <c r="BF91" s="14">
        <f t="shared" si="91"/>
        <v>2.536422473342444E-12</v>
      </c>
      <c r="BG91" s="22">
        <f t="shared" si="61"/>
        <v>4.7326673552561798E-12</v>
      </c>
      <c r="BH91" s="62">
        <f t="shared" si="62"/>
        <v>293.33333333333803</v>
      </c>
      <c r="BI91" s="62">
        <f ca="1">AVERAGE(OFFSET($BH$3,0,0,'Données projet'!$E$11+1,1))-AVERAGE(OFFSET($H$3,0,0,'Données projet'!$E$11+1,1))</f>
        <v>219.61164494001008</v>
      </c>
      <c r="BJ91" s="62">
        <f t="shared" si="92"/>
        <v>219.59799863414111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1.1368683772161603E-13</v>
      </c>
      <c r="BZ91" s="14">
        <f>BY91*VLOOKUP('Données projet'!$B$12,Paramètres!$A$1:$I$89,3,0)*VLOOKUP('Données projet'!$B$12,Paramètres!$A$1:$I$89,5,0)</f>
        <v>8.8675733422860506E-14</v>
      </c>
      <c r="CA91" s="14">
        <f t="shared" si="93"/>
        <v>1.3509285393066301E-12</v>
      </c>
      <c r="CB91" s="22">
        <f t="shared" si="64"/>
        <v>2.5073107750038623E-12</v>
      </c>
      <c r="CC91" s="62">
        <f t="shared" si="65"/>
        <v>293.33333333333582</v>
      </c>
      <c r="CD91" s="62">
        <f ca="1">AVERAGE(OFFSET($CC$3,0,0,'Données projet'!$E$12+1,1))-AVERAGE(OFFSET($H$3,0,0,'Données projet'!$E$12+1,1))</f>
        <v>220.70608186257931</v>
      </c>
      <c r="CE91" s="62">
        <f t="shared" si="94"/>
        <v>208.79744153433245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6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9">
        <f t="shared" si="56"/>
        <v>402.78672645445664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-3.4106051316484809E-13</v>
      </c>
      <c r="O92" s="14">
        <f>N92*VLOOKUP('Données projet'!$B$9,Paramètres!$A$1:$I$89,3,0)*VLOOKUP('Données projet'!$B$9,Paramètres!$A$1:$I$89,5,0)</f>
        <v>-1.9065282685915009E-13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302.20483575440988</v>
      </c>
      <c r="T92" s="62">
        <f t="shared" si="88"/>
        <v>275.32862097158687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4.3378862601286512</v>
      </c>
      <c r="AB92" s="23">
        <f>EXP(-LN(2)/2)*AB91+(1-EXP(-LN(2)/2))/(LN(2)/2)*V92*Y92*VLOOKUP('Données projet'!$B$9,Paramètres!$A$1:$I$89,3,0)*0.475*44/12</f>
        <v>1.4498227500156309E-8</v>
      </c>
      <c r="AC92" s="24">
        <f t="shared" si="57"/>
        <v>4.3378862746268787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180.20749454145079</v>
      </c>
      <c r="AO92" s="62">
        <f t="shared" si="90"/>
        <v>307.23455947678775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5.6779109290184291</v>
      </c>
      <c r="AW92" s="23">
        <f>EXP(-LN(2)/2)*AW91+(1-EXP(-LN(2)/2))/(LN(2)/2)*AQ92*AT92*VLOOKUP('Données projet'!$B$10,Paramètres!$A$1:$I$89,3,0)*0.475*44/12</f>
        <v>3.9098021214890605E-8</v>
      </c>
      <c r="AX92" s="23">
        <f t="shared" si="60"/>
        <v>5.6779109681164499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2.2737367544323206E-13</v>
      </c>
      <c r="BE92" s="14">
        <f>BD92*VLOOKUP('Données projet'!$B$11,Paramètres!$A$1:$I$89,3,0)*VLOOKUP('Données projet'!$B$11,Paramètres!$A$1:$I$89,5,0)</f>
        <v>1.8089849618263545E-13</v>
      </c>
      <c r="BF92" s="14">
        <f t="shared" si="91"/>
        <v>2.536422473342444E-12</v>
      </c>
      <c r="BG92" s="22">
        <f t="shared" si="61"/>
        <v>4.7326673552561798E-12</v>
      </c>
      <c r="BH92" s="62">
        <f t="shared" si="62"/>
        <v>293.33333333333803</v>
      </c>
      <c r="BI92" s="62">
        <f ca="1">AVERAGE(OFFSET($BH$3,0,0,'Données projet'!$E$11+1,1))-AVERAGE(OFFSET($H$3,0,0,'Données projet'!$E$11+1,1))</f>
        <v>219.61164494001008</v>
      </c>
      <c r="BJ92" s="62">
        <f t="shared" si="92"/>
        <v>219.59799863414111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1.1368683772161603E-13</v>
      </c>
      <c r="BZ92" s="14">
        <f>BY92*VLOOKUP('Données projet'!$B$12,Paramètres!$A$1:$I$89,3,0)*VLOOKUP('Données projet'!$B$12,Paramètres!$A$1:$I$89,5,0)</f>
        <v>8.8675733422860506E-14</v>
      </c>
      <c r="CA92" s="14">
        <f t="shared" si="93"/>
        <v>1.3509285393066301E-12</v>
      </c>
      <c r="CB92" s="22">
        <f t="shared" si="64"/>
        <v>2.5073107750038623E-12</v>
      </c>
      <c r="CC92" s="62">
        <f t="shared" si="65"/>
        <v>293.33333333333582</v>
      </c>
      <c r="CD92" s="62">
        <f ca="1">AVERAGE(OFFSET($CC$3,0,0,'Données projet'!$E$12+1,1))-AVERAGE(OFFSET($H$3,0,0,'Données projet'!$E$12+1,1))</f>
        <v>220.70608186257931</v>
      </c>
      <c r="CE92" s="62">
        <f t="shared" si="94"/>
        <v>208.79744153433245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6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9">
        <f t="shared" si="56"/>
        <v>403.98391969821557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-3.4106051316484809E-13</v>
      </c>
      <c r="O93" s="14">
        <f>N93*VLOOKUP('Données projet'!$B$9,Paramètres!$A$1:$I$89,3,0)*VLOOKUP('Données projet'!$B$9,Paramètres!$A$1:$I$89,5,0)</f>
        <v>-1.9065282685915009E-13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302.20483575440988</v>
      </c>
      <c r="T93" s="62">
        <f t="shared" si="88"/>
        <v>275.32862097158687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4.2192665322259089</v>
      </c>
      <c r="AB93" s="23">
        <f>EXP(-LN(2)/2)*AB92+(1-EXP(-LN(2)/2))/(LN(2)/2)*V93*Y93*VLOOKUP('Données projet'!$B$9,Paramètres!$A$1:$I$89,3,0)*0.475*44/12</f>
        <v>1.0251794980545814E-8</v>
      </c>
      <c r="AC93" s="24">
        <f t="shared" si="57"/>
        <v>4.2192665424777038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180.20749454145079</v>
      </c>
      <c r="AO93" s="62">
        <f t="shared" si="90"/>
        <v>307.23455947678775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5.5226481560760616</v>
      </c>
      <c r="AW93" s="23">
        <f>EXP(-LN(2)/2)*AW92+(1-EXP(-LN(2)/2))/(LN(2)/2)*AQ93*AT93*VLOOKUP('Données projet'!$B$10,Paramètres!$A$1:$I$89,3,0)*0.475*44/12</f>
        <v>2.7646475932024644E-8</v>
      </c>
      <c r="AX93" s="23">
        <f t="shared" si="60"/>
        <v>5.5226481837225379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2.2737367544323206E-13</v>
      </c>
      <c r="BE93" s="14">
        <f>BD93*VLOOKUP('Données projet'!$B$11,Paramètres!$A$1:$I$89,3,0)*VLOOKUP('Données projet'!$B$11,Paramètres!$A$1:$I$89,5,0)</f>
        <v>1.8089849618263545E-13</v>
      </c>
      <c r="BF93" s="14">
        <f t="shared" si="91"/>
        <v>2.536422473342444E-12</v>
      </c>
      <c r="BG93" s="22">
        <f t="shared" si="61"/>
        <v>4.7326673552561798E-12</v>
      </c>
      <c r="BH93" s="62">
        <f t="shared" si="62"/>
        <v>293.33333333333803</v>
      </c>
      <c r="BI93" s="62">
        <f ca="1">AVERAGE(OFFSET($BH$3,0,0,'Données projet'!$E$11+1,1))-AVERAGE(OFFSET($H$3,0,0,'Données projet'!$E$11+1,1))</f>
        <v>219.61164494001008</v>
      </c>
      <c r="BJ93" s="62">
        <f t="shared" si="92"/>
        <v>219.59799863414111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1.1368683772161603E-13</v>
      </c>
      <c r="BZ93" s="14">
        <f>BY93*VLOOKUP('Données projet'!$B$12,Paramètres!$A$1:$I$89,3,0)*VLOOKUP('Données projet'!$B$12,Paramètres!$A$1:$I$89,5,0)</f>
        <v>8.8675733422860506E-14</v>
      </c>
      <c r="CA93" s="14">
        <f t="shared" si="93"/>
        <v>1.3509285393066301E-12</v>
      </c>
      <c r="CB93" s="22">
        <f t="shared" si="64"/>
        <v>2.5073107750038623E-12</v>
      </c>
      <c r="CC93" s="62">
        <f t="shared" si="65"/>
        <v>293.33333333333582</v>
      </c>
      <c r="CD93" s="62">
        <f ca="1">AVERAGE(OFFSET($CC$3,0,0,'Données projet'!$E$12+1,1))-AVERAGE(OFFSET($H$3,0,0,'Données projet'!$E$12+1,1))</f>
        <v>220.70608186257931</v>
      </c>
      <c r="CE93" s="62">
        <f t="shared" si="94"/>
        <v>208.79744153433245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6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9">
        <f t="shared" si="56"/>
        <v>405.18079466631161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projet'!$B$9,Paramètres!$A$1:$I$89,3,0)*VLOOKUP('Données projet'!$B$9,Paramètres!$A$1:$I$89,5,0)</f>
        <v>-1.9065282685915009E-13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302.20483575440988</v>
      </c>
      <c r="T94" s="62">
        <f t="shared" si="88"/>
        <v>275.32862097158687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4.1038904670206078</v>
      </c>
      <c r="AB94" s="23">
        <f>EXP(-LN(2)/2)*AB93+(1-EXP(-LN(2)/2))/(LN(2)/2)*V94*Y94*VLOOKUP('Données projet'!$B$9,Paramètres!$A$1:$I$89,3,0)*0.475*44/12</f>
        <v>7.2491137500781561E-9</v>
      </c>
      <c r="AC94" s="24">
        <f t="shared" si="57"/>
        <v>4.1038904742697211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180.20749454145079</v>
      </c>
      <c r="AO94" s="62">
        <f t="shared" si="90"/>
        <v>307.23455947678775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5.3716310518247177</v>
      </c>
      <c r="AW94" s="23">
        <f>EXP(-LN(2)/2)*AW93+(1-EXP(-LN(2)/2))/(LN(2)/2)*AQ94*AT94*VLOOKUP('Données projet'!$B$10,Paramètres!$A$1:$I$89,3,0)*0.475*44/12</f>
        <v>1.9549010607445302E-8</v>
      </c>
      <c r="AX94" s="23">
        <f t="shared" si="60"/>
        <v>5.3716310713737281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2.2737367544323206E-13</v>
      </c>
      <c r="BE94" s="14">
        <f>BD94*VLOOKUP('Données projet'!$B$11,Paramètres!$A$1:$I$89,3,0)*VLOOKUP('Données projet'!$B$11,Paramètres!$A$1:$I$89,5,0)</f>
        <v>1.8089849618263545E-13</v>
      </c>
      <c r="BF94" s="14">
        <f t="shared" si="91"/>
        <v>2.536422473342444E-12</v>
      </c>
      <c r="BG94" s="22">
        <f t="shared" si="61"/>
        <v>4.7326673552561798E-12</v>
      </c>
      <c r="BH94" s="62">
        <f t="shared" si="62"/>
        <v>293.33333333333803</v>
      </c>
      <c r="BI94" s="62">
        <f ca="1">AVERAGE(OFFSET($BH$3,0,0,'Données projet'!$E$11+1,1))-AVERAGE(OFFSET($H$3,0,0,'Données projet'!$E$11+1,1))</f>
        <v>219.61164494001008</v>
      </c>
      <c r="BJ94" s="62">
        <f t="shared" si="92"/>
        <v>219.59799863414111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1.1368683772161603E-13</v>
      </c>
      <c r="BZ94" s="14">
        <f>BY94*VLOOKUP('Données projet'!$B$12,Paramètres!$A$1:$I$89,3,0)*VLOOKUP('Données projet'!$B$12,Paramètres!$A$1:$I$89,5,0)</f>
        <v>8.8675733422860506E-14</v>
      </c>
      <c r="CA94" s="14">
        <f t="shared" si="93"/>
        <v>1.3509285393066301E-12</v>
      </c>
      <c r="CB94" s="22">
        <f t="shared" si="64"/>
        <v>2.5073107750038623E-12</v>
      </c>
      <c r="CC94" s="62">
        <f t="shared" si="65"/>
        <v>293.33333333333582</v>
      </c>
      <c r="CD94" s="62">
        <f ca="1">AVERAGE(OFFSET($CC$3,0,0,'Données projet'!$E$12+1,1))-AVERAGE(OFFSET($H$3,0,0,'Données projet'!$E$12+1,1))</f>
        <v>220.70608186257931</v>
      </c>
      <c r="CE94" s="62">
        <f t="shared" si="94"/>
        <v>208.79744153433245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6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9">
        <f t="shared" si="56"/>
        <v>406.37735526105428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projet'!$B$9,Paramètres!$A$1:$I$89,3,0)*VLOOKUP('Données projet'!$B$9,Paramètres!$A$1:$I$89,5,0)</f>
        <v>-1.9065282685915009E-13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302.20483575440988</v>
      </c>
      <c r="T95" s="62">
        <f t="shared" si="88"/>
        <v>275.32862097158687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3.9916693663857092</v>
      </c>
      <c r="AB95" s="23">
        <f>EXP(-LN(2)/2)*AB94+(1-EXP(-LN(2)/2))/(LN(2)/2)*V95*Y95*VLOOKUP('Données projet'!$B$9,Paramètres!$A$1:$I$89,3,0)*0.475*44/12</f>
        <v>5.125897490272908E-9</v>
      </c>
      <c r="AC95" s="24">
        <f t="shared" si="57"/>
        <v>3.9916693715116067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180.20749454145079</v>
      </c>
      <c r="AO95" s="62">
        <f t="shared" si="90"/>
        <v>307.23455947678775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5.2247435182307704</v>
      </c>
      <c r="AW95" s="23">
        <f>EXP(-LN(2)/2)*AW94+(1-EXP(-LN(2)/2))/(LN(2)/2)*AQ95*AT95*VLOOKUP('Données projet'!$B$10,Paramètres!$A$1:$I$89,3,0)*0.475*44/12</f>
        <v>1.3823237966012322E-8</v>
      </c>
      <c r="AX95" s="23">
        <f t="shared" si="60"/>
        <v>5.2247435320540081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2.2737367544323206E-13</v>
      </c>
      <c r="BE95" s="14">
        <f>BD95*VLOOKUP('Données projet'!$B$11,Paramètres!$A$1:$I$89,3,0)*VLOOKUP('Données projet'!$B$11,Paramètres!$A$1:$I$89,5,0)</f>
        <v>1.8089849618263545E-13</v>
      </c>
      <c r="BF95" s="14">
        <f t="shared" si="91"/>
        <v>2.536422473342444E-12</v>
      </c>
      <c r="BG95" s="22">
        <f t="shared" si="61"/>
        <v>4.7326673552561798E-12</v>
      </c>
      <c r="BH95" s="62">
        <f t="shared" si="62"/>
        <v>293.33333333333803</v>
      </c>
      <c r="BI95" s="62">
        <f ca="1">AVERAGE(OFFSET($BH$3,0,0,'Données projet'!$E$11+1,1))-AVERAGE(OFFSET($H$3,0,0,'Données projet'!$E$11+1,1))</f>
        <v>219.61164494001008</v>
      </c>
      <c r="BJ95" s="62">
        <f t="shared" si="92"/>
        <v>219.59799863414111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1.1368683772161603E-13</v>
      </c>
      <c r="BZ95" s="14">
        <f>BY95*VLOOKUP('Données projet'!$B$12,Paramètres!$A$1:$I$89,3,0)*VLOOKUP('Données projet'!$B$12,Paramètres!$A$1:$I$89,5,0)</f>
        <v>8.8675733422860506E-14</v>
      </c>
      <c r="CA95" s="14">
        <f t="shared" si="93"/>
        <v>1.3509285393066301E-12</v>
      </c>
      <c r="CB95" s="22">
        <f t="shared" si="64"/>
        <v>2.5073107750038623E-12</v>
      </c>
      <c r="CC95" s="62">
        <f t="shared" si="65"/>
        <v>293.33333333333582</v>
      </c>
      <c r="CD95" s="62">
        <f ca="1">AVERAGE(OFFSET($CC$3,0,0,'Données projet'!$E$12+1,1))-AVERAGE(OFFSET($H$3,0,0,'Données projet'!$E$12+1,1))</f>
        <v>220.70608186257931</v>
      </c>
      <c r="CE95" s="62">
        <f t="shared" si="94"/>
        <v>208.79744153433245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6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9">
        <f t="shared" si="56"/>
        <v>407.57360529503438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projet'!$B$9,Paramètres!$A$1:$I$89,3,0)*VLOOKUP('Données projet'!$B$9,Paramètres!$A$1:$I$89,5,0)</f>
        <v>-1.9065282685915009E-13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302.20483575440988</v>
      </c>
      <c r="T96" s="62">
        <f t="shared" si="88"/>
        <v>275.32862097158687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3.882516957649123</v>
      </c>
      <c r="AB96" s="23">
        <f>EXP(-LN(2)/2)*AB95+(1-EXP(-LN(2)/2))/(LN(2)/2)*V96*Y96*VLOOKUP('Données projet'!$B$9,Paramètres!$A$1:$I$89,3,0)*0.475*44/12</f>
        <v>3.6245568750390785E-9</v>
      </c>
      <c r="AC96" s="24">
        <f t="shared" si="57"/>
        <v>3.8825169612736796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180.20749454145079</v>
      </c>
      <c r="AO96" s="62">
        <f t="shared" si="90"/>
        <v>307.23455947678775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5.0818726319674301</v>
      </c>
      <c r="AW96" s="23">
        <f>EXP(-LN(2)/2)*AW95+(1-EXP(-LN(2)/2))/(LN(2)/2)*AQ96*AT96*VLOOKUP('Données projet'!$B$10,Paramètres!$A$1:$I$89,3,0)*0.475*44/12</f>
        <v>9.7745053037226512E-9</v>
      </c>
      <c r="AX96" s="23">
        <f t="shared" si="60"/>
        <v>5.0818726417419358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2.2737367544323206E-13</v>
      </c>
      <c r="BE96" s="14">
        <f>BD96*VLOOKUP('Données projet'!$B$11,Paramètres!$A$1:$I$89,3,0)*VLOOKUP('Données projet'!$B$11,Paramètres!$A$1:$I$89,5,0)</f>
        <v>1.8089849618263545E-13</v>
      </c>
      <c r="BF96" s="14">
        <f t="shared" si="91"/>
        <v>2.536422473342444E-12</v>
      </c>
      <c r="BG96" s="22">
        <f t="shared" si="61"/>
        <v>4.7326673552561798E-12</v>
      </c>
      <c r="BH96" s="62">
        <f t="shared" si="62"/>
        <v>293.33333333333803</v>
      </c>
      <c r="BI96" s="62">
        <f ca="1">AVERAGE(OFFSET($BH$3,0,0,'Données projet'!$E$11+1,1))-AVERAGE(OFFSET($H$3,0,0,'Données projet'!$E$11+1,1))</f>
        <v>219.61164494001008</v>
      </c>
      <c r="BJ96" s="62">
        <f t="shared" si="92"/>
        <v>219.59799863414111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1.1368683772161603E-13</v>
      </c>
      <c r="BZ96" s="14">
        <f>BY96*VLOOKUP('Données projet'!$B$12,Paramètres!$A$1:$I$89,3,0)*VLOOKUP('Données projet'!$B$12,Paramètres!$A$1:$I$89,5,0)</f>
        <v>8.8675733422860506E-14</v>
      </c>
      <c r="CA96" s="14">
        <f t="shared" si="93"/>
        <v>1.3509285393066301E-12</v>
      </c>
      <c r="CB96" s="22">
        <f t="shared" si="64"/>
        <v>2.5073107750038623E-12</v>
      </c>
      <c r="CC96" s="62">
        <f t="shared" si="65"/>
        <v>293.33333333333582</v>
      </c>
      <c r="CD96" s="62">
        <f ca="1">AVERAGE(OFFSET($CC$3,0,0,'Données projet'!$E$12+1,1))-AVERAGE(OFFSET($H$3,0,0,'Données projet'!$E$12+1,1))</f>
        <v>220.70608186257931</v>
      </c>
      <c r="CE96" s="62">
        <f t="shared" si="94"/>
        <v>208.79744153433245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6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9">
        <f t="shared" si="56"/>
        <v>408.76954849412908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projet'!$B$9,Paramètres!$A$1:$I$89,3,0)*VLOOKUP('Données projet'!$B$9,Paramètres!$A$1:$I$89,5,0)</f>
        <v>-1.9065282685915009E-13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302.20483575440988</v>
      </c>
      <c r="T97" s="62">
        <f t="shared" si="88"/>
        <v>275.32862097158687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3.7763493272695143</v>
      </c>
      <c r="AB97" s="23">
        <f>EXP(-LN(2)/2)*AB96+(1-EXP(-LN(2)/2))/(LN(2)/2)*V97*Y97*VLOOKUP('Données projet'!$B$9,Paramètres!$A$1:$I$89,3,0)*0.475*44/12</f>
        <v>2.5629487451364544E-9</v>
      </c>
      <c r="AC97" s="24">
        <f t="shared" si="57"/>
        <v>3.7763493298324633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180.20749454145079</v>
      </c>
      <c r="AO97" s="62">
        <f t="shared" si="90"/>
        <v>307.23455947678775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4.9429085576022134</v>
      </c>
      <c r="AW97" s="23">
        <f>EXP(-LN(2)/2)*AW96+(1-EXP(-LN(2)/2))/(LN(2)/2)*AQ97*AT97*VLOOKUP('Données projet'!$B$10,Paramètres!$A$1:$I$89,3,0)*0.475*44/12</f>
        <v>6.911618983006161E-9</v>
      </c>
      <c r="AX97" s="23">
        <f t="shared" si="60"/>
        <v>4.9429085645138322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2.2737367544323206E-13</v>
      </c>
      <c r="BE97" s="14">
        <f>BD97*VLOOKUP('Données projet'!$B$11,Paramètres!$A$1:$I$89,3,0)*VLOOKUP('Données projet'!$B$11,Paramètres!$A$1:$I$89,5,0)</f>
        <v>1.8089849618263545E-13</v>
      </c>
      <c r="BF97" s="14">
        <f t="shared" si="91"/>
        <v>2.536422473342444E-12</v>
      </c>
      <c r="BG97" s="22">
        <f t="shared" si="61"/>
        <v>4.7326673552561798E-12</v>
      </c>
      <c r="BH97" s="62">
        <f t="shared" si="62"/>
        <v>293.33333333333803</v>
      </c>
      <c r="BI97" s="62">
        <f ca="1">AVERAGE(OFFSET($BH$3,0,0,'Données projet'!$E$11+1,1))-AVERAGE(OFFSET($H$3,0,0,'Données projet'!$E$11+1,1))</f>
        <v>219.61164494001008</v>
      </c>
      <c r="BJ97" s="62">
        <f t="shared" si="92"/>
        <v>219.59799863414111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1.1368683772161603E-13</v>
      </c>
      <c r="BZ97" s="14">
        <f>BY97*VLOOKUP('Données projet'!$B$12,Paramètres!$A$1:$I$89,3,0)*VLOOKUP('Données projet'!$B$12,Paramètres!$A$1:$I$89,5,0)</f>
        <v>8.8675733422860506E-14</v>
      </c>
      <c r="CA97" s="14">
        <f t="shared" si="93"/>
        <v>1.3509285393066301E-12</v>
      </c>
      <c r="CB97" s="22">
        <f t="shared" si="64"/>
        <v>2.5073107750038623E-12</v>
      </c>
      <c r="CC97" s="62">
        <f t="shared" si="65"/>
        <v>293.33333333333582</v>
      </c>
      <c r="CD97" s="62">
        <f ca="1">AVERAGE(OFFSET($CC$3,0,0,'Données projet'!$E$12+1,1))-AVERAGE(OFFSET($H$3,0,0,'Données projet'!$E$12+1,1))</f>
        <v>220.70608186257931</v>
      </c>
      <c r="CE97" s="62">
        <f t="shared" si="94"/>
        <v>208.79744153433245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6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9">
        <f t="shared" si="56"/>
        <v>409.96518850037501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projet'!$B$9,Paramètres!$A$1:$I$89,3,0)*VLOOKUP('Données projet'!$B$9,Paramètres!$A$1:$I$89,5,0)</f>
        <v>-1.9065282685915009E-13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302.20483575440988</v>
      </c>
      <c r="T98" s="62">
        <f t="shared" si="88"/>
        <v>275.32862097158687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3.6730848563257492</v>
      </c>
      <c r="AB98" s="23">
        <f>EXP(-LN(2)/2)*AB97+(1-EXP(-LN(2)/2))/(LN(2)/2)*V98*Y98*VLOOKUP('Données projet'!$B$9,Paramètres!$A$1:$I$89,3,0)*0.475*44/12</f>
        <v>1.8122784375195396E-9</v>
      </c>
      <c r="AC98" s="24">
        <f t="shared" si="57"/>
        <v>3.6730848581380275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180.20749454145079</v>
      </c>
      <c r="AO98" s="62">
        <f t="shared" si="90"/>
        <v>307.23455947678775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4.8077444631583166</v>
      </c>
      <c r="AW98" s="23">
        <f>EXP(-LN(2)/2)*AW97+(1-EXP(-LN(2)/2))/(LN(2)/2)*AQ98*AT98*VLOOKUP('Données projet'!$B$10,Paramètres!$A$1:$I$89,3,0)*0.475*44/12</f>
        <v>4.8872526518613256E-9</v>
      </c>
      <c r="AX98" s="23">
        <f t="shared" si="60"/>
        <v>4.807744468045569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2.2737367544323206E-13</v>
      </c>
      <c r="BE98" s="14">
        <f>BD98*VLOOKUP('Données projet'!$B$11,Paramètres!$A$1:$I$89,3,0)*VLOOKUP('Données projet'!$B$11,Paramètres!$A$1:$I$89,5,0)</f>
        <v>1.8089849618263545E-13</v>
      </c>
      <c r="BF98" s="14">
        <f t="shared" si="91"/>
        <v>2.536422473342444E-12</v>
      </c>
      <c r="BG98" s="22">
        <f t="shared" si="61"/>
        <v>4.7326673552561798E-12</v>
      </c>
      <c r="BH98" s="62">
        <f t="shared" si="62"/>
        <v>293.33333333333803</v>
      </c>
      <c r="BI98" s="62">
        <f ca="1">AVERAGE(OFFSET($BH$3,0,0,'Données projet'!$E$11+1,1))-AVERAGE(OFFSET($H$3,0,0,'Données projet'!$E$11+1,1))</f>
        <v>219.61164494001008</v>
      </c>
      <c r="BJ98" s="62">
        <f t="shared" si="92"/>
        <v>219.59799863414111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1.1368683772161603E-13</v>
      </c>
      <c r="BZ98" s="14">
        <f>BY98*VLOOKUP('Données projet'!$B$12,Paramètres!$A$1:$I$89,3,0)*VLOOKUP('Données projet'!$B$12,Paramètres!$A$1:$I$89,5,0)</f>
        <v>8.8675733422860506E-14</v>
      </c>
      <c r="CA98" s="14">
        <f t="shared" si="93"/>
        <v>1.3509285393066301E-12</v>
      </c>
      <c r="CB98" s="22">
        <f t="shared" si="64"/>
        <v>2.5073107750038623E-12</v>
      </c>
      <c r="CC98" s="62">
        <f t="shared" si="65"/>
        <v>293.33333333333582</v>
      </c>
      <c r="CD98" s="62">
        <f ca="1">AVERAGE(OFFSET($CC$3,0,0,'Données projet'!$E$12+1,1))-AVERAGE(OFFSET($H$3,0,0,'Données projet'!$E$12+1,1))</f>
        <v>220.70608186257931</v>
      </c>
      <c r="CE98" s="62">
        <f t="shared" si="94"/>
        <v>208.79744153433245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6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9">
        <f t="shared" si="56"/>
        <v>411.1605288747171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projet'!$B$9,Paramètres!$A$1:$I$89,3,0)*VLOOKUP('Données projet'!$B$9,Paramètres!$A$1:$I$89,5,0)</f>
        <v>-1.9065282685915009E-13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302.20483575440988</v>
      </c>
      <c r="T99" s="62">
        <f t="shared" si="88"/>
        <v>275.32862097158687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3.5726441577703838</v>
      </c>
      <c r="AB99" s="23">
        <f>EXP(-LN(2)/2)*AB98+(1-EXP(-LN(2)/2))/(LN(2)/2)*V99*Y99*VLOOKUP('Données projet'!$B$9,Paramètres!$A$1:$I$89,3,0)*0.475*44/12</f>
        <v>1.2814743725682274E-9</v>
      </c>
      <c r="AC99" s="24">
        <f t="shared" si="57"/>
        <v>3.5726441590518583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180.20749454145079</v>
      </c>
      <c r="AO99" s="62">
        <f t="shared" si="90"/>
        <v>307.23455947678775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4.6762764379849591</v>
      </c>
      <c r="AW99" s="23">
        <f>EXP(-LN(2)/2)*AW98+(1-EXP(-LN(2)/2))/(LN(2)/2)*AQ99*AT99*VLOOKUP('Données projet'!$B$10,Paramètres!$A$1:$I$89,3,0)*0.475*44/12</f>
        <v>3.4558094915030805E-9</v>
      </c>
      <c r="AX99" s="23">
        <f t="shared" si="60"/>
        <v>4.6762764414407689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2.2737367544323206E-13</v>
      </c>
      <c r="BE99" s="14">
        <f>BD99*VLOOKUP('Données projet'!$B$11,Paramètres!$A$1:$I$89,3,0)*VLOOKUP('Données projet'!$B$11,Paramètres!$A$1:$I$89,5,0)</f>
        <v>1.8089849618263545E-13</v>
      </c>
      <c r="BF99" s="14">
        <f t="shared" si="91"/>
        <v>2.536422473342444E-12</v>
      </c>
      <c r="BG99" s="22">
        <f t="shared" si="61"/>
        <v>4.7326673552561798E-12</v>
      </c>
      <c r="BH99" s="62">
        <f t="shared" si="62"/>
        <v>293.33333333333803</v>
      </c>
      <c r="BI99" s="62">
        <f ca="1">AVERAGE(OFFSET($BH$3,0,0,'Données projet'!$E$11+1,1))-AVERAGE(OFFSET($H$3,0,0,'Données projet'!$E$11+1,1))</f>
        <v>219.61164494001008</v>
      </c>
      <c r="BJ99" s="62">
        <f t="shared" si="92"/>
        <v>219.59799863414111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1.1368683772161603E-13</v>
      </c>
      <c r="BZ99" s="14">
        <f>BY99*VLOOKUP('Données projet'!$B$12,Paramètres!$A$1:$I$89,3,0)*VLOOKUP('Données projet'!$B$12,Paramètres!$A$1:$I$89,5,0)</f>
        <v>8.8675733422860506E-14</v>
      </c>
      <c r="CA99" s="14">
        <f t="shared" si="93"/>
        <v>1.3509285393066301E-12</v>
      </c>
      <c r="CB99" s="22">
        <f t="shared" si="64"/>
        <v>2.5073107750038623E-12</v>
      </c>
      <c r="CC99" s="62">
        <f t="shared" si="65"/>
        <v>293.33333333333582</v>
      </c>
      <c r="CD99" s="62">
        <f ca="1">AVERAGE(OFFSET($CC$3,0,0,'Données projet'!$E$12+1,1))-AVERAGE(OFFSET($H$3,0,0,'Données projet'!$E$12+1,1))</f>
        <v>220.70608186257931</v>
      </c>
      <c r="CE99" s="62">
        <f t="shared" si="94"/>
        <v>208.79744153433245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6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9">
        <f t="shared" si="56"/>
        <v>412.35557309963951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projet'!$B$9,Paramètres!$A$1:$I$89,3,0)*VLOOKUP('Données projet'!$B$9,Paramètres!$A$1:$I$89,5,0)</f>
        <v>-1.9065282685915009E-13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302.20483575440988</v>
      </c>
      <c r="T100" s="62">
        <f t="shared" si="88"/>
        <v>275.32862097158687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3.4749500153989619</v>
      </c>
      <c r="AB100" s="23">
        <f>EXP(-LN(2)/2)*AB99+(1-EXP(-LN(2)/2))/(LN(2)/2)*V100*Y100*VLOOKUP('Données projet'!$B$9,Paramètres!$A$1:$I$89,3,0)*0.475*44/12</f>
        <v>9.0613921875976993E-10</v>
      </c>
      <c r="AC100" s="24">
        <f t="shared" si="57"/>
        <v>3.474950016305101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180.20749454145079</v>
      </c>
      <c r="AO100" s="62">
        <f t="shared" si="90"/>
        <v>307.23455947678775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4.5484034128735704</v>
      </c>
      <c r="AW100" s="23">
        <f>EXP(-LN(2)/2)*AW99+(1-EXP(-LN(2)/2))/(LN(2)/2)*AQ100*AT100*VLOOKUP('Données projet'!$B$10,Paramètres!$A$1:$I$89,3,0)*0.475*44/12</f>
        <v>2.4436263259306628E-9</v>
      </c>
      <c r="AX100" s="23">
        <f t="shared" si="60"/>
        <v>4.5484034153171971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2.2737367544323206E-13</v>
      </c>
      <c r="BE100" s="14">
        <f>BD100*VLOOKUP('Données projet'!$B$11,Paramètres!$A$1:$I$89,3,0)*VLOOKUP('Données projet'!$B$11,Paramètres!$A$1:$I$89,5,0)</f>
        <v>1.8089849618263545E-13</v>
      </c>
      <c r="BF100" s="14">
        <f t="shared" si="91"/>
        <v>2.536422473342444E-12</v>
      </c>
      <c r="BG100" s="22">
        <f t="shared" si="61"/>
        <v>4.7326673552561798E-12</v>
      </c>
      <c r="BH100" s="62">
        <f t="shared" si="62"/>
        <v>293.33333333333803</v>
      </c>
      <c r="BI100" s="62">
        <f ca="1">AVERAGE(OFFSET($BH$3,0,0,'Données projet'!$E$11+1,1))-AVERAGE(OFFSET($H$3,0,0,'Données projet'!$E$11+1,1))</f>
        <v>219.61164494001008</v>
      </c>
      <c r="BJ100" s="62">
        <f t="shared" si="92"/>
        <v>219.59799863414111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1.1368683772161603E-13</v>
      </c>
      <c r="BZ100" s="14">
        <f>BY100*VLOOKUP('Données projet'!$B$12,Paramètres!$A$1:$I$89,3,0)*VLOOKUP('Données projet'!$B$12,Paramètres!$A$1:$I$89,5,0)</f>
        <v>8.8675733422860506E-14</v>
      </c>
      <c r="CA100" s="14">
        <f t="shared" si="93"/>
        <v>1.3509285393066301E-12</v>
      </c>
      <c r="CB100" s="22">
        <f t="shared" si="64"/>
        <v>2.5073107750038623E-12</v>
      </c>
      <c r="CC100" s="62">
        <f t="shared" si="65"/>
        <v>293.33333333333582</v>
      </c>
      <c r="CD100" s="62">
        <f ca="1">AVERAGE(OFFSET($CC$3,0,0,'Données projet'!$E$12+1,1))-AVERAGE(OFFSET($H$3,0,0,'Données projet'!$E$12+1,1))</f>
        <v>220.70608186257931</v>
      </c>
      <c r="CE100" s="62">
        <f t="shared" si="94"/>
        <v>208.79744153433245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6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9">
        <f t="shared" si="56"/>
        <v>413.55032458168552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projet'!$B$9,Paramètres!$A$1:$I$89,3,0)*VLOOKUP('Données projet'!$B$9,Paramètres!$A$1:$I$89,5,0)</f>
        <v>-1.9065282685915009E-13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302.20483575440988</v>
      </c>
      <c r="T101" s="62">
        <f t="shared" si="88"/>
        <v>275.32862097158687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3.379927324488198</v>
      </c>
      <c r="AB101" s="23">
        <f>EXP(-LN(2)/2)*AB100+(1-EXP(-LN(2)/2))/(LN(2)/2)*V101*Y101*VLOOKUP('Données projet'!$B$9,Paramètres!$A$1:$I$89,3,0)*0.475*44/12</f>
        <v>6.4073718628411381E-10</v>
      </c>
      <c r="AC101" s="24">
        <f t="shared" si="57"/>
        <v>3.3799273251289352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180.20749454145079</v>
      </c>
      <c r="AO101" s="62">
        <f t="shared" si="90"/>
        <v>307.23455947678775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4.4240270823584025</v>
      </c>
      <c r="AW101" s="23">
        <f>EXP(-LN(2)/2)*AW100+(1-EXP(-LN(2)/2))/(LN(2)/2)*AQ101*AT101*VLOOKUP('Données projet'!$B$10,Paramètres!$A$1:$I$89,3,0)*0.475*44/12</f>
        <v>1.7279047457515403E-9</v>
      </c>
      <c r="AX101" s="23">
        <f t="shared" si="60"/>
        <v>4.4240270840863074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2.2737367544323206E-13</v>
      </c>
      <c r="BE101" s="14">
        <f>BD101*VLOOKUP('Données projet'!$B$11,Paramètres!$A$1:$I$89,3,0)*VLOOKUP('Données projet'!$B$11,Paramètres!$A$1:$I$89,5,0)</f>
        <v>1.8089849618263545E-13</v>
      </c>
      <c r="BF101" s="14">
        <f t="shared" si="91"/>
        <v>2.536422473342444E-12</v>
      </c>
      <c r="BG101" s="22">
        <f t="shared" si="61"/>
        <v>4.7326673552561798E-12</v>
      </c>
      <c r="BH101" s="62">
        <f t="shared" si="62"/>
        <v>293.33333333333803</v>
      </c>
      <c r="BI101" s="62">
        <f ca="1">AVERAGE(OFFSET($BH$3,0,0,'Données projet'!$E$11+1,1))-AVERAGE(OFFSET($H$3,0,0,'Données projet'!$E$11+1,1))</f>
        <v>219.61164494001008</v>
      </c>
      <c r="BJ101" s="62">
        <f t="shared" si="92"/>
        <v>219.59799863414111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1.1368683772161603E-13</v>
      </c>
      <c r="BZ101" s="14">
        <f>BY101*VLOOKUP('Données projet'!$B$12,Paramètres!$A$1:$I$89,3,0)*VLOOKUP('Données projet'!$B$12,Paramètres!$A$1:$I$89,5,0)</f>
        <v>8.8675733422860506E-14</v>
      </c>
      <c r="CA101" s="14">
        <f t="shared" si="93"/>
        <v>1.3509285393066301E-12</v>
      </c>
      <c r="CB101" s="22">
        <f t="shared" si="64"/>
        <v>2.5073107750038623E-12</v>
      </c>
      <c r="CC101" s="62">
        <f t="shared" si="65"/>
        <v>293.33333333333582</v>
      </c>
      <c r="CD101" s="62">
        <f ca="1">AVERAGE(OFFSET($CC$3,0,0,'Données projet'!$E$12+1,1))-AVERAGE(OFFSET($H$3,0,0,'Données projet'!$E$12+1,1))</f>
        <v>220.70608186257931</v>
      </c>
      <c r="CE101" s="62">
        <f t="shared" si="94"/>
        <v>208.79744153433245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6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9">
        <f t="shared" si="56"/>
        <v>414.74478665387051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projet'!$B$9,Paramètres!$A$1:$I$89,3,0)*VLOOKUP('Données projet'!$B$9,Paramètres!$A$1:$I$89,5,0)</f>
        <v>-1.9065282685915009E-13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302.20483575440988</v>
      </c>
      <c r="T102" s="62">
        <f t="shared" si="88"/>
        <v>275.32862097158687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3.2875030340574152</v>
      </c>
      <c r="AB102" s="23">
        <f>EXP(-LN(2)/2)*AB101+(1-EXP(-LN(2)/2))/(LN(2)/2)*V102*Y102*VLOOKUP('Données projet'!$B$9,Paramètres!$A$1:$I$89,3,0)*0.475*44/12</f>
        <v>4.5306960937988502E-10</v>
      </c>
      <c r="AC102" s="24">
        <f t="shared" si="57"/>
        <v>3.2875030345104848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180.20749454145079</v>
      </c>
      <c r="AO102" s="62">
        <f t="shared" si="90"/>
        <v>307.23455947678775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4.3030518291418387</v>
      </c>
      <c r="AW102" s="23">
        <f>EXP(-LN(2)/2)*AW101+(1-EXP(-LN(2)/2))/(LN(2)/2)*AQ102*AT102*VLOOKUP('Données projet'!$B$10,Paramètres!$A$1:$I$89,3,0)*0.475*44/12</f>
        <v>1.2218131629653314E-9</v>
      </c>
      <c r="AX102" s="23">
        <f t="shared" si="60"/>
        <v>4.3030518303636516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2.2737367544323206E-13</v>
      </c>
      <c r="BE102" s="14">
        <f>BD102*VLOOKUP('Données projet'!$B$11,Paramètres!$A$1:$I$89,3,0)*VLOOKUP('Données projet'!$B$11,Paramètres!$A$1:$I$89,5,0)</f>
        <v>1.8089849618263545E-13</v>
      </c>
      <c r="BF102" s="14">
        <f t="shared" si="91"/>
        <v>2.536422473342444E-12</v>
      </c>
      <c r="BG102" s="22">
        <f t="shared" si="61"/>
        <v>4.7326673552561798E-12</v>
      </c>
      <c r="BH102" s="62">
        <f t="shared" si="62"/>
        <v>293.33333333333803</v>
      </c>
      <c r="BI102" s="62">
        <f ca="1">AVERAGE(OFFSET($BH$3,0,0,'Données projet'!$E$11+1,1))-AVERAGE(OFFSET($H$3,0,0,'Données projet'!$E$11+1,1))</f>
        <v>219.61164494001008</v>
      </c>
      <c r="BJ102" s="62">
        <f t="shared" si="92"/>
        <v>219.59799863414111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1.1368683772161603E-13</v>
      </c>
      <c r="BZ102" s="14">
        <f>BY102*VLOOKUP('Données projet'!$B$12,Paramètres!$A$1:$I$89,3,0)*VLOOKUP('Données projet'!$B$12,Paramètres!$A$1:$I$89,5,0)</f>
        <v>8.8675733422860506E-14</v>
      </c>
      <c r="CA102" s="14">
        <f t="shared" si="93"/>
        <v>1.3509285393066301E-12</v>
      </c>
      <c r="CB102" s="22">
        <f t="shared" si="64"/>
        <v>2.5073107750038623E-12</v>
      </c>
      <c r="CC102" s="62">
        <f t="shared" si="65"/>
        <v>293.33333333333582</v>
      </c>
      <c r="CD102" s="62">
        <f ca="1">AVERAGE(OFFSET($CC$3,0,0,'Données projet'!$E$12+1,1))-AVERAGE(OFFSET($H$3,0,0,'Données projet'!$E$12+1,1))</f>
        <v>220.70608186257931</v>
      </c>
      <c r="CE102" s="62">
        <f t="shared" si="94"/>
        <v>208.79744153433245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6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9">
        <f t="shared" si="56"/>
        <v>415.93896257799588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projet'!$B$9,Paramètres!$A$1:$I$89,3,0)*VLOOKUP('Données projet'!$B$9,Paramètres!$A$1:$I$89,5,0)</f>
        <v>-1.9065282685915009E-13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302.20483575440988</v>
      </c>
      <c r="T103" s="62">
        <f t="shared" si="88"/>
        <v>275.32862097158687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3.1976060907088444</v>
      </c>
      <c r="AB103" s="23">
        <f>EXP(-LN(2)/2)*AB102+(1-EXP(-LN(2)/2))/(LN(2)/2)*V103*Y103*VLOOKUP('Données projet'!$B$9,Paramètres!$A$1:$I$89,3,0)*0.475*44/12</f>
        <v>3.2036859314205696E-10</v>
      </c>
      <c r="AC103" s="24">
        <f t="shared" si="57"/>
        <v>3.197606091029213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180.20749454145079</v>
      </c>
      <c r="AO103" s="62">
        <f t="shared" si="90"/>
        <v>307.23455947678775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4.1853846505862942</v>
      </c>
      <c r="AW103" s="23">
        <f>EXP(-LN(2)/2)*AW102+(1-EXP(-LN(2)/2))/(LN(2)/2)*AQ103*AT103*VLOOKUP('Données projet'!$B$10,Paramètres!$A$1:$I$89,3,0)*0.475*44/12</f>
        <v>8.6395237287577013E-10</v>
      </c>
      <c r="AX103" s="23">
        <f t="shared" si="60"/>
        <v>4.1853846514502466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2.2737367544323206E-13</v>
      </c>
      <c r="BE103" s="14">
        <f>BD103*VLOOKUP('Données projet'!$B$11,Paramètres!$A$1:$I$89,3,0)*VLOOKUP('Données projet'!$B$11,Paramètres!$A$1:$I$89,5,0)</f>
        <v>1.8089849618263545E-13</v>
      </c>
      <c r="BF103" s="14">
        <f t="shared" si="91"/>
        <v>2.536422473342444E-12</v>
      </c>
      <c r="BG103" s="22">
        <f t="shared" si="61"/>
        <v>4.7326673552561798E-12</v>
      </c>
      <c r="BH103" s="62">
        <f t="shared" si="62"/>
        <v>293.33333333333803</v>
      </c>
      <c r="BI103" s="62">
        <f ca="1">AVERAGE(OFFSET($BH$3,0,0,'Données projet'!$E$11+1,1))-AVERAGE(OFFSET($H$3,0,0,'Données projet'!$E$11+1,1))</f>
        <v>219.61164494001008</v>
      </c>
      <c r="BJ103" s="62">
        <f t="shared" si="92"/>
        <v>219.59799863414111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1.1368683772161603E-13</v>
      </c>
      <c r="BZ103" s="14">
        <f>BY103*VLOOKUP('Données projet'!$B$12,Paramètres!$A$1:$I$89,3,0)*VLOOKUP('Données projet'!$B$12,Paramètres!$A$1:$I$89,5,0)</f>
        <v>8.8675733422860506E-14</v>
      </c>
      <c r="CA103" s="14">
        <f t="shared" si="93"/>
        <v>1.3509285393066301E-12</v>
      </c>
      <c r="CB103" s="22">
        <f t="shared" si="64"/>
        <v>2.5073107750038623E-12</v>
      </c>
      <c r="CC103" s="62">
        <f t="shared" si="65"/>
        <v>293.33333333333582</v>
      </c>
      <c r="CD103" s="62">
        <f ca="1">AVERAGE(OFFSET($CC$3,0,0,'Données projet'!$E$12+1,1))-AVERAGE(OFFSET($H$3,0,0,'Données projet'!$E$12+1,1))</f>
        <v>220.70608186257931</v>
      </c>
      <c r="CE103" s="62">
        <f t="shared" si="94"/>
        <v>208.79744153433245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6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9">
        <f t="shared" si="56"/>
        <v>417.13285554686695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projet'!$B$9,Paramètres!$A$1:$I$89,3,0)*VLOOKUP('Données projet'!$B$9,Paramètres!$A$1:$I$89,5,0)</f>
        <v>-1.9065282685915009E-13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302.20483575440988</v>
      </c>
      <c r="T104" s="62">
        <f t="shared" si="88"/>
        <v>275.32862097158687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3.1101673840036148</v>
      </c>
      <c r="AB104" s="23">
        <f>EXP(-LN(2)/2)*AB103+(1-EXP(-LN(2)/2))/(LN(2)/2)*V104*Y104*VLOOKUP('Données projet'!$B$9,Paramètres!$A$1:$I$89,3,0)*0.475*44/12</f>
        <v>2.2653480468994256E-10</v>
      </c>
      <c r="AC104" s="24">
        <f t="shared" si="57"/>
        <v>3.1101673842301496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180.20749454145079</v>
      </c>
      <c r="AO104" s="62">
        <f t="shared" si="90"/>
        <v>307.23455947678775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4.0709350872161991</v>
      </c>
      <c r="AW104" s="23">
        <f>EXP(-LN(2)/2)*AW103+(1-EXP(-LN(2)/2))/(LN(2)/2)*AQ104*AT104*VLOOKUP('Données projet'!$B$10,Paramètres!$A$1:$I$89,3,0)*0.475*44/12</f>
        <v>6.109065814826657E-10</v>
      </c>
      <c r="AX104" s="23">
        <f t="shared" si="60"/>
        <v>4.070935087827106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2.2737367544323206E-13</v>
      </c>
      <c r="BE104" s="14">
        <f>BD104*VLOOKUP('Données projet'!$B$11,Paramètres!$A$1:$I$89,3,0)*VLOOKUP('Données projet'!$B$11,Paramètres!$A$1:$I$89,5,0)</f>
        <v>1.8089849618263545E-13</v>
      </c>
      <c r="BF104" s="14">
        <f t="shared" si="91"/>
        <v>2.536422473342444E-12</v>
      </c>
      <c r="BG104" s="22">
        <f t="shared" si="61"/>
        <v>4.7326673552561798E-12</v>
      </c>
      <c r="BH104" s="62">
        <f t="shared" si="62"/>
        <v>293.33333333333803</v>
      </c>
      <c r="BI104" s="62">
        <f ca="1">AVERAGE(OFFSET($BH$3,0,0,'Données projet'!$E$11+1,1))-AVERAGE(OFFSET($H$3,0,0,'Données projet'!$E$11+1,1))</f>
        <v>219.61164494001008</v>
      </c>
      <c r="BJ104" s="62">
        <f t="shared" si="92"/>
        <v>219.59799863414111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8.8675733422860506E-14</v>
      </c>
      <c r="CA104" s="14">
        <f t="shared" si="93"/>
        <v>1.3509285393066301E-12</v>
      </c>
      <c r="CB104" s="22">
        <f t="shared" si="64"/>
        <v>2.5073107750038623E-12</v>
      </c>
      <c r="CC104" s="62">
        <f t="shared" si="65"/>
        <v>293.33333333333582</v>
      </c>
      <c r="CD104" s="62">
        <f ca="1">AVERAGE(OFFSET($CC$3,0,0,'Données projet'!$E$12+1,1))-AVERAGE(OFFSET($H$3,0,0,'Données projet'!$E$12+1,1))</f>
        <v>220.70608186257931</v>
      </c>
      <c r="CE104" s="62">
        <f t="shared" si="94"/>
        <v>208.79744153433245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6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9">
        <f t="shared" si="56"/>
        <v>418.32646868642092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projet'!$B$9,Paramètres!$A$1:$I$89,3,0)*VLOOKUP('Données projet'!$B$9,Paramètres!$A$1:$I$89,5,0)</f>
        <v>-1.9065282685915009E-13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302.20483575440988</v>
      </c>
      <c r="T105" s="62">
        <f t="shared" si="88"/>
        <v>275.32862097158687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3.0251196933314417</v>
      </c>
      <c r="AB105" s="23">
        <f>EXP(-LN(2)/2)*AB104+(1-EXP(-LN(2)/2))/(LN(2)/2)*V105*Y105*VLOOKUP('Données projet'!$B$9,Paramètres!$A$1:$I$89,3,0)*0.475*44/12</f>
        <v>1.601842965710285E-10</v>
      </c>
      <c r="AC105" s="24">
        <f t="shared" si="57"/>
        <v>3.025119693491626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180.20749454145079</v>
      </c>
      <c r="AO105" s="62">
        <f t="shared" si="90"/>
        <v>307.23455947678775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3.9596151531751</v>
      </c>
      <c r="AW105" s="23">
        <f>EXP(-LN(2)/2)*AW104+(1-EXP(-LN(2)/2))/(LN(2)/2)*AQ105*AT105*VLOOKUP('Données projet'!$B$10,Paramètres!$A$1:$I$89,3,0)*0.475*44/12</f>
        <v>4.3197618643788507E-10</v>
      </c>
      <c r="AX105" s="23">
        <f t="shared" si="60"/>
        <v>3.9596151536070763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2.2737367544323206E-13</v>
      </c>
      <c r="BE105" s="14">
        <f>BD105*VLOOKUP('Données projet'!$B$11,Paramètres!$A$1:$I$89,3,0)*VLOOKUP('Données projet'!$B$11,Paramètres!$A$1:$I$89,5,0)</f>
        <v>1.8089849618263545E-13</v>
      </c>
      <c r="BF105" s="14">
        <f t="shared" si="91"/>
        <v>2.536422473342444E-12</v>
      </c>
      <c r="BG105" s="22">
        <f t="shared" si="61"/>
        <v>4.7326673552561798E-12</v>
      </c>
      <c r="BH105" s="62">
        <f t="shared" si="62"/>
        <v>293.33333333333803</v>
      </c>
      <c r="BI105" s="62">
        <f ca="1">AVERAGE(OFFSET($BH$3,0,0,'Données projet'!$E$11+1,1))-AVERAGE(OFFSET($H$3,0,0,'Données projet'!$E$11+1,1))</f>
        <v>219.61164494001008</v>
      </c>
      <c r="BJ105" s="62">
        <f t="shared" si="92"/>
        <v>219.59799863414111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8.8675733422860506E-14</v>
      </c>
      <c r="CA105" s="14">
        <f t="shared" si="93"/>
        <v>1.3509285393066301E-12</v>
      </c>
      <c r="CB105" s="22">
        <f t="shared" si="64"/>
        <v>2.5073107750038623E-12</v>
      </c>
      <c r="CC105" s="62">
        <f t="shared" si="65"/>
        <v>293.33333333333582</v>
      </c>
      <c r="CD105" s="62">
        <f ca="1">AVERAGE(OFFSET($CC$3,0,0,'Données projet'!$E$12+1,1))-AVERAGE(OFFSET($H$3,0,0,'Données projet'!$E$12+1,1))</f>
        <v>220.70608186257931</v>
      </c>
      <c r="CE105" s="62">
        <f t="shared" si="94"/>
        <v>208.79744153433245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6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9">
        <f t="shared" si="56"/>
        <v>419.51980505776862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projet'!$B$9,Paramètres!$A$1:$I$89,3,0)*VLOOKUP('Données projet'!$B$9,Paramètres!$A$1:$I$89,5,0)</f>
        <v>-1.9065282685915009E-13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302.20483575440988</v>
      </c>
      <c r="T106" s="62">
        <f t="shared" si="88"/>
        <v>275.32862097158687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2.9423976362331627</v>
      </c>
      <c r="AB106" s="23">
        <f>EXP(-LN(2)/2)*AB105+(1-EXP(-LN(2)/2))/(LN(2)/2)*V106*Y106*VLOOKUP('Données projet'!$B$9,Paramètres!$A$1:$I$89,3,0)*0.475*44/12</f>
        <v>1.1326740234497129E-10</v>
      </c>
      <c r="AC106" s="24">
        <f t="shared" si="57"/>
        <v>2.9423976363464304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180.20749454145079</v>
      </c>
      <c r="AO106" s="62">
        <f t="shared" si="90"/>
        <v>307.23455947678775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3.8513392685844159</v>
      </c>
      <c r="AW106" s="23">
        <f>EXP(-LN(2)/2)*AW105+(1-EXP(-LN(2)/2))/(LN(2)/2)*AQ106*AT106*VLOOKUP('Données projet'!$B$10,Paramètres!$A$1:$I$89,3,0)*0.475*44/12</f>
        <v>3.0545329074133285E-10</v>
      </c>
      <c r="AX106" s="23">
        <f t="shared" si="60"/>
        <v>3.8513392688898693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2.2737367544323206E-13</v>
      </c>
      <c r="BE106" s="14">
        <f>BD106*VLOOKUP('Données projet'!$B$11,Paramètres!$A$1:$I$89,3,0)*VLOOKUP('Données projet'!$B$11,Paramètres!$A$1:$I$89,5,0)</f>
        <v>1.8089849618263545E-13</v>
      </c>
      <c r="BF106" s="14">
        <f t="shared" si="91"/>
        <v>2.536422473342444E-12</v>
      </c>
      <c r="BG106" s="22">
        <f t="shared" si="61"/>
        <v>4.7326673552561798E-12</v>
      </c>
      <c r="BH106" s="62">
        <f t="shared" si="62"/>
        <v>293.33333333333803</v>
      </c>
      <c r="BI106" s="62">
        <f ca="1">AVERAGE(OFFSET($BH$3,0,0,'Données projet'!$E$11+1,1))-AVERAGE(OFFSET($H$3,0,0,'Données projet'!$E$11+1,1))</f>
        <v>219.61164494001008</v>
      </c>
      <c r="BJ106" s="62">
        <f t="shared" si="92"/>
        <v>219.59799863414111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8.8675733422860506E-14</v>
      </c>
      <c r="CA106" s="14">
        <f t="shared" si="93"/>
        <v>1.3509285393066301E-12</v>
      </c>
      <c r="CB106" s="22">
        <f t="shared" si="64"/>
        <v>2.5073107750038623E-12</v>
      </c>
      <c r="CC106" s="62">
        <f t="shared" si="65"/>
        <v>293.33333333333582</v>
      </c>
      <c r="CD106" s="62">
        <f ca="1">AVERAGE(OFFSET($CC$3,0,0,'Données projet'!$E$12+1,1))-AVERAGE(OFFSET($H$3,0,0,'Données projet'!$E$12+1,1))</f>
        <v>220.70608186257931</v>
      </c>
      <c r="CE106" s="62">
        <f t="shared" si="94"/>
        <v>208.79744153433245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6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9">
        <f t="shared" si="56"/>
        <v>420.71286765915517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projet'!$B$9,Paramètres!$A$1:$I$89,3,0)*VLOOKUP('Données projet'!$B$9,Paramètres!$A$1:$I$89,5,0)</f>
        <v>-1.9065282685915009E-13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302.20483575440988</v>
      </c>
      <c r="T107" s="62">
        <f t="shared" si="88"/>
        <v>275.32862097158687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2.8619376181364</v>
      </c>
      <c r="AB107" s="23">
        <f>EXP(-LN(2)/2)*AB106+(1-EXP(-LN(2)/2))/(LN(2)/2)*V107*Y107*VLOOKUP('Données projet'!$B$9,Paramètres!$A$1:$I$89,3,0)*0.475*44/12</f>
        <v>8.0092148285514265E-11</v>
      </c>
      <c r="AC107" s="24">
        <f t="shared" si="57"/>
        <v>2.861937618216492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180.20749454145079</v>
      </c>
      <c r="AO107" s="62">
        <f t="shared" si="90"/>
        <v>307.23455947678775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3.746024193751845</v>
      </c>
      <c r="AW107" s="23">
        <f>EXP(-LN(2)/2)*AW106+(1-EXP(-LN(2)/2))/(LN(2)/2)*AQ107*AT107*VLOOKUP('Données projet'!$B$10,Paramètres!$A$1:$I$89,3,0)*0.475*44/12</f>
        <v>2.1598809321894253E-10</v>
      </c>
      <c r="AX107" s="23">
        <f t="shared" si="60"/>
        <v>3.7460241939678331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2.2737367544323206E-13</v>
      </c>
      <c r="BE107" s="14">
        <f>BD107*VLOOKUP('Données projet'!$B$11,Paramètres!$A$1:$I$89,3,0)*VLOOKUP('Données projet'!$B$11,Paramètres!$A$1:$I$89,5,0)</f>
        <v>1.8089849618263545E-13</v>
      </c>
      <c r="BF107" s="14">
        <f t="shared" si="91"/>
        <v>2.536422473342444E-12</v>
      </c>
      <c r="BG107" s="22">
        <f t="shared" si="61"/>
        <v>4.7326673552561798E-12</v>
      </c>
      <c r="BH107" s="62">
        <f t="shared" si="62"/>
        <v>293.33333333333803</v>
      </c>
      <c r="BI107" s="62">
        <f ca="1">AVERAGE(OFFSET($BH$3,0,0,'Données projet'!$E$11+1,1))-AVERAGE(OFFSET($H$3,0,0,'Données projet'!$E$11+1,1))</f>
        <v>219.61164494001008</v>
      </c>
      <c r="BJ107" s="62">
        <f t="shared" si="92"/>
        <v>219.59799863414111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8.8675733422860506E-14</v>
      </c>
      <c r="CA107" s="14">
        <f t="shared" si="93"/>
        <v>1.3509285393066301E-12</v>
      </c>
      <c r="CB107" s="22">
        <f t="shared" si="64"/>
        <v>2.5073107750038623E-12</v>
      </c>
      <c r="CC107" s="62">
        <f t="shared" si="65"/>
        <v>293.33333333333582</v>
      </c>
      <c r="CD107" s="62">
        <f ca="1">AVERAGE(OFFSET($CC$3,0,0,'Données projet'!$E$12+1,1))-AVERAGE(OFFSET($H$3,0,0,'Données projet'!$E$12+1,1))</f>
        <v>220.70608186257931</v>
      </c>
      <c r="CE107" s="62">
        <f t="shared" si="94"/>
        <v>208.79744153433245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6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9">
        <f t="shared" si="56"/>
        <v>421.90565942784269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projet'!$B$9,Paramètres!$A$1:$I$89,3,0)*VLOOKUP('Données projet'!$B$9,Paramètres!$A$1:$I$89,5,0)</f>
        <v>-1.9065282685915009E-13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302.20483575440988</v>
      </c>
      <c r="T108" s="62">
        <f t="shared" si="88"/>
        <v>275.32862097158687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2.783677783465702</v>
      </c>
      <c r="AB108" s="23">
        <f>EXP(-LN(2)/2)*AB107+(1-EXP(-LN(2)/2))/(LN(2)/2)*V108*Y108*VLOOKUP('Données projet'!$B$9,Paramètres!$A$1:$I$89,3,0)*0.475*44/12</f>
        <v>5.6633701172485659E-11</v>
      </c>
      <c r="AC108" s="24">
        <f t="shared" si="57"/>
        <v>2.7836777835223359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180.20749454145079</v>
      </c>
      <c r="AO108" s="62">
        <f t="shared" si="90"/>
        <v>307.23455947678775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3.64358896517885</v>
      </c>
      <c r="AW108" s="23">
        <f>EXP(-LN(2)/2)*AW107+(1-EXP(-LN(2)/2))/(LN(2)/2)*AQ108*AT108*VLOOKUP('Données projet'!$B$10,Paramètres!$A$1:$I$89,3,0)*0.475*44/12</f>
        <v>1.5272664537066643E-10</v>
      </c>
      <c r="AX108" s="23">
        <f t="shared" si="60"/>
        <v>3.6435889653315767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2.2737367544323206E-13</v>
      </c>
      <c r="BE108" s="14">
        <f>BD108*VLOOKUP('Données projet'!$B$11,Paramètres!$A$1:$I$89,3,0)*VLOOKUP('Données projet'!$B$11,Paramètres!$A$1:$I$89,5,0)</f>
        <v>1.8089849618263545E-13</v>
      </c>
      <c r="BF108" s="14">
        <f t="shared" si="91"/>
        <v>2.536422473342444E-12</v>
      </c>
      <c r="BG108" s="22">
        <f t="shared" si="61"/>
        <v>4.7326673552561798E-12</v>
      </c>
      <c r="BH108" s="62">
        <f t="shared" si="62"/>
        <v>293.33333333333803</v>
      </c>
      <c r="BI108" s="62">
        <f ca="1">AVERAGE(OFFSET($BH$3,0,0,'Données projet'!$E$11+1,1))-AVERAGE(OFFSET($H$3,0,0,'Données projet'!$E$11+1,1))</f>
        <v>219.61164494001008</v>
      </c>
      <c r="BJ108" s="62">
        <f t="shared" si="92"/>
        <v>219.59799863414111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8.8675733422860506E-14</v>
      </c>
      <c r="CA108" s="14">
        <f t="shared" si="93"/>
        <v>1.3509285393066301E-12</v>
      </c>
      <c r="CB108" s="22">
        <f t="shared" si="64"/>
        <v>2.5073107750038623E-12</v>
      </c>
      <c r="CC108" s="62">
        <f t="shared" si="65"/>
        <v>293.33333333333582</v>
      </c>
      <c r="CD108" s="62">
        <f ca="1">AVERAGE(OFFSET($CC$3,0,0,'Données projet'!$E$12+1,1))-AVERAGE(OFFSET($H$3,0,0,'Données projet'!$E$12+1,1))</f>
        <v>220.70608186257931</v>
      </c>
      <c r="CE108" s="62">
        <f t="shared" si="94"/>
        <v>208.79744153433245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6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9">
        <f t="shared" si="56"/>
        <v>423.09818324191957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projet'!$B$9,Paramètres!$A$1:$I$89,3,0)*VLOOKUP('Données projet'!$B$9,Paramètres!$A$1:$I$89,5,0)</f>
        <v>-1.9065282685915009E-13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302.20483575440988</v>
      </c>
      <c r="T109" s="62">
        <f t="shared" si="88"/>
        <v>275.32862097158687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2.70755796808958</v>
      </c>
      <c r="AB109" s="23">
        <f>EXP(-LN(2)/2)*AB108+(1-EXP(-LN(2)/2))/(LN(2)/2)*V109*Y109*VLOOKUP('Données projet'!$B$9,Paramètres!$A$1:$I$89,3,0)*0.475*44/12</f>
        <v>4.0046074142757139E-11</v>
      </c>
      <c r="AC109" s="24">
        <f t="shared" si="57"/>
        <v>2.7075579681296262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180.20749454145079</v>
      </c>
      <c r="AO109" s="62">
        <f t="shared" si="90"/>
        <v>307.23455947678775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3.5439548333180184</v>
      </c>
      <c r="AW109" s="23">
        <f>EXP(-LN(2)/2)*AW108+(1-EXP(-LN(2)/2))/(LN(2)/2)*AQ109*AT109*VLOOKUP('Données projet'!$B$10,Paramètres!$A$1:$I$89,3,0)*0.475*44/12</f>
        <v>1.0799404660947127E-10</v>
      </c>
      <c r="AX109" s="23">
        <f t="shared" si="60"/>
        <v>3.5439548334260125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2.2737367544323206E-13</v>
      </c>
      <c r="BE109" s="14">
        <f>BD109*VLOOKUP('Données projet'!$B$11,Paramètres!$A$1:$I$89,3,0)*VLOOKUP('Données projet'!$B$11,Paramètres!$A$1:$I$89,5,0)</f>
        <v>1.8089849618263545E-13</v>
      </c>
      <c r="BF109" s="14">
        <f t="shared" si="91"/>
        <v>2.536422473342444E-12</v>
      </c>
      <c r="BG109" s="22">
        <f t="shared" si="61"/>
        <v>4.7326673552561798E-12</v>
      </c>
      <c r="BH109" s="62">
        <f t="shared" si="62"/>
        <v>293.33333333333803</v>
      </c>
      <c r="BI109" s="62">
        <f ca="1">AVERAGE(OFFSET($BH$3,0,0,'Données projet'!$E$11+1,1))-AVERAGE(OFFSET($H$3,0,0,'Données projet'!$E$11+1,1))</f>
        <v>219.61164494001008</v>
      </c>
      <c r="BJ109" s="62">
        <f t="shared" si="92"/>
        <v>219.59799863414111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8.8675733422860506E-14</v>
      </c>
      <c r="CA109" s="14">
        <f t="shared" si="93"/>
        <v>1.3509285393066301E-12</v>
      </c>
      <c r="CB109" s="22">
        <f t="shared" si="64"/>
        <v>2.5073107750038623E-12</v>
      </c>
      <c r="CC109" s="62">
        <f t="shared" si="65"/>
        <v>293.33333333333582</v>
      </c>
      <c r="CD109" s="62">
        <f ca="1">AVERAGE(OFFSET($CC$3,0,0,'Données projet'!$E$12+1,1))-AVERAGE(OFFSET($H$3,0,0,'Données projet'!$E$12+1,1))</f>
        <v>220.70608186257931</v>
      </c>
      <c r="CE109" s="62">
        <f t="shared" si="94"/>
        <v>208.79744153433245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6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9">
        <f t="shared" si="56"/>
        <v>424.29044192203901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projet'!$B$9,Paramètres!$A$1:$I$89,3,0)*VLOOKUP('Données projet'!$B$9,Paramètres!$A$1:$I$89,5,0)</f>
        <v>-1.9065282685915009E-13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302.20483575440988</v>
      </c>
      <c r="T110" s="62">
        <f t="shared" si="88"/>
        <v>275.32862097158687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2.6335196530678853</v>
      </c>
      <c r="AB110" s="23">
        <f>EXP(-LN(2)/2)*AB109+(1-EXP(-LN(2)/2))/(LN(2)/2)*V110*Y110*VLOOKUP('Données projet'!$B$9,Paramètres!$A$1:$I$89,3,0)*0.475*44/12</f>
        <v>2.8316850586242833E-11</v>
      </c>
      <c r="AC110" s="24">
        <f t="shared" si="57"/>
        <v>2.6335196530962022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180.20749454145079</v>
      </c>
      <c r="AO110" s="62">
        <f t="shared" si="90"/>
        <v>307.23455947678775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3.4470452020324522</v>
      </c>
      <c r="AW110" s="23">
        <f>EXP(-LN(2)/2)*AW109+(1-EXP(-LN(2)/2))/(LN(2)/2)*AQ110*AT110*VLOOKUP('Données projet'!$B$10,Paramètres!$A$1:$I$89,3,0)*0.475*44/12</f>
        <v>7.6363322685333213E-11</v>
      </c>
      <c r="AX110" s="23">
        <f t="shared" si="60"/>
        <v>3.4470452021088156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2.2737367544323206E-13</v>
      </c>
      <c r="BE110" s="14">
        <f>BD110*VLOOKUP('Données projet'!$B$11,Paramètres!$A$1:$I$89,3,0)*VLOOKUP('Données projet'!$B$11,Paramètres!$A$1:$I$89,5,0)</f>
        <v>1.8089849618263545E-13</v>
      </c>
      <c r="BF110" s="14">
        <f t="shared" si="91"/>
        <v>2.536422473342444E-12</v>
      </c>
      <c r="BG110" s="22">
        <f t="shared" si="61"/>
        <v>4.7326673552561798E-12</v>
      </c>
      <c r="BH110" s="62">
        <f t="shared" si="62"/>
        <v>293.33333333333803</v>
      </c>
      <c r="BI110" s="62">
        <f ca="1">AVERAGE(OFFSET($BH$3,0,0,'Données projet'!$E$11+1,1))-AVERAGE(OFFSET($H$3,0,0,'Données projet'!$E$11+1,1))</f>
        <v>219.61164494001008</v>
      </c>
      <c r="BJ110" s="62">
        <f t="shared" si="92"/>
        <v>219.59799863414111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8.8675733422860506E-14</v>
      </c>
      <c r="CA110" s="14">
        <f t="shared" si="93"/>
        <v>1.3509285393066301E-12</v>
      </c>
      <c r="CB110" s="22">
        <f t="shared" si="64"/>
        <v>2.5073107750038623E-12</v>
      </c>
      <c r="CC110" s="62">
        <f t="shared" si="65"/>
        <v>293.33333333333582</v>
      </c>
      <c r="CD110" s="62">
        <f ca="1">AVERAGE(OFFSET($CC$3,0,0,'Données projet'!$E$12+1,1))-AVERAGE(OFFSET($H$3,0,0,'Données projet'!$E$12+1,1))</f>
        <v>220.70608186257931</v>
      </c>
      <c r="CE110" s="62">
        <f t="shared" si="94"/>
        <v>208.79744153433245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6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9">
        <f t="shared" si="56"/>
        <v>425.48243823309122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projet'!$B$9,Paramètres!$A$1:$I$89,3,0)*VLOOKUP('Données projet'!$B$9,Paramètres!$A$1:$I$89,5,0)</f>
        <v>-1.9065282685915009E-13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302.20483575440988</v>
      </c>
      <c r="T111" s="62">
        <f t="shared" si="88"/>
        <v>275.32862097158687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2.5615059196639645</v>
      </c>
      <c r="AB111" s="23">
        <f>EXP(-LN(2)/2)*AB110+(1-EXP(-LN(2)/2))/(LN(2)/2)*V111*Y111*VLOOKUP('Données projet'!$B$9,Paramètres!$A$1:$I$89,3,0)*0.475*44/12</f>
        <v>2.0023037071378573E-11</v>
      </c>
      <c r="AC111" s="24">
        <f t="shared" si="57"/>
        <v>2.5615059196839876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180.20749454145079</v>
      </c>
      <c r="AO111" s="62">
        <f t="shared" si="90"/>
        <v>307.23455947678775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3.3527855697106461</v>
      </c>
      <c r="AW111" s="23">
        <f>EXP(-LN(2)/2)*AW110+(1-EXP(-LN(2)/2))/(LN(2)/2)*AQ111*AT111*VLOOKUP('Données projet'!$B$10,Paramètres!$A$1:$I$89,3,0)*0.475*44/12</f>
        <v>5.3997023304735633E-11</v>
      </c>
      <c r="AX111" s="23">
        <f t="shared" si="60"/>
        <v>3.3527855697646429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2.2737367544323206E-13</v>
      </c>
      <c r="BE111" s="14">
        <f>BD111*VLOOKUP('Données projet'!$B$11,Paramètres!$A$1:$I$89,3,0)*VLOOKUP('Données projet'!$B$11,Paramètres!$A$1:$I$89,5,0)</f>
        <v>1.8089849618263545E-13</v>
      </c>
      <c r="BF111" s="14">
        <f t="shared" si="91"/>
        <v>2.536422473342444E-12</v>
      </c>
      <c r="BG111" s="22">
        <f t="shared" si="61"/>
        <v>4.7326673552561798E-12</v>
      </c>
      <c r="BH111" s="62">
        <f t="shared" si="62"/>
        <v>293.33333333333803</v>
      </c>
      <c r="BI111" s="62">
        <f ca="1">AVERAGE(OFFSET($BH$3,0,0,'Données projet'!$E$11+1,1))-AVERAGE(OFFSET($H$3,0,0,'Données projet'!$E$11+1,1))</f>
        <v>219.61164494001008</v>
      </c>
      <c r="BJ111" s="62">
        <f t="shared" si="92"/>
        <v>219.59799863414111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8.8675733422860506E-14</v>
      </c>
      <c r="CA111" s="14">
        <f t="shared" si="93"/>
        <v>1.3509285393066301E-12</v>
      </c>
      <c r="CB111" s="22">
        <f t="shared" si="64"/>
        <v>2.5073107750038623E-12</v>
      </c>
      <c r="CC111" s="62">
        <f t="shared" si="65"/>
        <v>293.33333333333582</v>
      </c>
      <c r="CD111" s="62">
        <f ca="1">AVERAGE(OFFSET($CC$3,0,0,'Données projet'!$E$12+1,1))-AVERAGE(OFFSET($H$3,0,0,'Données projet'!$E$12+1,1))</f>
        <v>220.70608186257931</v>
      </c>
      <c r="CE111" s="62">
        <f t="shared" si="94"/>
        <v>208.79744153433245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6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9">
        <f t="shared" si="56"/>
        <v>426.67417488581191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projet'!$B$9,Paramètres!$A$1:$I$89,3,0)*VLOOKUP('Données projet'!$B$9,Paramètres!$A$1:$I$89,5,0)</f>
        <v>-1.9065282685915009E-13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302.20483575440988</v>
      </c>
      <c r="T112" s="62">
        <f t="shared" si="88"/>
        <v>275.32862097158687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2.4914614055870112</v>
      </c>
      <c r="AB112" s="23">
        <f>EXP(-LN(2)/2)*AB111+(1-EXP(-LN(2)/2))/(LN(2)/2)*V112*Y112*VLOOKUP('Données projet'!$B$9,Paramètres!$A$1:$I$89,3,0)*0.475*44/12</f>
        <v>1.4158425293121418E-11</v>
      </c>
      <c r="AC112" s="24">
        <f t="shared" si="57"/>
        <v>2.4914614056011697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180.20749454145079</v>
      </c>
      <c r="AO112" s="62">
        <f t="shared" si="90"/>
        <v>307.23455947678775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3.2611034719915781</v>
      </c>
      <c r="AW112" s="23">
        <f>EXP(-LN(2)/2)*AW111+(1-EXP(-LN(2)/2))/(LN(2)/2)*AQ112*AT112*VLOOKUP('Données projet'!$B$10,Paramètres!$A$1:$I$89,3,0)*0.475*44/12</f>
        <v>3.8181661342666606E-11</v>
      </c>
      <c r="AX112" s="23">
        <f t="shared" si="60"/>
        <v>3.2611034720297596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2.2737367544323206E-13</v>
      </c>
      <c r="BE112" s="14">
        <f>BD112*VLOOKUP('Données projet'!$B$11,Paramètres!$A$1:$I$89,3,0)*VLOOKUP('Données projet'!$B$11,Paramètres!$A$1:$I$89,5,0)</f>
        <v>1.8089849618263545E-13</v>
      </c>
      <c r="BF112" s="14">
        <f t="shared" si="91"/>
        <v>2.536422473342444E-12</v>
      </c>
      <c r="BG112" s="22">
        <f t="shared" si="61"/>
        <v>4.7326673552561798E-12</v>
      </c>
      <c r="BH112" s="62">
        <f t="shared" si="62"/>
        <v>293.33333333333803</v>
      </c>
      <c r="BI112" s="62">
        <f ca="1">AVERAGE(OFFSET($BH$3,0,0,'Données projet'!$E$11+1,1))-AVERAGE(OFFSET($H$3,0,0,'Données projet'!$E$11+1,1))</f>
        <v>219.61164494001008</v>
      </c>
      <c r="BJ112" s="62">
        <f t="shared" si="92"/>
        <v>219.59799863414111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8.8675733422860506E-14</v>
      </c>
      <c r="CA112" s="14">
        <f t="shared" si="93"/>
        <v>1.3509285393066301E-12</v>
      </c>
      <c r="CB112" s="22">
        <f t="shared" si="64"/>
        <v>2.5073107750038623E-12</v>
      </c>
      <c r="CC112" s="62">
        <f t="shared" si="65"/>
        <v>293.33333333333582</v>
      </c>
      <c r="CD112" s="62">
        <f ca="1">AVERAGE(OFFSET($CC$3,0,0,'Données projet'!$E$12+1,1))-AVERAGE(OFFSET($H$3,0,0,'Données projet'!$E$12+1,1))</f>
        <v>220.70608186257931</v>
      </c>
      <c r="CE112" s="62">
        <f t="shared" si="94"/>
        <v>208.79744153433245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6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9">
        <f t="shared" si="56"/>
        <v>427.8656545383293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projet'!$B$9,Paramètres!$A$1:$I$89,3,0)*VLOOKUP('Données projet'!$B$9,Paramètres!$A$1:$I$89,5,0)</f>
        <v>-1.9065282685915009E-13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302.20483575440988</v>
      </c>
      <c r="T113" s="62">
        <f t="shared" si="88"/>
        <v>275.32862097158687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2.4233322624309732</v>
      </c>
      <c r="AB113" s="23">
        <f>EXP(-LN(2)/2)*AB112+(1-EXP(-LN(2)/2))/(LN(2)/2)*V113*Y113*VLOOKUP('Données projet'!$B$9,Paramètres!$A$1:$I$89,3,0)*0.475*44/12</f>
        <v>1.0011518535689288E-11</v>
      </c>
      <c r="AC113" s="24">
        <f t="shared" si="57"/>
        <v>2.4233322624409848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180.20749454145079</v>
      </c>
      <c r="AO113" s="62">
        <f t="shared" si="90"/>
        <v>307.23455947678775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3.1719284260559903</v>
      </c>
      <c r="AW113" s="23">
        <f>EXP(-LN(2)/2)*AW112+(1-EXP(-LN(2)/2))/(LN(2)/2)*AQ113*AT113*VLOOKUP('Données projet'!$B$10,Paramètres!$A$1:$I$89,3,0)*0.475*44/12</f>
        <v>2.6998511652367817E-11</v>
      </c>
      <c r="AX113" s="23">
        <f t="shared" si="60"/>
        <v>3.1719284260829888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2.2737367544323206E-13</v>
      </c>
      <c r="BE113" s="14">
        <f>BD113*VLOOKUP('Données projet'!$B$11,Paramètres!$A$1:$I$89,3,0)*VLOOKUP('Données projet'!$B$11,Paramètres!$A$1:$I$89,5,0)</f>
        <v>1.8089849618263545E-13</v>
      </c>
      <c r="BF113" s="14">
        <f t="shared" si="91"/>
        <v>2.536422473342444E-12</v>
      </c>
      <c r="BG113" s="22">
        <f t="shared" si="61"/>
        <v>4.7326673552561798E-12</v>
      </c>
      <c r="BH113" s="62">
        <f t="shared" si="62"/>
        <v>293.33333333333803</v>
      </c>
      <c r="BI113" s="62">
        <f ca="1">AVERAGE(OFFSET($BH$3,0,0,'Données projet'!$E$11+1,1))-AVERAGE(OFFSET($H$3,0,0,'Données projet'!$E$11+1,1))</f>
        <v>219.61164494001008</v>
      </c>
      <c r="BJ113" s="62">
        <f t="shared" si="92"/>
        <v>219.59799863414111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8.8675733422860506E-14</v>
      </c>
      <c r="CA113" s="14">
        <f t="shared" si="93"/>
        <v>1.3509285393066301E-12</v>
      </c>
      <c r="CB113" s="22">
        <f t="shared" si="64"/>
        <v>2.5073107750038623E-12</v>
      </c>
      <c r="CC113" s="62">
        <f t="shared" si="65"/>
        <v>293.33333333333582</v>
      </c>
      <c r="CD113" s="62">
        <f ca="1">AVERAGE(OFFSET($CC$3,0,0,'Données projet'!$E$12+1,1))-AVERAGE(OFFSET($H$3,0,0,'Données projet'!$E$12+1,1))</f>
        <v>220.70608186257931</v>
      </c>
      <c r="CE113" s="62">
        <f t="shared" si="94"/>
        <v>208.79744153433245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6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9">
        <f t="shared" si="56"/>
        <v>429.05687979765457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projet'!$B$9,Paramètres!$A$1:$I$89,3,0)*VLOOKUP('Données projet'!$B$9,Paramètres!$A$1:$I$89,5,0)</f>
        <v>-1.9065282685915009E-13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302.20483575440988</v>
      </c>
      <c r="T114" s="62">
        <f t="shared" si="88"/>
        <v>275.32862097158687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2.3570661142772931</v>
      </c>
      <c r="AB114" s="23">
        <f>EXP(-LN(2)/2)*AB113+(1-EXP(-LN(2)/2))/(LN(2)/2)*V114*Y114*VLOOKUP('Données projet'!$B$9,Paramètres!$A$1:$I$89,3,0)*0.475*44/12</f>
        <v>7.0792126465607106E-12</v>
      </c>
      <c r="AC114" s="24">
        <f t="shared" si="57"/>
        <v>2.3570661142843723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180.20749454145079</v>
      </c>
      <c r="AO114" s="62">
        <f t="shared" si="90"/>
        <v>307.23455947678775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3.0851918764410229</v>
      </c>
      <c r="AW114" s="23">
        <f>EXP(-LN(2)/2)*AW113+(1-EXP(-LN(2)/2))/(LN(2)/2)*AQ114*AT114*VLOOKUP('Données projet'!$B$10,Paramètres!$A$1:$I$89,3,0)*0.475*44/12</f>
        <v>1.9090830671333303E-11</v>
      </c>
      <c r="AX114" s="23">
        <f t="shared" si="60"/>
        <v>3.0851918764601138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2.2737367544323206E-13</v>
      </c>
      <c r="BE114" s="14">
        <f>BD114*VLOOKUP('Données projet'!$B$11,Paramètres!$A$1:$I$89,3,0)*VLOOKUP('Données projet'!$B$11,Paramètres!$A$1:$I$89,5,0)</f>
        <v>1.8089849618263545E-13</v>
      </c>
      <c r="BF114" s="14">
        <f t="shared" si="91"/>
        <v>2.536422473342444E-12</v>
      </c>
      <c r="BG114" s="22">
        <f t="shared" si="61"/>
        <v>4.7326673552561798E-12</v>
      </c>
      <c r="BH114" s="62">
        <f t="shared" si="62"/>
        <v>293.33333333333803</v>
      </c>
      <c r="BI114" s="62">
        <f ca="1">AVERAGE(OFFSET($BH$3,0,0,'Données projet'!$E$11+1,1))-AVERAGE(OFFSET($H$3,0,0,'Données projet'!$E$11+1,1))</f>
        <v>219.61164494001008</v>
      </c>
      <c r="BJ114" s="62">
        <f t="shared" si="92"/>
        <v>219.59799863414111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8.8675733422860506E-14</v>
      </c>
      <c r="CA114" s="14">
        <f t="shared" si="93"/>
        <v>1.3509285393066301E-12</v>
      </c>
      <c r="CB114" s="22">
        <f t="shared" si="64"/>
        <v>2.5073107750038623E-12</v>
      </c>
      <c r="CC114" s="62">
        <f t="shared" si="65"/>
        <v>293.33333333333582</v>
      </c>
      <c r="CD114" s="62">
        <f ca="1">AVERAGE(OFFSET($CC$3,0,0,'Données projet'!$E$12+1,1))-AVERAGE(OFFSET($H$3,0,0,'Données projet'!$E$12+1,1))</f>
        <v>220.70608186257931</v>
      </c>
      <c r="CE114" s="62">
        <f t="shared" si="94"/>
        <v>208.79744153433245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6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9">
        <f t="shared" si="56"/>
        <v>430.24785322111563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projet'!$B$9,Paramètres!$A$1:$I$89,3,0)*VLOOKUP('Données projet'!$B$9,Paramètres!$A$1:$I$89,5,0)</f>
        <v>-1.9065282685915009E-13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302.20483575440988</v>
      </c>
      <c r="T115" s="62">
        <f t="shared" si="88"/>
        <v>275.32862097158687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2.2926120174296605</v>
      </c>
      <c r="AB115" s="23">
        <f>EXP(-LN(2)/2)*AB114+(1-EXP(-LN(2)/2))/(LN(2)/2)*V115*Y115*VLOOKUP('Données projet'!$B$9,Paramètres!$A$1:$I$89,3,0)*0.475*44/12</f>
        <v>5.0057592678446448E-12</v>
      </c>
      <c r="AC115" s="24">
        <f t="shared" si="57"/>
        <v>2.2926120174346662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180.20749454145079</v>
      </c>
      <c r="AO115" s="62">
        <f t="shared" si="90"/>
        <v>307.23455947678775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3.0008271423365538</v>
      </c>
      <c r="AW115" s="23">
        <f>EXP(-LN(2)/2)*AW114+(1-EXP(-LN(2)/2))/(LN(2)/2)*AQ115*AT115*VLOOKUP('Données projet'!$B$10,Paramètres!$A$1:$I$89,3,0)*0.475*44/12</f>
        <v>1.3499255826183908E-11</v>
      </c>
      <c r="AX115" s="23">
        <f t="shared" si="60"/>
        <v>3.0008271423500532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2.2737367544323206E-13</v>
      </c>
      <c r="BE115" s="14">
        <f>BD115*VLOOKUP('Données projet'!$B$11,Paramètres!$A$1:$I$89,3,0)*VLOOKUP('Données projet'!$B$11,Paramètres!$A$1:$I$89,5,0)</f>
        <v>1.8089849618263545E-13</v>
      </c>
      <c r="BF115" s="14">
        <f t="shared" si="91"/>
        <v>2.536422473342444E-12</v>
      </c>
      <c r="BG115" s="22">
        <f t="shared" si="61"/>
        <v>4.7326673552561798E-12</v>
      </c>
      <c r="BH115" s="62">
        <f t="shared" si="62"/>
        <v>293.33333333333803</v>
      </c>
      <c r="BI115" s="62">
        <f ca="1">AVERAGE(OFFSET($BH$3,0,0,'Données projet'!$E$11+1,1))-AVERAGE(OFFSET($H$3,0,0,'Données projet'!$E$11+1,1))</f>
        <v>219.61164494001008</v>
      </c>
      <c r="BJ115" s="62">
        <f t="shared" si="92"/>
        <v>219.59799863414111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8.8675733422860506E-14</v>
      </c>
      <c r="CA115" s="14">
        <f t="shared" si="93"/>
        <v>1.3509285393066301E-12</v>
      </c>
      <c r="CB115" s="22">
        <f t="shared" si="64"/>
        <v>2.5073107750038623E-12</v>
      </c>
      <c r="CC115" s="62">
        <f t="shared" si="65"/>
        <v>293.33333333333582</v>
      </c>
      <c r="CD115" s="62">
        <f ca="1">AVERAGE(OFFSET($CC$3,0,0,'Données projet'!$E$12+1,1))-AVERAGE(OFFSET($H$3,0,0,'Données projet'!$E$12+1,1))</f>
        <v>220.70608186257931</v>
      </c>
      <c r="CE115" s="62">
        <f t="shared" si="94"/>
        <v>208.79744153433245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6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9">
        <f t="shared" si="56"/>
        <v>431.43857731773937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projet'!$B$9,Paramètres!$A$1:$I$89,3,0)*VLOOKUP('Données projet'!$B$9,Paramètres!$A$1:$I$89,5,0)</f>
        <v>-1.9065282685915009E-13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302.20483575440988</v>
      </c>
      <c r="T116" s="62">
        <f t="shared" si="88"/>
        <v>275.32862097158687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2.2299204212498203</v>
      </c>
      <c r="AB116" s="23">
        <f>EXP(-LN(2)/2)*AB115+(1-EXP(-LN(2)/2))/(LN(2)/2)*V116*Y116*VLOOKUP('Données projet'!$B$9,Paramètres!$A$1:$I$89,3,0)*0.475*44/12</f>
        <v>3.5396063232803557E-12</v>
      </c>
      <c r="AC116" s="24">
        <f t="shared" si="57"/>
        <v>2.2299204212533597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180.20749454145079</v>
      </c>
      <c r="AO116" s="62">
        <f t="shared" si="90"/>
        <v>307.23455947678775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2.9187693663227199</v>
      </c>
      <c r="AW116" s="23">
        <f>EXP(-LN(2)/2)*AW115+(1-EXP(-LN(2)/2))/(LN(2)/2)*AQ116*AT116*VLOOKUP('Données projet'!$B$10,Paramètres!$A$1:$I$89,3,0)*0.475*44/12</f>
        <v>9.5454153356666516E-12</v>
      </c>
      <c r="AX116" s="23">
        <f t="shared" si="60"/>
        <v>2.9187693663322651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2.2737367544323206E-13</v>
      </c>
      <c r="BE116" s="14">
        <f>BD116*VLOOKUP('Données projet'!$B$11,Paramètres!$A$1:$I$89,3,0)*VLOOKUP('Données projet'!$B$11,Paramètres!$A$1:$I$89,5,0)</f>
        <v>1.8089849618263545E-13</v>
      </c>
      <c r="BF116" s="14">
        <f t="shared" si="91"/>
        <v>2.536422473342444E-12</v>
      </c>
      <c r="BG116" s="22">
        <f t="shared" si="61"/>
        <v>4.7326673552561798E-12</v>
      </c>
      <c r="BH116" s="62">
        <f t="shared" si="62"/>
        <v>293.33333333333803</v>
      </c>
      <c r="BI116" s="62">
        <f ca="1">AVERAGE(OFFSET($BH$3,0,0,'Données projet'!$E$11+1,1))-AVERAGE(OFFSET($H$3,0,0,'Données projet'!$E$11+1,1))</f>
        <v>219.61164494001008</v>
      </c>
      <c r="BJ116" s="62">
        <f t="shared" si="92"/>
        <v>219.59799863414111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8.8675733422860506E-14</v>
      </c>
      <c r="CA116" s="14">
        <f t="shared" si="93"/>
        <v>1.3509285393066301E-12</v>
      </c>
      <c r="CB116" s="22">
        <f t="shared" si="64"/>
        <v>2.5073107750038623E-12</v>
      </c>
      <c r="CC116" s="62">
        <f t="shared" si="65"/>
        <v>293.33333333333582</v>
      </c>
      <c r="CD116" s="62">
        <f ca="1">AVERAGE(OFFSET($CC$3,0,0,'Données projet'!$E$12+1,1))-AVERAGE(OFFSET($H$3,0,0,'Données projet'!$E$12+1,1))</f>
        <v>220.70608186257931</v>
      </c>
      <c r="CE116" s="62">
        <f t="shared" si="94"/>
        <v>208.79744153433245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6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9">
        <f t="shared" si="56"/>
        <v>432.62905454958297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projet'!$B$9,Paramètres!$A$1:$I$89,3,0)*VLOOKUP('Données projet'!$B$9,Paramètres!$A$1:$I$89,5,0)</f>
        <v>-1.9065282685915009E-13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302.20483575440988</v>
      </c>
      <c r="T117" s="62">
        <f t="shared" si="88"/>
        <v>275.32862097158687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2.1689431300643256</v>
      </c>
      <c r="AB117" s="23">
        <f>EXP(-LN(2)/2)*AB116+(1-EXP(-LN(2)/2))/(LN(2)/2)*V117*Y117*VLOOKUP('Données projet'!$B$9,Paramètres!$A$1:$I$89,3,0)*0.475*44/12</f>
        <v>2.5028796339223228E-12</v>
      </c>
      <c r="AC117" s="24">
        <f t="shared" si="57"/>
        <v>2.1689431300668285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180.20749454145079</v>
      </c>
      <c r="AO117" s="62">
        <f t="shared" si="90"/>
        <v>307.23455947678775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2.838955464509215</v>
      </c>
      <c r="AW117" s="23">
        <f>EXP(-LN(2)/2)*AW116+(1-EXP(-LN(2)/2))/(LN(2)/2)*AQ117*AT117*VLOOKUP('Données projet'!$B$10,Paramètres!$A$1:$I$89,3,0)*0.475*44/12</f>
        <v>6.7496279130919541E-12</v>
      </c>
      <c r="AX117" s="23">
        <f t="shared" si="60"/>
        <v>2.8389554645159647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2.2737367544323206E-13</v>
      </c>
      <c r="BE117" s="14">
        <f>BD117*VLOOKUP('Données projet'!$B$11,Paramètres!$A$1:$I$89,3,0)*VLOOKUP('Données projet'!$B$11,Paramètres!$A$1:$I$89,5,0)</f>
        <v>1.8089849618263545E-13</v>
      </c>
      <c r="BF117" s="14">
        <f t="shared" si="91"/>
        <v>2.536422473342444E-12</v>
      </c>
      <c r="BG117" s="22">
        <f t="shared" si="61"/>
        <v>4.7326673552561798E-12</v>
      </c>
      <c r="BH117" s="62">
        <f t="shared" si="62"/>
        <v>293.33333333333803</v>
      </c>
      <c r="BI117" s="62">
        <f ca="1">AVERAGE(OFFSET($BH$3,0,0,'Données projet'!$E$11+1,1))-AVERAGE(OFFSET($H$3,0,0,'Données projet'!$E$11+1,1))</f>
        <v>219.61164494001008</v>
      </c>
      <c r="BJ117" s="62">
        <f t="shared" si="92"/>
        <v>219.59799863414111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8.8675733422860506E-14</v>
      </c>
      <c r="CA117" s="14">
        <f t="shared" si="93"/>
        <v>1.3509285393066301E-12</v>
      </c>
      <c r="CB117" s="22">
        <f t="shared" si="64"/>
        <v>2.5073107750038623E-12</v>
      </c>
      <c r="CC117" s="62">
        <f t="shared" si="65"/>
        <v>293.33333333333582</v>
      </c>
      <c r="CD117" s="62">
        <f ca="1">AVERAGE(OFFSET($CC$3,0,0,'Données projet'!$E$12+1,1))-AVERAGE(OFFSET($H$3,0,0,'Données projet'!$E$12+1,1))</f>
        <v>220.70608186257931</v>
      </c>
      <c r="CE117" s="62">
        <f t="shared" si="94"/>
        <v>208.79744153433245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6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9">
        <f t="shared" si="56"/>
        <v>433.81928733301731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projet'!$B$9,Paramètres!$A$1:$I$89,3,0)*VLOOKUP('Données projet'!$B$9,Paramètres!$A$1:$I$89,5,0)</f>
        <v>-1.9065282685915009E-13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302.20483575440988</v>
      </c>
      <c r="T118" s="62">
        <f t="shared" si="88"/>
        <v>275.32862097158687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2.1096332661129544</v>
      </c>
      <c r="AB118" s="23">
        <f>EXP(-LN(2)/2)*AB117+(1-EXP(-LN(2)/2))/(LN(2)/2)*V118*Y118*VLOOKUP('Données projet'!$B$9,Paramètres!$A$1:$I$89,3,0)*0.475*44/12</f>
        <v>1.7698031616401783E-12</v>
      </c>
      <c r="AC118" s="24">
        <f t="shared" si="57"/>
        <v>2.1096332661147241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180.20749454145079</v>
      </c>
      <c r="AO118" s="62">
        <f t="shared" si="90"/>
        <v>307.23455947678775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2.7613240780380313</v>
      </c>
      <c r="AW118" s="23">
        <f>EXP(-LN(2)/2)*AW117+(1-EXP(-LN(2)/2))/(LN(2)/2)*AQ118*AT118*VLOOKUP('Données projet'!$B$10,Paramètres!$A$1:$I$89,3,0)*0.475*44/12</f>
        <v>4.7727076678333258E-12</v>
      </c>
      <c r="AX118" s="23">
        <f t="shared" si="60"/>
        <v>2.7613240780428039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2.2737367544323206E-13</v>
      </c>
      <c r="BE118" s="14">
        <f>BD118*VLOOKUP('Données projet'!$B$11,Paramètres!$A$1:$I$89,3,0)*VLOOKUP('Données projet'!$B$11,Paramètres!$A$1:$I$89,5,0)</f>
        <v>1.8089849618263545E-13</v>
      </c>
      <c r="BF118" s="14">
        <f t="shared" si="91"/>
        <v>2.536422473342444E-12</v>
      </c>
      <c r="BG118" s="22">
        <f t="shared" si="61"/>
        <v>4.7326673552561798E-12</v>
      </c>
      <c r="BH118" s="62">
        <f t="shared" si="62"/>
        <v>293.33333333333803</v>
      </c>
      <c r="BI118" s="62">
        <f ca="1">AVERAGE(OFFSET($BH$3,0,0,'Données projet'!$E$11+1,1))-AVERAGE(OFFSET($H$3,0,0,'Données projet'!$E$11+1,1))</f>
        <v>219.61164494001008</v>
      </c>
      <c r="BJ118" s="62">
        <f t="shared" si="92"/>
        <v>219.59799863414111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8.8675733422860506E-14</v>
      </c>
      <c r="CA118" s="14">
        <f t="shared" si="93"/>
        <v>1.3509285393066301E-12</v>
      </c>
      <c r="CB118" s="22">
        <f t="shared" si="64"/>
        <v>2.5073107750038623E-12</v>
      </c>
      <c r="CC118" s="62">
        <f t="shared" si="65"/>
        <v>293.33333333333582</v>
      </c>
      <c r="CD118" s="62">
        <f ca="1">AVERAGE(OFFSET($CC$3,0,0,'Données projet'!$E$12+1,1))-AVERAGE(OFFSET($H$3,0,0,'Données projet'!$E$12+1,1))</f>
        <v>220.70608186257931</v>
      </c>
      <c r="CE118" s="62">
        <f t="shared" si="94"/>
        <v>208.79744153433245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6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9">
        <f t="shared" si="56"/>
        <v>435.00927803996456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projet'!$B$9,Paramètres!$A$1:$I$89,3,0)*VLOOKUP('Données projet'!$B$9,Paramètres!$A$1:$I$89,5,0)</f>
        <v>-1.9065282685915009E-13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302.20483575440988</v>
      </c>
      <c r="T119" s="62">
        <f t="shared" si="88"/>
        <v>275.32862097158687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2.0519452335103039</v>
      </c>
      <c r="AB119" s="23">
        <f>EXP(-LN(2)/2)*AB118+(1-EXP(-LN(2)/2))/(LN(2)/2)*V119*Y119*VLOOKUP('Données projet'!$B$9,Paramètres!$A$1:$I$89,3,0)*0.475*44/12</f>
        <v>1.2514398169611616E-12</v>
      </c>
      <c r="AC119" s="24">
        <f t="shared" si="57"/>
        <v>2.0519452335115553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180.20749454145079</v>
      </c>
      <c r="AO119" s="62">
        <f t="shared" si="90"/>
        <v>307.23455947678775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2.6858155259123593</v>
      </c>
      <c r="AW119" s="23">
        <f>EXP(-LN(2)/2)*AW118+(1-EXP(-LN(2)/2))/(LN(2)/2)*AQ119*AT119*VLOOKUP('Données projet'!$B$10,Paramètres!$A$1:$I$89,3,0)*0.475*44/12</f>
        <v>3.3748139565459771E-12</v>
      </c>
      <c r="AX119" s="23">
        <f t="shared" si="60"/>
        <v>2.6858155259157339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2.2737367544323206E-13</v>
      </c>
      <c r="BE119" s="14">
        <f>BD119*VLOOKUP('Données projet'!$B$11,Paramètres!$A$1:$I$89,3,0)*VLOOKUP('Données projet'!$B$11,Paramètres!$A$1:$I$89,5,0)</f>
        <v>1.8089849618263545E-13</v>
      </c>
      <c r="BF119" s="14">
        <f t="shared" si="91"/>
        <v>2.536422473342444E-12</v>
      </c>
      <c r="BG119" s="22">
        <f t="shared" si="61"/>
        <v>4.7326673552561798E-12</v>
      </c>
      <c r="BH119" s="62">
        <f t="shared" si="62"/>
        <v>293.33333333333803</v>
      </c>
      <c r="BI119" s="62">
        <f ca="1">AVERAGE(OFFSET($BH$3,0,0,'Données projet'!$E$11+1,1))-AVERAGE(OFFSET($H$3,0,0,'Données projet'!$E$11+1,1))</f>
        <v>219.61164494001008</v>
      </c>
      <c r="BJ119" s="62">
        <f t="shared" si="92"/>
        <v>219.59799863414111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8.8675733422860506E-14</v>
      </c>
      <c r="CA119" s="14">
        <f t="shared" si="93"/>
        <v>1.3509285393066301E-12</v>
      </c>
      <c r="CB119" s="22">
        <f t="shared" si="64"/>
        <v>2.5073107750038623E-12</v>
      </c>
      <c r="CC119" s="62">
        <f t="shared" si="65"/>
        <v>293.33333333333582</v>
      </c>
      <c r="CD119" s="62">
        <f ca="1">AVERAGE(OFFSET($CC$3,0,0,'Données projet'!$E$12+1,1))-AVERAGE(OFFSET($H$3,0,0,'Données projet'!$E$12+1,1))</f>
        <v>220.70608186257931</v>
      </c>
      <c r="CE119" s="62">
        <f t="shared" si="94"/>
        <v>208.79744153433245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6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9">
        <f t="shared" si="56"/>
        <v>436.19902899909141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projet'!$B$9,Paramètres!$A$1:$I$89,3,0)*VLOOKUP('Données projet'!$B$9,Paramètres!$A$1:$I$89,5,0)</f>
        <v>-1.9065282685915009E-13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302.20483575440988</v>
      </c>
      <c r="T120" s="62">
        <f t="shared" si="88"/>
        <v>275.32862097158687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1.9958346831928546</v>
      </c>
      <c r="AB120" s="23">
        <f>EXP(-LN(2)/2)*AB119+(1-EXP(-LN(2)/2))/(LN(2)/2)*V120*Y120*VLOOKUP('Données projet'!$B$9,Paramètres!$A$1:$I$89,3,0)*0.475*44/12</f>
        <v>8.8490158082008923E-13</v>
      </c>
      <c r="AC120" s="24">
        <f t="shared" si="57"/>
        <v>1.9958346831937395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180.20749454145079</v>
      </c>
      <c r="AO120" s="62">
        <f t="shared" si="90"/>
        <v>307.23455947678775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2.6123717591153857</v>
      </c>
      <c r="AW120" s="23">
        <f>EXP(-LN(2)/2)*AW119+(1-EXP(-LN(2)/2))/(LN(2)/2)*AQ120*AT120*VLOOKUP('Données projet'!$B$10,Paramètres!$A$1:$I$89,3,0)*0.475*44/12</f>
        <v>2.3863538339166629E-12</v>
      </c>
      <c r="AX120" s="23">
        <f t="shared" si="60"/>
        <v>2.6123717591177722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2.2737367544323206E-13</v>
      </c>
      <c r="BE120" s="14">
        <f>BD120*VLOOKUP('Données projet'!$B$11,Paramètres!$A$1:$I$89,3,0)*VLOOKUP('Données projet'!$B$11,Paramètres!$A$1:$I$89,5,0)</f>
        <v>1.8089849618263545E-13</v>
      </c>
      <c r="BF120" s="14">
        <f t="shared" si="91"/>
        <v>2.536422473342444E-12</v>
      </c>
      <c r="BG120" s="22">
        <f t="shared" si="61"/>
        <v>4.7326673552561798E-12</v>
      </c>
      <c r="BH120" s="62">
        <f t="shared" si="62"/>
        <v>293.33333333333803</v>
      </c>
      <c r="BI120" s="62">
        <f ca="1">AVERAGE(OFFSET($BH$3,0,0,'Données projet'!$E$11+1,1))-AVERAGE(OFFSET($H$3,0,0,'Données projet'!$E$11+1,1))</f>
        <v>219.61164494001008</v>
      </c>
      <c r="BJ120" s="62">
        <f t="shared" si="92"/>
        <v>219.59799863414111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8.8675733422860506E-14</v>
      </c>
      <c r="CA120" s="14">
        <f t="shared" si="93"/>
        <v>1.3509285393066301E-12</v>
      </c>
      <c r="CB120" s="22">
        <f t="shared" si="64"/>
        <v>2.5073107750038623E-12</v>
      </c>
      <c r="CC120" s="62">
        <f t="shared" si="65"/>
        <v>293.33333333333582</v>
      </c>
      <c r="CD120" s="62">
        <f ca="1">AVERAGE(OFFSET($CC$3,0,0,'Données projet'!$E$12+1,1))-AVERAGE(OFFSET($H$3,0,0,'Données projet'!$E$12+1,1))</f>
        <v>220.70608186257931</v>
      </c>
      <c r="CE120" s="62">
        <f t="shared" si="94"/>
        <v>208.79744153433245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6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9">
        <f t="shared" si="56"/>
        <v>437.38854249696135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projet'!$B$9,Paramètres!$A$1:$I$89,3,0)*VLOOKUP('Données projet'!$B$9,Paramètres!$A$1:$I$89,5,0)</f>
        <v>-1.9065282685915009E-13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302.20483575440988</v>
      </c>
      <c r="T121" s="62">
        <f t="shared" si="88"/>
        <v>275.32862097158687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1.9412584788245615</v>
      </c>
      <c r="AB121" s="23">
        <f>EXP(-LN(2)/2)*AB120+(1-EXP(-LN(2)/2))/(LN(2)/2)*V121*Y121*VLOOKUP('Données projet'!$B$9,Paramètres!$A$1:$I$89,3,0)*0.475*44/12</f>
        <v>6.257199084805809E-13</v>
      </c>
      <c r="AC121" s="24">
        <f t="shared" si="57"/>
        <v>1.9412584788251872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180.20749454145079</v>
      </c>
      <c r="AO121" s="62">
        <f t="shared" si="90"/>
        <v>307.23455947678775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2.5409363159837155</v>
      </c>
      <c r="AW121" s="23">
        <f>EXP(-LN(2)/2)*AW120+(1-EXP(-LN(2)/2))/(LN(2)/2)*AQ121*AT121*VLOOKUP('Données projet'!$B$10,Paramètres!$A$1:$I$89,3,0)*0.475*44/12</f>
        <v>1.6874069782729885E-12</v>
      </c>
      <c r="AX121" s="23">
        <f t="shared" si="60"/>
        <v>2.540936315985403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2.2737367544323206E-13</v>
      </c>
      <c r="BE121" s="14">
        <f>BD121*VLOOKUP('Données projet'!$B$11,Paramètres!$A$1:$I$89,3,0)*VLOOKUP('Données projet'!$B$11,Paramètres!$A$1:$I$89,5,0)</f>
        <v>1.8089849618263545E-13</v>
      </c>
      <c r="BF121" s="14">
        <f t="shared" si="91"/>
        <v>2.536422473342444E-12</v>
      </c>
      <c r="BG121" s="22">
        <f t="shared" si="61"/>
        <v>4.7326673552561798E-12</v>
      </c>
      <c r="BH121" s="62">
        <f t="shared" si="62"/>
        <v>293.33333333333803</v>
      </c>
      <c r="BI121" s="62">
        <f ca="1">AVERAGE(OFFSET($BH$3,0,0,'Données projet'!$E$11+1,1))-AVERAGE(OFFSET($H$3,0,0,'Données projet'!$E$11+1,1))</f>
        <v>219.61164494001008</v>
      </c>
      <c r="BJ121" s="62">
        <f t="shared" si="92"/>
        <v>219.59799863414111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8.8675733422860506E-14</v>
      </c>
      <c r="CA121" s="14">
        <f t="shared" si="93"/>
        <v>1.3509285393066301E-12</v>
      </c>
      <c r="CB121" s="22">
        <f t="shared" si="64"/>
        <v>2.5073107750038623E-12</v>
      </c>
      <c r="CC121" s="62">
        <f t="shared" si="65"/>
        <v>293.33333333333582</v>
      </c>
      <c r="CD121" s="62">
        <f ca="1">AVERAGE(OFFSET($CC$3,0,0,'Données projet'!$E$12+1,1))-AVERAGE(OFFSET($H$3,0,0,'Données projet'!$E$12+1,1))</f>
        <v>220.70608186257931</v>
      </c>
      <c r="CE121" s="62">
        <f t="shared" si="94"/>
        <v>208.79744153433245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6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9">
        <f t="shared" si="56"/>
        <v>438.57782077914567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projet'!$B$9,Paramètres!$A$1:$I$89,3,0)*VLOOKUP('Données projet'!$B$9,Paramètres!$A$1:$I$89,5,0)</f>
        <v>-1.9065282685915009E-13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302.20483575440988</v>
      </c>
      <c r="T122" s="62">
        <f t="shared" si="88"/>
        <v>275.32862097158687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1.8881746636347572</v>
      </c>
      <c r="AB122" s="23">
        <f>EXP(-LN(2)/2)*AB121+(1-EXP(-LN(2)/2))/(LN(2)/2)*V122*Y122*VLOOKUP('Données projet'!$B$9,Paramètres!$A$1:$I$89,3,0)*0.475*44/12</f>
        <v>4.4245079041004472E-13</v>
      </c>
      <c r="AC122" s="24">
        <f t="shared" si="57"/>
        <v>1.8881746636351997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180.20749454145079</v>
      </c>
      <c r="AO122" s="62">
        <f t="shared" si="90"/>
        <v>307.23455947678775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2.4714542788011071</v>
      </c>
      <c r="AW122" s="23">
        <f>EXP(-LN(2)/2)*AW121+(1-EXP(-LN(2)/2))/(LN(2)/2)*AQ122*AT122*VLOOKUP('Données projet'!$B$10,Paramètres!$A$1:$I$89,3,0)*0.475*44/12</f>
        <v>1.1931769169583314E-12</v>
      </c>
      <c r="AX122" s="23">
        <f t="shared" si="60"/>
        <v>2.4714542788023004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2.2737367544323206E-13</v>
      </c>
      <c r="BE122" s="14">
        <f>BD122*VLOOKUP('Données projet'!$B$11,Paramètres!$A$1:$I$89,3,0)*VLOOKUP('Données projet'!$B$11,Paramètres!$A$1:$I$89,5,0)</f>
        <v>1.8089849618263545E-13</v>
      </c>
      <c r="BF122" s="14">
        <f t="shared" si="91"/>
        <v>2.536422473342444E-12</v>
      </c>
      <c r="BG122" s="22">
        <f t="shared" si="61"/>
        <v>4.7326673552561798E-12</v>
      </c>
      <c r="BH122" s="62">
        <f t="shared" si="62"/>
        <v>293.33333333333803</v>
      </c>
      <c r="BI122" s="62">
        <f ca="1">AVERAGE(OFFSET($BH$3,0,0,'Données projet'!$E$11+1,1))-AVERAGE(OFFSET($H$3,0,0,'Données projet'!$E$11+1,1))</f>
        <v>219.61164494001008</v>
      </c>
      <c r="BJ122" s="62">
        <f t="shared" si="92"/>
        <v>219.59799863414111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8.8675733422860506E-14</v>
      </c>
      <c r="CA122" s="14">
        <f t="shared" si="93"/>
        <v>1.3509285393066301E-12</v>
      </c>
      <c r="CB122" s="22">
        <f t="shared" si="64"/>
        <v>2.5073107750038623E-12</v>
      </c>
      <c r="CC122" s="62">
        <f t="shared" si="65"/>
        <v>293.33333333333582</v>
      </c>
      <c r="CD122" s="62">
        <f ca="1">AVERAGE(OFFSET($CC$3,0,0,'Données projet'!$E$12+1,1))-AVERAGE(OFFSET($H$3,0,0,'Données projet'!$E$12+1,1))</f>
        <v>220.70608186257931</v>
      </c>
      <c r="CE122" s="62">
        <f t="shared" si="94"/>
        <v>208.79744153433245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6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9">
        <f t="shared" si="56"/>
        <v>439.76686605129635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projet'!$B$9,Paramètres!$A$1:$I$89,3,0)*VLOOKUP('Données projet'!$B$9,Paramètres!$A$1:$I$89,5,0)</f>
        <v>-1.9065282685915009E-13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302.20483575440988</v>
      </c>
      <c r="T123" s="62">
        <f t="shared" si="88"/>
        <v>275.32862097158687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1.8365424281628746</v>
      </c>
      <c r="AB123" s="23">
        <f>EXP(-LN(2)/2)*AB122+(1-EXP(-LN(2)/2))/(LN(2)/2)*V123*Y123*VLOOKUP('Données projet'!$B$9,Paramètres!$A$1:$I$89,3,0)*0.475*44/12</f>
        <v>3.128599542402905E-13</v>
      </c>
      <c r="AC123" s="24">
        <f t="shared" si="57"/>
        <v>1.8365424281631875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180.20749454145079</v>
      </c>
      <c r="AO123" s="62">
        <f t="shared" si="90"/>
        <v>307.23455947678775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2.4038722315791587</v>
      </c>
      <c r="AW123" s="23">
        <f>EXP(-LN(2)/2)*AW122+(1-EXP(-LN(2)/2))/(LN(2)/2)*AQ123*AT123*VLOOKUP('Données projet'!$B$10,Paramètres!$A$1:$I$89,3,0)*0.475*44/12</f>
        <v>8.4370348913649427E-13</v>
      </c>
      <c r="AX123" s="23">
        <f t="shared" si="60"/>
        <v>2.4038722315800025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2.2737367544323206E-13</v>
      </c>
      <c r="BE123" s="14">
        <f>BD123*VLOOKUP('Données projet'!$B$11,Paramètres!$A$1:$I$89,3,0)*VLOOKUP('Données projet'!$B$11,Paramètres!$A$1:$I$89,5,0)</f>
        <v>1.8089849618263545E-13</v>
      </c>
      <c r="BF123" s="14">
        <f t="shared" si="91"/>
        <v>2.536422473342444E-12</v>
      </c>
      <c r="BG123" s="22">
        <f t="shared" si="61"/>
        <v>4.7326673552561798E-12</v>
      </c>
      <c r="BH123" s="62">
        <f t="shared" si="62"/>
        <v>293.33333333333803</v>
      </c>
      <c r="BI123" s="62">
        <f ca="1">AVERAGE(OFFSET($BH$3,0,0,'Données projet'!$E$11+1,1))-AVERAGE(OFFSET($H$3,0,0,'Données projet'!$E$11+1,1))</f>
        <v>219.61164494001008</v>
      </c>
      <c r="BJ123" s="62">
        <f t="shared" si="92"/>
        <v>219.59799863414111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8.8675733422860506E-14</v>
      </c>
      <c r="CA123" s="14">
        <f t="shared" si="93"/>
        <v>1.3509285393066301E-12</v>
      </c>
      <c r="CB123" s="22">
        <f t="shared" si="64"/>
        <v>2.5073107750038623E-12</v>
      </c>
      <c r="CC123" s="62">
        <f t="shared" si="65"/>
        <v>293.33333333333582</v>
      </c>
      <c r="CD123" s="62">
        <f ca="1">AVERAGE(OFFSET($CC$3,0,0,'Données projet'!$E$12+1,1))-AVERAGE(OFFSET($H$3,0,0,'Données projet'!$E$12+1,1))</f>
        <v>220.70608186257931</v>
      </c>
      <c r="CE123" s="62">
        <f t="shared" si="94"/>
        <v>208.79744153433245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6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9">
        <f t="shared" si="56"/>
        <v>440.95568048018276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projet'!$B$9,Paramètres!$A$1:$I$89,3,0)*VLOOKUP('Données projet'!$B$9,Paramètres!$A$1:$I$89,5,0)</f>
        <v>-1.9065282685915009E-13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302.20483575440988</v>
      </c>
      <c r="T124" s="62">
        <f t="shared" si="88"/>
        <v>275.32862097158687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1.7863220788851919</v>
      </c>
      <c r="AB124" s="23">
        <f>EXP(-LN(2)/2)*AB123+(1-EXP(-LN(2)/2))/(LN(2)/2)*V124*Y124*VLOOKUP('Données projet'!$B$9,Paramètres!$A$1:$I$89,3,0)*0.475*44/12</f>
        <v>2.2122539520502238E-13</v>
      </c>
      <c r="AC124" s="24">
        <f t="shared" si="57"/>
        <v>1.7863220788854131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180.20749454145079</v>
      </c>
      <c r="AO124" s="62">
        <f t="shared" si="90"/>
        <v>307.23455947678775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2.33813821899248</v>
      </c>
      <c r="AW124" s="23">
        <f>EXP(-LN(2)/2)*AW123+(1-EXP(-LN(2)/2))/(LN(2)/2)*AQ124*AT124*VLOOKUP('Données projet'!$B$10,Paramètres!$A$1:$I$89,3,0)*0.475*44/12</f>
        <v>5.9658845847916572E-13</v>
      </c>
      <c r="AX124" s="23">
        <f t="shared" si="60"/>
        <v>2.3381382189930764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2.2737367544323206E-13</v>
      </c>
      <c r="BE124" s="14">
        <f>BD124*VLOOKUP('Données projet'!$B$11,Paramètres!$A$1:$I$89,3,0)*VLOOKUP('Données projet'!$B$11,Paramètres!$A$1:$I$89,5,0)</f>
        <v>1.8089849618263545E-13</v>
      </c>
      <c r="BF124" s="14">
        <f t="shared" si="91"/>
        <v>2.536422473342444E-12</v>
      </c>
      <c r="BG124" s="22">
        <f t="shared" si="61"/>
        <v>4.7326673552561798E-12</v>
      </c>
      <c r="BH124" s="62">
        <f t="shared" si="62"/>
        <v>293.33333333333803</v>
      </c>
      <c r="BI124" s="62">
        <f ca="1">AVERAGE(OFFSET($BH$3,0,0,'Données projet'!$E$11+1,1))-AVERAGE(OFFSET($H$3,0,0,'Données projet'!$E$11+1,1))</f>
        <v>219.61164494001008</v>
      </c>
      <c r="BJ124" s="62">
        <f t="shared" si="92"/>
        <v>219.59799863414111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8.8675733422860506E-14</v>
      </c>
      <c r="CA124" s="14">
        <f t="shared" si="93"/>
        <v>1.3509285393066301E-12</v>
      </c>
      <c r="CB124" s="22">
        <f t="shared" si="64"/>
        <v>2.5073107750038623E-12</v>
      </c>
      <c r="CC124" s="62">
        <f t="shared" si="65"/>
        <v>293.33333333333582</v>
      </c>
      <c r="CD124" s="62">
        <f ca="1">AVERAGE(OFFSET($CC$3,0,0,'Données projet'!$E$12+1,1))-AVERAGE(OFFSET($H$3,0,0,'Données projet'!$E$12+1,1))</f>
        <v>220.70608186257931</v>
      </c>
      <c r="CE124" s="62">
        <f t="shared" si="94"/>
        <v>208.79744153433245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6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9">
        <f t="shared" si="56"/>
        <v>442.14426619469248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projet'!$B$9,Paramètres!$A$1:$I$89,3,0)*VLOOKUP('Données projet'!$B$9,Paramètres!$A$1:$I$89,5,0)</f>
        <v>-1.9065282685915009E-13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302.20483575440988</v>
      </c>
      <c r="T125" s="62">
        <f t="shared" si="88"/>
        <v>275.32862097158687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1.7374750076994809</v>
      </c>
      <c r="AB125" s="23">
        <f>EXP(-LN(2)/2)*AB124+(1-EXP(-LN(2)/2))/(LN(2)/2)*V125*Y125*VLOOKUP('Données projet'!$B$9,Paramètres!$A$1:$I$89,3,0)*0.475*44/12</f>
        <v>1.5642997712014528E-13</v>
      </c>
      <c r="AC125" s="24">
        <f t="shared" si="57"/>
        <v>1.7374750076996373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180.20749454145079</v>
      </c>
      <c r="AO125" s="62">
        <f t="shared" si="90"/>
        <v>307.23455947678775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2.2742017064367857</v>
      </c>
      <c r="AW125" s="23">
        <f>EXP(-LN(2)/2)*AW124+(1-EXP(-LN(2)/2))/(LN(2)/2)*AQ125*AT125*VLOOKUP('Données projet'!$B$10,Paramètres!$A$1:$I$89,3,0)*0.475*44/12</f>
        <v>4.2185174456824713E-13</v>
      </c>
      <c r="AX125" s="23">
        <f t="shared" si="60"/>
        <v>2.2742017064372075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2.2737367544323206E-13</v>
      </c>
      <c r="BE125" s="14">
        <f>BD125*VLOOKUP('Données projet'!$B$11,Paramètres!$A$1:$I$89,3,0)*VLOOKUP('Données projet'!$B$11,Paramètres!$A$1:$I$89,5,0)</f>
        <v>1.8089849618263545E-13</v>
      </c>
      <c r="BF125" s="14">
        <f t="shared" si="91"/>
        <v>2.536422473342444E-12</v>
      </c>
      <c r="BG125" s="22">
        <f t="shared" si="61"/>
        <v>4.7326673552561798E-12</v>
      </c>
      <c r="BH125" s="62">
        <f t="shared" si="62"/>
        <v>293.33333333333803</v>
      </c>
      <c r="BI125" s="62">
        <f ca="1">AVERAGE(OFFSET($BH$3,0,0,'Données projet'!$E$11+1,1))-AVERAGE(OFFSET($H$3,0,0,'Données projet'!$E$11+1,1))</f>
        <v>219.61164494001008</v>
      </c>
      <c r="BJ125" s="62">
        <f t="shared" si="92"/>
        <v>219.59799863414111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8.8675733422860506E-14</v>
      </c>
      <c r="CA125" s="14">
        <f t="shared" si="93"/>
        <v>1.3509285393066301E-12</v>
      </c>
      <c r="CB125" s="22">
        <f t="shared" si="64"/>
        <v>2.5073107750038623E-12</v>
      </c>
      <c r="CC125" s="62">
        <f t="shared" si="65"/>
        <v>293.33333333333582</v>
      </c>
      <c r="CD125" s="62">
        <f ca="1">AVERAGE(OFFSET($CC$3,0,0,'Données projet'!$E$12+1,1))-AVERAGE(OFFSET($H$3,0,0,'Données projet'!$E$12+1,1))</f>
        <v>220.70608186257931</v>
      </c>
      <c r="CE125" s="62">
        <f t="shared" si="94"/>
        <v>208.79744153433245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6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9">
        <f t="shared" si="56"/>
        <v>443.33262528679836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projet'!$B$9,Paramètres!$A$1:$I$89,3,0)*VLOOKUP('Données projet'!$B$9,Paramètres!$A$1:$I$89,5,0)</f>
        <v>-1.9065282685915009E-13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302.20483575440988</v>
      </c>
      <c r="T126" s="62">
        <f t="shared" si="88"/>
        <v>275.32862097158687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1.689963662244099</v>
      </c>
      <c r="AB126" s="23">
        <f>EXP(-LN(2)/2)*AB125+(1-EXP(-LN(2)/2))/(LN(2)/2)*V126*Y126*VLOOKUP('Données projet'!$B$9,Paramètres!$A$1:$I$89,3,0)*0.475*44/12</f>
        <v>1.106126976025112E-13</v>
      </c>
      <c r="AC126" s="24">
        <f t="shared" si="57"/>
        <v>1.6899636622442096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180.20749454145079</v>
      </c>
      <c r="AO126" s="62">
        <f t="shared" si="90"/>
        <v>307.23455947678775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2.2120135411792017</v>
      </c>
      <c r="AW126" s="23">
        <f>EXP(-LN(2)/2)*AW125+(1-EXP(-LN(2)/2))/(LN(2)/2)*AQ126*AT126*VLOOKUP('Données projet'!$B$10,Paramètres!$A$1:$I$89,3,0)*0.475*44/12</f>
        <v>2.9829422923958286E-13</v>
      </c>
      <c r="AX126" s="23">
        <f t="shared" si="60"/>
        <v>2.2120135411795001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2.2737367544323206E-13</v>
      </c>
      <c r="BE126" s="14">
        <f>BD126*VLOOKUP('Données projet'!$B$11,Paramètres!$A$1:$I$89,3,0)*VLOOKUP('Données projet'!$B$11,Paramètres!$A$1:$I$89,5,0)</f>
        <v>1.8089849618263545E-13</v>
      </c>
      <c r="BF126" s="14">
        <f t="shared" si="91"/>
        <v>2.536422473342444E-12</v>
      </c>
      <c r="BG126" s="22">
        <f t="shared" si="61"/>
        <v>4.7326673552561798E-12</v>
      </c>
      <c r="BH126" s="62">
        <f t="shared" si="62"/>
        <v>293.33333333333803</v>
      </c>
      <c r="BI126" s="62">
        <f ca="1">AVERAGE(OFFSET($BH$3,0,0,'Données projet'!$E$11+1,1))-AVERAGE(OFFSET($H$3,0,0,'Données projet'!$E$11+1,1))</f>
        <v>219.61164494001008</v>
      </c>
      <c r="BJ126" s="62">
        <f t="shared" si="92"/>
        <v>219.59799863414111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8.8675733422860506E-14</v>
      </c>
      <c r="CA126" s="14">
        <f t="shared" si="93"/>
        <v>1.3509285393066301E-12</v>
      </c>
      <c r="CB126" s="22">
        <f t="shared" si="64"/>
        <v>2.5073107750038623E-12</v>
      </c>
      <c r="CC126" s="62">
        <f t="shared" si="65"/>
        <v>293.33333333333582</v>
      </c>
      <c r="CD126" s="62">
        <f ca="1">AVERAGE(OFFSET($CC$3,0,0,'Données projet'!$E$12+1,1))-AVERAGE(OFFSET($H$3,0,0,'Données projet'!$E$12+1,1))</f>
        <v>220.70608186257931</v>
      </c>
      <c r="CE126" s="62">
        <f t="shared" si="94"/>
        <v>208.79744153433245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6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9">
        <f t="shared" si="56"/>
        <v>444.52075981249368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projet'!$B$9,Paramètres!$A$1:$I$89,3,0)*VLOOKUP('Données projet'!$B$9,Paramètres!$A$1:$I$89,5,0)</f>
        <v>-1.9065282685915009E-13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302.20483575440988</v>
      </c>
      <c r="T127" s="62">
        <f t="shared" si="88"/>
        <v>275.32862097158687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1.6437515170287076</v>
      </c>
      <c r="AB127" s="23">
        <f>EXP(-LN(2)/2)*AB126+(1-EXP(-LN(2)/2))/(LN(2)/2)*V127*Y127*VLOOKUP('Données projet'!$B$9,Paramètres!$A$1:$I$89,3,0)*0.475*44/12</f>
        <v>7.8214988560072651E-14</v>
      </c>
      <c r="AC127" s="24">
        <f t="shared" si="57"/>
        <v>1.6437515170287857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180.20749454145079</v>
      </c>
      <c r="AO127" s="62">
        <f t="shared" si="90"/>
        <v>307.23455947678775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2.1515259145709198</v>
      </c>
      <c r="AW127" s="23">
        <f>EXP(-LN(2)/2)*AW126+(1-EXP(-LN(2)/2))/(LN(2)/2)*AQ127*AT127*VLOOKUP('Données projet'!$B$10,Paramètres!$A$1:$I$89,3,0)*0.475*44/12</f>
        <v>2.1092587228412357E-13</v>
      </c>
      <c r="AX127" s="23">
        <f t="shared" si="60"/>
        <v>2.1515259145711307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2.2737367544323206E-13</v>
      </c>
      <c r="BE127" s="14">
        <f>BD127*VLOOKUP('Données projet'!$B$11,Paramètres!$A$1:$I$89,3,0)*VLOOKUP('Données projet'!$B$11,Paramètres!$A$1:$I$89,5,0)</f>
        <v>1.8089849618263545E-13</v>
      </c>
      <c r="BF127" s="14">
        <f t="shared" si="91"/>
        <v>2.536422473342444E-12</v>
      </c>
      <c r="BG127" s="22">
        <f t="shared" si="61"/>
        <v>4.7326673552561798E-12</v>
      </c>
      <c r="BH127" s="62">
        <f t="shared" si="62"/>
        <v>293.33333333333803</v>
      </c>
      <c r="BI127" s="62">
        <f ca="1">AVERAGE(OFFSET($BH$3,0,0,'Données projet'!$E$11+1,1))-AVERAGE(OFFSET($H$3,0,0,'Données projet'!$E$11+1,1))</f>
        <v>219.61164494001008</v>
      </c>
      <c r="BJ127" s="62">
        <f t="shared" si="92"/>
        <v>219.59799863414111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8.8675733422860506E-14</v>
      </c>
      <c r="CA127" s="14">
        <f t="shared" si="93"/>
        <v>1.3509285393066301E-12</v>
      </c>
      <c r="CB127" s="22">
        <f t="shared" si="64"/>
        <v>2.5073107750038623E-12</v>
      </c>
      <c r="CC127" s="62">
        <f t="shared" si="65"/>
        <v>293.33333333333582</v>
      </c>
      <c r="CD127" s="62">
        <f ca="1">AVERAGE(OFFSET($CC$3,0,0,'Données projet'!$E$12+1,1))-AVERAGE(OFFSET($H$3,0,0,'Données projet'!$E$12+1,1))</f>
        <v>220.70608186257931</v>
      </c>
      <c r="CE127" s="62">
        <f t="shared" si="94"/>
        <v>208.79744153433245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6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9">
        <f t="shared" si="56"/>
        <v>445.70867179269578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projet'!$B$9,Paramètres!$A$1:$I$89,3,0)*VLOOKUP('Données projet'!$B$9,Paramètres!$A$1:$I$89,5,0)</f>
        <v>-1.9065282685915009E-13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302.20483575440988</v>
      </c>
      <c r="T128" s="62">
        <f t="shared" si="88"/>
        <v>275.32862097158687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1.5988030453544222</v>
      </c>
      <c r="AB128" s="23">
        <f>EXP(-LN(2)/2)*AB127+(1-EXP(-LN(2)/2))/(LN(2)/2)*V128*Y128*VLOOKUP('Données projet'!$B$9,Paramètres!$A$1:$I$89,3,0)*0.475*44/12</f>
        <v>5.5306348801255615E-14</v>
      </c>
      <c r="AC128" s="24">
        <f t="shared" si="57"/>
        <v>1.5988030453544775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180.20749454145079</v>
      </c>
      <c r="AO128" s="62">
        <f t="shared" si="90"/>
        <v>307.23455947678775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2.0926923252931475</v>
      </c>
      <c r="AW128" s="23">
        <f>EXP(-LN(2)/2)*AW127+(1-EXP(-LN(2)/2))/(LN(2)/2)*AQ128*AT128*VLOOKUP('Données projet'!$B$10,Paramètres!$A$1:$I$89,3,0)*0.475*44/12</f>
        <v>1.4914711461979143E-13</v>
      </c>
      <c r="AX128" s="23">
        <f t="shared" si="60"/>
        <v>2.0926923252932967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2.2737367544323206E-13</v>
      </c>
      <c r="BE128" s="14">
        <f>BD128*VLOOKUP('Données projet'!$B$11,Paramètres!$A$1:$I$89,3,0)*VLOOKUP('Données projet'!$B$11,Paramètres!$A$1:$I$89,5,0)</f>
        <v>1.8089849618263545E-13</v>
      </c>
      <c r="BF128" s="14">
        <f t="shared" si="91"/>
        <v>2.536422473342444E-12</v>
      </c>
      <c r="BG128" s="22">
        <f t="shared" si="61"/>
        <v>4.7326673552561798E-12</v>
      </c>
      <c r="BH128" s="62">
        <f t="shared" si="62"/>
        <v>293.33333333333803</v>
      </c>
      <c r="BI128" s="62">
        <f ca="1">AVERAGE(OFFSET($BH$3,0,0,'Données projet'!$E$11+1,1))-AVERAGE(OFFSET($H$3,0,0,'Données projet'!$E$11+1,1))</f>
        <v>219.61164494001008</v>
      </c>
      <c r="BJ128" s="62">
        <f t="shared" si="92"/>
        <v>219.59799863414111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8.8675733422860506E-14</v>
      </c>
      <c r="CA128" s="14">
        <f t="shared" si="93"/>
        <v>1.3509285393066301E-12</v>
      </c>
      <c r="CB128" s="22">
        <f t="shared" si="64"/>
        <v>2.5073107750038623E-12</v>
      </c>
      <c r="CC128" s="62">
        <f t="shared" si="65"/>
        <v>293.33333333333582</v>
      </c>
      <c r="CD128" s="62">
        <f ca="1">AVERAGE(OFFSET($CC$3,0,0,'Données projet'!$E$12+1,1))-AVERAGE(OFFSET($H$3,0,0,'Données projet'!$E$12+1,1))</f>
        <v>220.70608186257931</v>
      </c>
      <c r="CE128" s="62">
        <f t="shared" si="94"/>
        <v>208.79744153433245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6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9">
        <f t="shared" si="56"/>
        <v>446.89636321412058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projet'!$B$9,Paramètres!$A$1:$I$89,3,0)*VLOOKUP('Données projet'!$B$9,Paramètres!$A$1:$I$89,5,0)</f>
        <v>-1.9065282685915009E-13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302.20483575440988</v>
      </c>
      <c r="T129" s="62">
        <f t="shared" si="88"/>
        <v>275.32862097158687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1.5550836920018074</v>
      </c>
      <c r="AB129" s="23">
        <f>EXP(-LN(2)/2)*AB128+(1-EXP(-LN(2)/2))/(LN(2)/2)*V129*Y129*VLOOKUP('Données projet'!$B$9,Paramètres!$A$1:$I$89,3,0)*0.475*44/12</f>
        <v>3.9107494280036332E-14</v>
      </c>
      <c r="AC129" s="24">
        <f t="shared" si="57"/>
        <v>1.5550836920018465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180.20749454145079</v>
      </c>
      <c r="AO129" s="62">
        <f t="shared" si="90"/>
        <v>307.23455947678775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2.0354675436081</v>
      </c>
      <c r="AW129" s="23">
        <f>EXP(-LN(2)/2)*AW128+(1-EXP(-LN(2)/2))/(LN(2)/2)*AQ129*AT129*VLOOKUP('Données projet'!$B$10,Paramètres!$A$1:$I$89,3,0)*0.475*44/12</f>
        <v>1.0546293614206178E-13</v>
      </c>
      <c r="AX129" s="23">
        <f t="shared" si="60"/>
        <v>2.0354675436082053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2.2737367544323206E-13</v>
      </c>
      <c r="BE129" s="14">
        <f>BD129*VLOOKUP('Données projet'!$B$11,Paramètres!$A$1:$I$89,3,0)*VLOOKUP('Données projet'!$B$11,Paramètres!$A$1:$I$89,5,0)</f>
        <v>1.8089849618263545E-13</v>
      </c>
      <c r="BF129" s="14">
        <f t="shared" si="91"/>
        <v>2.536422473342444E-12</v>
      </c>
      <c r="BG129" s="22">
        <f t="shared" si="61"/>
        <v>4.7326673552561798E-12</v>
      </c>
      <c r="BH129" s="62">
        <f t="shared" si="62"/>
        <v>293.33333333333803</v>
      </c>
      <c r="BI129" s="62">
        <f ca="1">AVERAGE(OFFSET($BH$3,0,0,'Données projet'!$E$11+1,1))-AVERAGE(OFFSET($H$3,0,0,'Données projet'!$E$11+1,1))</f>
        <v>219.61164494001008</v>
      </c>
      <c r="BJ129" s="62">
        <f t="shared" si="92"/>
        <v>219.59799863414111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8.8675733422860506E-14</v>
      </c>
      <c r="CA129" s="14">
        <f t="shared" si="93"/>
        <v>1.3509285393066301E-12</v>
      </c>
      <c r="CB129" s="22">
        <f t="shared" si="64"/>
        <v>2.5073107750038623E-12</v>
      </c>
      <c r="CC129" s="62">
        <f t="shared" si="65"/>
        <v>293.33333333333582</v>
      </c>
      <c r="CD129" s="62">
        <f ca="1">AVERAGE(OFFSET($CC$3,0,0,'Données projet'!$E$12+1,1))-AVERAGE(OFFSET($H$3,0,0,'Données projet'!$E$12+1,1))</f>
        <v>220.70608186257931</v>
      </c>
      <c r="CE129" s="62">
        <f t="shared" si="94"/>
        <v>208.79744153433245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6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9">
        <f t="shared" si="56"/>
        <v>448.08383603012737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projet'!$B$9,Paramètres!$A$1:$I$89,3,0)*VLOOKUP('Données projet'!$B$9,Paramètres!$A$1:$I$89,5,0)</f>
        <v>-1.9065282685915009E-13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302.20483575440988</v>
      </c>
      <c r="T130" s="62">
        <f t="shared" si="88"/>
        <v>275.32862097158687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1.5125598466657209</v>
      </c>
      <c r="AB130" s="23">
        <f>EXP(-LN(2)/2)*AB129+(1-EXP(-LN(2)/2))/(LN(2)/2)*V130*Y130*VLOOKUP('Données projet'!$B$9,Paramètres!$A$1:$I$89,3,0)*0.475*44/12</f>
        <v>2.7653174400627811E-14</v>
      </c>
      <c r="AC130" s="24">
        <f t="shared" si="57"/>
        <v>1.5125598466657486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180.20749454145079</v>
      </c>
      <c r="AO130" s="62">
        <f t="shared" si="90"/>
        <v>307.23455947678775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1.9798075765875505</v>
      </c>
      <c r="AW130" s="23">
        <f>EXP(-LN(2)/2)*AW129+(1-EXP(-LN(2)/2))/(LN(2)/2)*AQ130*AT130*VLOOKUP('Données projet'!$B$10,Paramètres!$A$1:$I$89,3,0)*0.475*44/12</f>
        <v>7.4573557309895715E-14</v>
      </c>
      <c r="AX130" s="23">
        <f t="shared" si="60"/>
        <v>1.9798075765876251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2.2737367544323206E-13</v>
      </c>
      <c r="BE130" s="14">
        <f>BD130*VLOOKUP('Données projet'!$B$11,Paramètres!$A$1:$I$89,3,0)*VLOOKUP('Données projet'!$B$11,Paramètres!$A$1:$I$89,5,0)</f>
        <v>1.8089849618263545E-13</v>
      </c>
      <c r="BF130" s="14">
        <f t="shared" si="91"/>
        <v>2.536422473342444E-12</v>
      </c>
      <c r="BG130" s="22">
        <f t="shared" si="61"/>
        <v>4.7326673552561798E-12</v>
      </c>
      <c r="BH130" s="62">
        <f t="shared" si="62"/>
        <v>293.33333333333803</v>
      </c>
      <c r="BI130" s="62">
        <f ca="1">AVERAGE(OFFSET($BH$3,0,0,'Données projet'!$E$11+1,1))-AVERAGE(OFFSET($H$3,0,0,'Données projet'!$E$11+1,1))</f>
        <v>219.61164494001008</v>
      </c>
      <c r="BJ130" s="62">
        <f t="shared" si="92"/>
        <v>219.59799863414111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8.8675733422860506E-14</v>
      </c>
      <c r="CA130" s="14">
        <f t="shared" si="93"/>
        <v>1.3509285393066301E-12</v>
      </c>
      <c r="CB130" s="22">
        <f t="shared" si="64"/>
        <v>2.5073107750038623E-12</v>
      </c>
      <c r="CC130" s="62">
        <f t="shared" si="65"/>
        <v>293.33333333333582</v>
      </c>
      <c r="CD130" s="62">
        <f ca="1">AVERAGE(OFFSET($CC$3,0,0,'Données projet'!$E$12+1,1))-AVERAGE(OFFSET($H$3,0,0,'Données projet'!$E$12+1,1))</f>
        <v>220.70608186257931</v>
      </c>
      <c r="CE130" s="62">
        <f t="shared" si="94"/>
        <v>208.79744153433245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6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9">
        <f t="shared" si="56"/>
        <v>449.27109216153792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projet'!$B$9,Paramètres!$A$1:$I$89,3,0)*VLOOKUP('Données projet'!$B$9,Paramètres!$A$1:$I$89,5,0)</f>
        <v>-1.9065282685915009E-13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302.20483575440988</v>
      </c>
      <c r="T131" s="62">
        <f t="shared" si="88"/>
        <v>275.32862097158687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1.4711988181165814</v>
      </c>
      <c r="AB131" s="23">
        <f>EXP(-LN(2)/2)*AB130+(1-EXP(-LN(2)/2))/(LN(2)/2)*V131*Y131*VLOOKUP('Données projet'!$B$9,Paramètres!$A$1:$I$89,3,0)*0.475*44/12</f>
        <v>1.9553747140018169E-14</v>
      </c>
      <c r="AC131" s="24">
        <f t="shared" si="57"/>
        <v>1.4711988181166009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180.20749454145079</v>
      </c>
      <c r="AO131" s="62">
        <f t="shared" si="90"/>
        <v>307.23455947678775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1.9256696342922084</v>
      </c>
      <c r="AW131" s="23">
        <f>EXP(-LN(2)/2)*AW130+(1-EXP(-LN(2)/2))/(LN(2)/2)*AQ131*AT131*VLOOKUP('Données projet'!$B$10,Paramètres!$A$1:$I$89,3,0)*0.475*44/12</f>
        <v>5.2731468071030892E-14</v>
      </c>
      <c r="AX131" s="23">
        <f t="shared" si="60"/>
        <v>1.925669634292261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2.2737367544323206E-13</v>
      </c>
      <c r="BE131" s="14">
        <f>BD131*VLOOKUP('Données projet'!$B$11,Paramètres!$A$1:$I$89,3,0)*VLOOKUP('Données projet'!$B$11,Paramètres!$A$1:$I$89,5,0)</f>
        <v>1.8089849618263545E-13</v>
      </c>
      <c r="BF131" s="14">
        <f t="shared" si="91"/>
        <v>2.536422473342444E-12</v>
      </c>
      <c r="BG131" s="22">
        <f t="shared" si="61"/>
        <v>4.7326673552561798E-12</v>
      </c>
      <c r="BH131" s="62">
        <f t="shared" si="62"/>
        <v>293.33333333333803</v>
      </c>
      <c r="BI131" s="62">
        <f ca="1">AVERAGE(OFFSET($BH$3,0,0,'Données projet'!$E$11+1,1))-AVERAGE(OFFSET($H$3,0,0,'Données projet'!$E$11+1,1))</f>
        <v>219.61164494001008</v>
      </c>
      <c r="BJ131" s="62">
        <f t="shared" si="92"/>
        <v>219.59799863414111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8.8675733422860506E-14</v>
      </c>
      <c r="CA131" s="14">
        <f t="shared" si="93"/>
        <v>1.3509285393066301E-12</v>
      </c>
      <c r="CB131" s="22">
        <f t="shared" si="64"/>
        <v>2.5073107750038623E-12</v>
      </c>
      <c r="CC131" s="62">
        <f t="shared" si="65"/>
        <v>293.33333333333582</v>
      </c>
      <c r="CD131" s="62">
        <f ca="1">AVERAGE(OFFSET($CC$3,0,0,'Données projet'!$E$12+1,1))-AVERAGE(OFFSET($H$3,0,0,'Données projet'!$E$12+1,1))</f>
        <v>220.70608186257931</v>
      </c>
      <c r="CE131" s="62">
        <f t="shared" si="94"/>
        <v>208.79744153433245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6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9">
        <f t="shared" ref="H132:H195" si="110">(B132+E132+F132)*44/12+(C132+D132)*0.475*44/12</f>
        <v>450.45813349742764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projet'!$B$9,Paramètres!$A$1:$I$89,3,0)*VLOOKUP('Données projet'!$B$9,Paramètres!$A$1:$I$89,5,0)</f>
        <v>-1.9065282685915009E-13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302.20483575440988</v>
      </c>
      <c r="T132" s="62">
        <f t="shared" si="88"/>
        <v>275.32862097158687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1.4309688090682</v>
      </c>
      <c r="AB132" s="23">
        <f>EXP(-LN(2)/2)*AB131+(1-EXP(-LN(2)/2))/(LN(2)/2)*V132*Y132*VLOOKUP('Données projet'!$B$9,Paramètres!$A$1:$I$89,3,0)*0.475*44/12</f>
        <v>1.3826587200313908E-14</v>
      </c>
      <c r="AC132" s="24">
        <f t="shared" ref="AC132:AC153" si="111">SUM(Z132:AB132)</f>
        <v>1.4309688090682138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180.20749454145079</v>
      </c>
      <c r="AO132" s="62">
        <f t="shared" si="90"/>
        <v>307.23455947678775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1.873012096875923</v>
      </c>
      <c r="AW132" s="23">
        <f>EXP(-LN(2)/2)*AW131+(1-EXP(-LN(2)/2))/(LN(2)/2)*AQ132*AT132*VLOOKUP('Données projet'!$B$10,Paramètres!$A$1:$I$89,3,0)*0.475*44/12</f>
        <v>3.7286778654947858E-14</v>
      </c>
      <c r="AX132" s="23">
        <f t="shared" ref="AX132:AX153" si="114">SUM(AU132:AW132)</f>
        <v>1.8730120968759603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2.2737367544323206E-13</v>
      </c>
      <c r="BE132" s="14">
        <f>BD132*VLOOKUP('Données projet'!$B$11,Paramètres!$A$1:$I$89,3,0)*VLOOKUP('Données projet'!$B$11,Paramètres!$A$1:$I$89,5,0)</f>
        <v>1.8089849618263545E-13</v>
      </c>
      <c r="BF132" s="14">
        <f t="shared" si="91"/>
        <v>2.536422473342444E-12</v>
      </c>
      <c r="BG132" s="22">
        <f t="shared" ref="BG132:BG153" si="115">(BE132+BF132)*0.475*44/12</f>
        <v>4.7326673552561798E-12</v>
      </c>
      <c r="BH132" s="62">
        <f t="shared" ref="BH132:BH195" si="116">BG132+(AY132+AZ132)*44/12</f>
        <v>293.33333333333803</v>
      </c>
      <c r="BI132" s="62">
        <f ca="1">AVERAGE(OFFSET($BH$3,0,0,'Données projet'!$E$11+1,1))-AVERAGE(OFFSET($H$3,0,0,'Données projet'!$E$11+1,1))</f>
        <v>219.61164494001008</v>
      </c>
      <c r="BJ132" s="62">
        <f t="shared" si="92"/>
        <v>219.59799863414111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8.8675733422860506E-14</v>
      </c>
      <c r="CA132" s="14">
        <f t="shared" si="93"/>
        <v>1.3509285393066301E-12</v>
      </c>
      <c r="CB132" s="22">
        <f t="shared" ref="CB132:CB153" si="118">(BZ132+CA132)*0.475*44/12</f>
        <v>2.5073107750038623E-12</v>
      </c>
      <c r="CC132" s="62">
        <f t="shared" ref="CC132:CC195" si="119">CB132+(BT132+BU132)*44/12</f>
        <v>293.33333333333582</v>
      </c>
      <c r="CD132" s="62">
        <f ca="1">AVERAGE(OFFSET($CC$3,0,0,'Données projet'!$E$12+1,1))-AVERAGE(OFFSET($H$3,0,0,'Données projet'!$E$12+1,1))</f>
        <v>220.70608186257931</v>
      </c>
      <c r="CE132" s="62">
        <f t="shared" si="94"/>
        <v>208.79744153433245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6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9">
        <f t="shared" si="110"/>
        <v>451.64496189589244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projet'!$B$9,Paramètres!$A$1:$I$89,3,0)*VLOOKUP('Données projet'!$B$9,Paramètres!$A$1:$I$89,5,0)</f>
        <v>-1.9065282685915009E-13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302.20483575440988</v>
      </c>
      <c r="T133" s="62">
        <f t="shared" ref="T133:T196" si="142">$T$3</f>
        <v>275.32862097158687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1.391838891732851</v>
      </c>
      <c r="AB133" s="23">
        <f>EXP(-LN(2)/2)*AB132+(1-EXP(-LN(2)/2))/(LN(2)/2)*V133*Y133*VLOOKUP('Données projet'!$B$9,Paramètres!$A$1:$I$89,3,0)*0.475*44/12</f>
        <v>9.7768735700090861E-15</v>
      </c>
      <c r="AC133" s="24">
        <f t="shared" si="111"/>
        <v>1.3918388917328608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180.20749454145079</v>
      </c>
      <c r="AO133" s="62">
        <f t="shared" ref="AO133:AO196" si="144">$AO$3</f>
        <v>307.23455947678775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1.8217944825894254</v>
      </c>
      <c r="AW133" s="23">
        <f>EXP(-LN(2)/2)*AW132+(1-EXP(-LN(2)/2))/(LN(2)/2)*AQ133*AT133*VLOOKUP('Données projet'!$B$10,Paramètres!$A$1:$I$89,3,0)*0.475*44/12</f>
        <v>2.6365734035515446E-14</v>
      </c>
      <c r="AX133" s="23">
        <f t="shared" si="114"/>
        <v>1.8217944825894519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2.2737367544323206E-13</v>
      </c>
      <c r="BE133" s="14">
        <f>BD133*VLOOKUP('Données projet'!$B$11,Paramètres!$A$1:$I$89,3,0)*VLOOKUP('Données projet'!$B$11,Paramètres!$A$1:$I$89,5,0)</f>
        <v>1.8089849618263545E-13</v>
      </c>
      <c r="BF133" s="14">
        <f t="shared" ref="BF133:BF153" si="145">EXP(-1.0587+0.8836*LN(BE133)+0.284)</f>
        <v>2.536422473342444E-12</v>
      </c>
      <c r="BG133" s="22">
        <f t="shared" si="115"/>
        <v>4.7326673552561798E-12</v>
      </c>
      <c r="BH133" s="62">
        <f t="shared" si="116"/>
        <v>293.33333333333803</v>
      </c>
      <c r="BI133" s="62">
        <f ca="1">AVERAGE(OFFSET($BH$3,0,0,'Données projet'!$E$11+1,1))-AVERAGE(OFFSET($H$3,0,0,'Données projet'!$E$11+1,1))</f>
        <v>219.61164494001008</v>
      </c>
      <c r="BJ133" s="62">
        <f t="shared" ref="BJ133:BJ196" si="146">$BJ$3</f>
        <v>219.59799863414111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8.8675733422860506E-14</v>
      </c>
      <c r="CA133" s="14">
        <f t="shared" ref="CA133:CA153" si="147">EXP(-1.0587+0.8836*LN(BZ133)+0.284)</f>
        <v>1.3509285393066301E-12</v>
      </c>
      <c r="CB133" s="22">
        <f t="shared" si="118"/>
        <v>2.5073107750038623E-12</v>
      </c>
      <c r="CC133" s="62">
        <f t="shared" si="119"/>
        <v>293.33333333333582</v>
      </c>
      <c r="CD133" s="62">
        <f ca="1">AVERAGE(OFFSET($CC$3,0,0,'Données projet'!$E$12+1,1))-AVERAGE(OFFSET($H$3,0,0,'Données projet'!$E$12+1,1))</f>
        <v>220.70608186257931</v>
      </c>
      <c r="CE133" s="62">
        <f t="shared" ref="CE133:CE196" si="148">$CE$3</f>
        <v>208.79744153433245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6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9">
        <f t="shared" si="110"/>
        <v>452.83157918479128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projet'!$B$9,Paramètres!$A$1:$I$89,3,0)*VLOOKUP('Données projet'!$B$9,Paramètres!$A$1:$I$89,5,0)</f>
        <v>-1.9065282685915009E-13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302.20483575440988</v>
      </c>
      <c r="T134" s="62">
        <f t="shared" si="142"/>
        <v>275.32862097158687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1.35377898404479</v>
      </c>
      <c r="AB134" s="23">
        <f>EXP(-LN(2)/2)*AB133+(1-EXP(-LN(2)/2))/(LN(2)/2)*V134*Y134*VLOOKUP('Données projet'!$B$9,Paramètres!$A$1:$I$89,3,0)*0.475*44/12</f>
        <v>6.913293600156955E-15</v>
      </c>
      <c r="AC134" s="24">
        <f t="shared" si="111"/>
        <v>1.3537789840447969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180.20749454145079</v>
      </c>
      <c r="AO134" s="62">
        <f t="shared" si="144"/>
        <v>307.23455947678775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1.7719774166590094</v>
      </c>
      <c r="AW134" s="23">
        <f>EXP(-LN(2)/2)*AW133+(1-EXP(-LN(2)/2))/(LN(2)/2)*AQ134*AT134*VLOOKUP('Données projet'!$B$10,Paramètres!$A$1:$I$89,3,0)*0.475*44/12</f>
        <v>1.8643389327473929E-14</v>
      </c>
      <c r="AX134" s="23">
        <f t="shared" si="114"/>
        <v>1.7719774166590281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2.2737367544323206E-13</v>
      </c>
      <c r="BE134" s="14">
        <f>BD134*VLOOKUP('Données projet'!$B$11,Paramètres!$A$1:$I$89,3,0)*VLOOKUP('Données projet'!$B$11,Paramètres!$A$1:$I$89,5,0)</f>
        <v>1.8089849618263545E-13</v>
      </c>
      <c r="BF134" s="14">
        <f t="shared" si="145"/>
        <v>2.536422473342444E-12</v>
      </c>
      <c r="BG134" s="22">
        <f t="shared" si="115"/>
        <v>4.7326673552561798E-12</v>
      </c>
      <c r="BH134" s="62">
        <f t="shared" si="116"/>
        <v>293.33333333333803</v>
      </c>
      <c r="BI134" s="62">
        <f ca="1">AVERAGE(OFFSET($BH$3,0,0,'Données projet'!$E$11+1,1))-AVERAGE(OFFSET($H$3,0,0,'Données projet'!$E$11+1,1))</f>
        <v>219.61164494001008</v>
      </c>
      <c r="BJ134" s="62">
        <f t="shared" si="146"/>
        <v>219.59799863414111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8.8675733422860506E-14</v>
      </c>
      <c r="CA134" s="14">
        <f t="shared" si="147"/>
        <v>1.3509285393066301E-12</v>
      </c>
      <c r="CB134" s="22">
        <f t="shared" si="118"/>
        <v>2.5073107750038623E-12</v>
      </c>
      <c r="CC134" s="62">
        <f t="shared" si="119"/>
        <v>293.33333333333582</v>
      </c>
      <c r="CD134" s="62">
        <f ca="1">AVERAGE(OFFSET($CC$3,0,0,'Données projet'!$E$12+1,1))-AVERAGE(OFFSET($H$3,0,0,'Données projet'!$E$12+1,1))</f>
        <v>220.70608186257931</v>
      </c>
      <c r="CE134" s="62">
        <f t="shared" si="148"/>
        <v>208.79744153433245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6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9">
        <f t="shared" si="110"/>
        <v>454.01798716246486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projet'!$B$9,Paramètres!$A$1:$I$89,3,0)*VLOOKUP('Données projet'!$B$9,Paramètres!$A$1:$I$89,5,0)</f>
        <v>-1.9065282685915009E-13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302.20483575440988</v>
      </c>
      <c r="T135" s="62">
        <f t="shared" si="142"/>
        <v>275.32862097158687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1.3167598265339426</v>
      </c>
      <c r="AB135" s="23">
        <f>EXP(-LN(2)/2)*AB134+(1-EXP(-LN(2)/2))/(LN(2)/2)*V135*Y135*VLOOKUP('Données projet'!$B$9,Paramètres!$A$1:$I$89,3,0)*0.475*44/12</f>
        <v>4.8884367850045438E-15</v>
      </c>
      <c r="AC135" s="24">
        <f t="shared" si="111"/>
        <v>1.3167598265339475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180.20749454145079</v>
      </c>
      <c r="AO135" s="62">
        <f t="shared" si="144"/>
        <v>307.23455947678775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1.7235226010162263</v>
      </c>
      <c r="AW135" s="23">
        <f>EXP(-LN(2)/2)*AW134+(1-EXP(-LN(2)/2))/(LN(2)/2)*AQ135*AT135*VLOOKUP('Données projet'!$B$10,Paramètres!$A$1:$I$89,3,0)*0.475*44/12</f>
        <v>1.3182867017757723E-14</v>
      </c>
      <c r="AX135" s="23">
        <f t="shared" si="114"/>
        <v>1.7235226010162394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2.2737367544323206E-13</v>
      </c>
      <c r="BE135" s="14">
        <f>BD135*VLOOKUP('Données projet'!$B$11,Paramètres!$A$1:$I$89,3,0)*VLOOKUP('Données projet'!$B$11,Paramètres!$A$1:$I$89,5,0)</f>
        <v>1.8089849618263545E-13</v>
      </c>
      <c r="BF135" s="14">
        <f t="shared" si="145"/>
        <v>2.536422473342444E-12</v>
      </c>
      <c r="BG135" s="22">
        <f t="shared" si="115"/>
        <v>4.7326673552561798E-12</v>
      </c>
      <c r="BH135" s="62">
        <f t="shared" si="116"/>
        <v>293.33333333333803</v>
      </c>
      <c r="BI135" s="62">
        <f ca="1">AVERAGE(OFFSET($BH$3,0,0,'Données projet'!$E$11+1,1))-AVERAGE(OFFSET($H$3,0,0,'Données projet'!$E$11+1,1))</f>
        <v>219.61164494001008</v>
      </c>
      <c r="BJ135" s="62">
        <f t="shared" si="146"/>
        <v>219.59799863414111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8.8675733422860506E-14</v>
      </c>
      <c r="CA135" s="14">
        <f t="shared" si="147"/>
        <v>1.3509285393066301E-12</v>
      </c>
      <c r="CB135" s="22">
        <f t="shared" si="118"/>
        <v>2.5073107750038623E-12</v>
      </c>
      <c r="CC135" s="62">
        <f t="shared" si="119"/>
        <v>293.33333333333582</v>
      </c>
      <c r="CD135" s="62">
        <f ca="1">AVERAGE(OFFSET($CC$3,0,0,'Données projet'!$E$12+1,1))-AVERAGE(OFFSET($H$3,0,0,'Données projet'!$E$12+1,1))</f>
        <v>220.70608186257931</v>
      </c>
      <c r="CE135" s="62">
        <f t="shared" si="148"/>
        <v>208.79744153433245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6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9">
        <f t="shared" si="110"/>
        <v>455.20418759843233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projet'!$B$9,Paramètres!$A$1:$I$89,3,0)*VLOOKUP('Données projet'!$B$9,Paramètres!$A$1:$I$89,5,0)</f>
        <v>-1.9065282685915009E-13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302.20483575440988</v>
      </c>
      <c r="T136" s="62">
        <f t="shared" si="142"/>
        <v>275.32862097158687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1.2807529598319822</v>
      </c>
      <c r="AB136" s="23">
        <f>EXP(-LN(2)/2)*AB135+(1-EXP(-LN(2)/2))/(LN(2)/2)*V136*Y136*VLOOKUP('Données projet'!$B$9,Paramètres!$A$1:$I$89,3,0)*0.475*44/12</f>
        <v>3.4566468000784779E-15</v>
      </c>
      <c r="AC136" s="24">
        <f t="shared" si="111"/>
        <v>1.2807529598319858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180.20749454145079</v>
      </c>
      <c r="AO136" s="62">
        <f t="shared" si="144"/>
        <v>307.23455947678775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1.6763927848553233</v>
      </c>
      <c r="AW136" s="23">
        <f>EXP(-LN(2)/2)*AW135+(1-EXP(-LN(2)/2))/(LN(2)/2)*AQ136*AT136*VLOOKUP('Données projet'!$B$10,Paramètres!$A$1:$I$89,3,0)*0.475*44/12</f>
        <v>9.3216946637369644E-15</v>
      </c>
      <c r="AX136" s="23">
        <f t="shared" si="114"/>
        <v>1.6763927848553326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2.2737367544323206E-13</v>
      </c>
      <c r="BE136" s="14">
        <f>BD136*VLOOKUP('Données projet'!$B$11,Paramètres!$A$1:$I$89,3,0)*VLOOKUP('Données projet'!$B$11,Paramètres!$A$1:$I$89,5,0)</f>
        <v>1.8089849618263545E-13</v>
      </c>
      <c r="BF136" s="14">
        <f t="shared" si="145"/>
        <v>2.536422473342444E-12</v>
      </c>
      <c r="BG136" s="22">
        <f t="shared" si="115"/>
        <v>4.7326673552561798E-12</v>
      </c>
      <c r="BH136" s="62">
        <f t="shared" si="116"/>
        <v>293.33333333333803</v>
      </c>
      <c r="BI136" s="62">
        <f ca="1">AVERAGE(OFFSET($BH$3,0,0,'Données projet'!$E$11+1,1))-AVERAGE(OFFSET($H$3,0,0,'Données projet'!$E$11+1,1))</f>
        <v>219.61164494001008</v>
      </c>
      <c r="BJ136" s="62">
        <f t="shared" si="146"/>
        <v>219.59799863414111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8.8675733422860506E-14</v>
      </c>
      <c r="CA136" s="14">
        <f t="shared" si="147"/>
        <v>1.3509285393066301E-12</v>
      </c>
      <c r="CB136" s="22">
        <f t="shared" si="118"/>
        <v>2.5073107750038623E-12</v>
      </c>
      <c r="CC136" s="62">
        <f t="shared" si="119"/>
        <v>293.33333333333582</v>
      </c>
      <c r="CD136" s="62">
        <f ca="1">AVERAGE(OFFSET($CC$3,0,0,'Données projet'!$E$12+1,1))-AVERAGE(OFFSET($H$3,0,0,'Données projet'!$E$12+1,1))</f>
        <v>220.70608186257931</v>
      </c>
      <c r="CE136" s="62">
        <f t="shared" si="148"/>
        <v>208.79744153433245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6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9">
        <f t="shared" si="110"/>
        <v>456.39018223406657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projet'!$B$9,Paramètres!$A$1:$I$89,3,0)*VLOOKUP('Données projet'!$B$9,Paramètres!$A$1:$I$89,5,0)</f>
        <v>-1.9065282685915009E-13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302.20483575440988</v>
      </c>
      <c r="T137" s="62">
        <f t="shared" si="142"/>
        <v>275.32862097158687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1.2457307027935056</v>
      </c>
      <c r="AB137" s="23">
        <f>EXP(-LN(2)/2)*AB136+(1-EXP(-LN(2)/2))/(LN(2)/2)*V137*Y137*VLOOKUP('Données projet'!$B$9,Paramètres!$A$1:$I$89,3,0)*0.475*44/12</f>
        <v>2.4442183925022723E-15</v>
      </c>
      <c r="AC137" s="24">
        <f t="shared" si="111"/>
        <v>1.2457307027935081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180.20749454145079</v>
      </c>
      <c r="AO137" s="62">
        <f t="shared" si="144"/>
        <v>307.23455947678775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1.6305517359957893</v>
      </c>
      <c r="AW137" s="23">
        <f>EXP(-LN(2)/2)*AW136+(1-EXP(-LN(2)/2))/(LN(2)/2)*AQ137*AT137*VLOOKUP('Données projet'!$B$10,Paramètres!$A$1:$I$89,3,0)*0.475*44/12</f>
        <v>6.5914335088788615E-15</v>
      </c>
      <c r="AX137" s="23">
        <f t="shared" si="114"/>
        <v>1.6305517359957959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2.2737367544323206E-13</v>
      </c>
      <c r="BE137" s="14">
        <f>BD137*VLOOKUP('Données projet'!$B$11,Paramètres!$A$1:$I$89,3,0)*VLOOKUP('Données projet'!$B$11,Paramètres!$A$1:$I$89,5,0)</f>
        <v>1.8089849618263545E-13</v>
      </c>
      <c r="BF137" s="14">
        <f t="shared" si="145"/>
        <v>2.536422473342444E-12</v>
      </c>
      <c r="BG137" s="22">
        <f t="shared" si="115"/>
        <v>4.7326673552561798E-12</v>
      </c>
      <c r="BH137" s="62">
        <f t="shared" si="116"/>
        <v>293.33333333333803</v>
      </c>
      <c r="BI137" s="62">
        <f ca="1">AVERAGE(OFFSET($BH$3,0,0,'Données projet'!$E$11+1,1))-AVERAGE(OFFSET($H$3,0,0,'Données projet'!$E$11+1,1))</f>
        <v>219.61164494001008</v>
      </c>
      <c r="BJ137" s="62">
        <f t="shared" si="146"/>
        <v>219.59799863414111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8.8675733422860506E-14</v>
      </c>
      <c r="CA137" s="14">
        <f t="shared" si="147"/>
        <v>1.3509285393066301E-12</v>
      </c>
      <c r="CB137" s="22">
        <f t="shared" si="118"/>
        <v>2.5073107750038623E-12</v>
      </c>
      <c r="CC137" s="62">
        <f t="shared" si="119"/>
        <v>293.33333333333582</v>
      </c>
      <c r="CD137" s="62">
        <f ca="1">AVERAGE(OFFSET($CC$3,0,0,'Données projet'!$E$12+1,1))-AVERAGE(OFFSET($H$3,0,0,'Données projet'!$E$12+1,1))</f>
        <v>220.70608186257931</v>
      </c>
      <c r="CE137" s="62">
        <f t="shared" si="148"/>
        <v>208.79744153433245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6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9">
        <f t="shared" si="110"/>
        <v>457.57597278324812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projet'!$B$9,Paramètres!$A$1:$I$89,3,0)*VLOOKUP('Données projet'!$B$9,Paramètres!$A$1:$I$89,5,0)</f>
        <v>-1.9065282685915009E-13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302.20483575440988</v>
      </c>
      <c r="T138" s="62">
        <f t="shared" si="142"/>
        <v>275.32862097158687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1.2116661312154866</v>
      </c>
      <c r="AB138" s="23">
        <f>EXP(-LN(2)/2)*AB137+(1-EXP(-LN(2)/2))/(LN(2)/2)*V138*Y138*VLOOKUP('Données projet'!$B$9,Paramètres!$A$1:$I$89,3,0)*0.475*44/12</f>
        <v>1.7283234000392393E-15</v>
      </c>
      <c r="AC138" s="24">
        <f t="shared" si="111"/>
        <v>1.2116661312154884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180.20749454145079</v>
      </c>
      <c r="AO138" s="62">
        <f t="shared" si="144"/>
        <v>307.23455947678775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1.5859642130279954</v>
      </c>
      <c r="AW138" s="23">
        <f>EXP(-LN(2)/2)*AW137+(1-EXP(-LN(2)/2))/(LN(2)/2)*AQ138*AT138*VLOOKUP('Données projet'!$B$10,Paramètres!$A$1:$I$89,3,0)*0.475*44/12</f>
        <v>4.6608473318684822E-15</v>
      </c>
      <c r="AX138" s="23">
        <f t="shared" si="114"/>
        <v>1.5859642130280001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2.2737367544323206E-13</v>
      </c>
      <c r="BE138" s="14">
        <f>BD138*VLOOKUP('Données projet'!$B$11,Paramètres!$A$1:$I$89,3,0)*VLOOKUP('Données projet'!$B$11,Paramètres!$A$1:$I$89,5,0)</f>
        <v>1.8089849618263545E-13</v>
      </c>
      <c r="BF138" s="14">
        <f t="shared" si="145"/>
        <v>2.536422473342444E-12</v>
      </c>
      <c r="BG138" s="22">
        <f t="shared" si="115"/>
        <v>4.7326673552561798E-12</v>
      </c>
      <c r="BH138" s="62">
        <f t="shared" si="116"/>
        <v>293.33333333333803</v>
      </c>
      <c r="BI138" s="62">
        <f ca="1">AVERAGE(OFFSET($BH$3,0,0,'Données projet'!$E$11+1,1))-AVERAGE(OFFSET($H$3,0,0,'Données projet'!$E$11+1,1))</f>
        <v>219.61164494001008</v>
      </c>
      <c r="BJ138" s="62">
        <f t="shared" si="146"/>
        <v>219.59799863414111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8.8675733422860506E-14</v>
      </c>
      <c r="CA138" s="14">
        <f t="shared" si="147"/>
        <v>1.3509285393066301E-12</v>
      </c>
      <c r="CB138" s="22">
        <f t="shared" si="118"/>
        <v>2.5073107750038623E-12</v>
      </c>
      <c r="CC138" s="62">
        <f t="shared" si="119"/>
        <v>293.33333333333582</v>
      </c>
      <c r="CD138" s="62">
        <f ca="1">AVERAGE(OFFSET($CC$3,0,0,'Données projet'!$E$12+1,1))-AVERAGE(OFFSET($H$3,0,0,'Données projet'!$E$12+1,1))</f>
        <v>220.70608186257931</v>
      </c>
      <c r="CE138" s="62">
        <f t="shared" si="148"/>
        <v>208.79744153433245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6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9">
        <f t="shared" si="110"/>
        <v>458.76156093300006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projet'!$B$9,Paramètres!$A$1:$I$89,3,0)*VLOOKUP('Données projet'!$B$9,Paramètres!$A$1:$I$89,5,0)</f>
        <v>-1.9065282685915009E-13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302.20483575440988</v>
      </c>
      <c r="T139" s="62">
        <f t="shared" si="142"/>
        <v>275.32862097158687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1.1785330571386465</v>
      </c>
      <c r="AB139" s="23">
        <f>EXP(-LN(2)/2)*AB138+(1-EXP(-LN(2)/2))/(LN(2)/2)*V139*Y139*VLOOKUP('Données projet'!$B$9,Paramètres!$A$1:$I$89,3,0)*0.475*44/12</f>
        <v>1.2221091962511364E-15</v>
      </c>
      <c r="AC139" s="24">
        <f t="shared" si="111"/>
        <v>1.1785330571386479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180.20749454145079</v>
      </c>
      <c r="AO139" s="62">
        <f t="shared" si="144"/>
        <v>307.23455947678775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1.5425959382205117</v>
      </c>
      <c r="AW139" s="23">
        <f>EXP(-LN(2)/2)*AW138+(1-EXP(-LN(2)/2))/(LN(2)/2)*AQ139*AT139*VLOOKUP('Données projet'!$B$10,Paramètres!$A$1:$I$89,3,0)*0.475*44/12</f>
        <v>3.2957167544394307E-15</v>
      </c>
      <c r="AX139" s="23">
        <f t="shared" si="114"/>
        <v>1.542595938220515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2.2737367544323206E-13</v>
      </c>
      <c r="BE139" s="14">
        <f>BD139*VLOOKUP('Données projet'!$B$11,Paramètres!$A$1:$I$89,3,0)*VLOOKUP('Données projet'!$B$11,Paramètres!$A$1:$I$89,5,0)</f>
        <v>1.8089849618263545E-13</v>
      </c>
      <c r="BF139" s="14">
        <f t="shared" si="145"/>
        <v>2.536422473342444E-12</v>
      </c>
      <c r="BG139" s="22">
        <f t="shared" si="115"/>
        <v>4.7326673552561798E-12</v>
      </c>
      <c r="BH139" s="62">
        <f t="shared" si="116"/>
        <v>293.33333333333803</v>
      </c>
      <c r="BI139" s="62">
        <f ca="1">AVERAGE(OFFSET($BH$3,0,0,'Données projet'!$E$11+1,1))-AVERAGE(OFFSET($H$3,0,0,'Données projet'!$E$11+1,1))</f>
        <v>219.61164494001008</v>
      </c>
      <c r="BJ139" s="62">
        <f t="shared" si="146"/>
        <v>219.59799863414111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8.8675733422860506E-14</v>
      </c>
      <c r="CA139" s="14">
        <f t="shared" si="147"/>
        <v>1.3509285393066301E-12</v>
      </c>
      <c r="CB139" s="22">
        <f t="shared" si="118"/>
        <v>2.5073107750038623E-12</v>
      </c>
      <c r="CC139" s="62">
        <f t="shared" si="119"/>
        <v>293.33333333333582</v>
      </c>
      <c r="CD139" s="62">
        <f ca="1">AVERAGE(OFFSET($CC$3,0,0,'Données projet'!$E$12+1,1))-AVERAGE(OFFSET($H$3,0,0,'Données projet'!$E$12+1,1))</f>
        <v>220.70608186257931</v>
      </c>
      <c r="CE139" s="62">
        <f t="shared" si="148"/>
        <v>208.79744153433245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6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9">
        <f t="shared" si="110"/>
        <v>459.94694834410268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projet'!$B$9,Paramètres!$A$1:$I$89,3,0)*VLOOKUP('Données projet'!$B$9,Paramètres!$A$1:$I$89,5,0)</f>
        <v>-1.9065282685915009E-13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302.20483575440988</v>
      </c>
      <c r="T140" s="62">
        <f t="shared" si="142"/>
        <v>275.32862097158687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1.1463060087148302</v>
      </c>
      <c r="AB140" s="23">
        <f>EXP(-LN(2)/2)*AB139+(1-EXP(-LN(2)/2))/(LN(2)/2)*V140*Y140*VLOOKUP('Données projet'!$B$9,Paramètres!$A$1:$I$89,3,0)*0.475*44/12</f>
        <v>8.6416170001961977E-16</v>
      </c>
      <c r="AC140" s="24">
        <f t="shared" si="111"/>
        <v>1.1463060087148311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180.20749454145079</v>
      </c>
      <c r="AO140" s="62">
        <f t="shared" si="144"/>
        <v>307.23455947678775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1.5004135711682771</v>
      </c>
      <c r="AW140" s="23">
        <f>EXP(-LN(2)/2)*AW139+(1-EXP(-LN(2)/2))/(LN(2)/2)*AQ140*AT140*VLOOKUP('Données projet'!$B$10,Paramètres!$A$1:$I$89,3,0)*0.475*44/12</f>
        <v>2.3304236659342411E-15</v>
      </c>
      <c r="AX140" s="23">
        <f t="shared" si="114"/>
        <v>1.5004135711682793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2.2737367544323206E-13</v>
      </c>
      <c r="BE140" s="14">
        <f>BD140*VLOOKUP('Données projet'!$B$11,Paramètres!$A$1:$I$89,3,0)*VLOOKUP('Données projet'!$B$11,Paramètres!$A$1:$I$89,5,0)</f>
        <v>1.8089849618263545E-13</v>
      </c>
      <c r="BF140" s="14">
        <f t="shared" si="145"/>
        <v>2.536422473342444E-12</v>
      </c>
      <c r="BG140" s="22">
        <f t="shared" si="115"/>
        <v>4.7326673552561798E-12</v>
      </c>
      <c r="BH140" s="62">
        <f t="shared" si="116"/>
        <v>293.33333333333803</v>
      </c>
      <c r="BI140" s="62">
        <f ca="1">AVERAGE(OFFSET($BH$3,0,0,'Données projet'!$E$11+1,1))-AVERAGE(OFFSET($H$3,0,0,'Données projet'!$E$11+1,1))</f>
        <v>219.61164494001008</v>
      </c>
      <c r="BJ140" s="62">
        <f t="shared" si="146"/>
        <v>219.59799863414111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8.8675733422860506E-14</v>
      </c>
      <c r="CA140" s="14">
        <f t="shared" si="147"/>
        <v>1.3509285393066301E-12</v>
      </c>
      <c r="CB140" s="22">
        <f t="shared" si="118"/>
        <v>2.5073107750038623E-12</v>
      </c>
      <c r="CC140" s="62">
        <f t="shared" si="119"/>
        <v>293.33333333333582</v>
      </c>
      <c r="CD140" s="62">
        <f ca="1">AVERAGE(OFFSET($CC$3,0,0,'Données projet'!$E$12+1,1))-AVERAGE(OFFSET($H$3,0,0,'Données projet'!$E$12+1,1))</f>
        <v>220.70608186257931</v>
      </c>
      <c r="CE140" s="62">
        <f t="shared" si="148"/>
        <v>208.79744153433245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6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9">
        <f t="shared" si="110"/>
        <v>461.13213665169064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projet'!$B$9,Paramètres!$A$1:$I$89,3,0)*VLOOKUP('Données projet'!$B$9,Paramètres!$A$1:$I$89,5,0)</f>
        <v>-1.9065282685915009E-13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302.20483575440988</v>
      </c>
      <c r="T141" s="62">
        <f t="shared" si="142"/>
        <v>275.32862097158687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1.1149602106249101</v>
      </c>
      <c r="AB141" s="23">
        <f>EXP(-LN(2)/2)*AB140+(1-EXP(-LN(2)/2))/(LN(2)/2)*V141*Y141*VLOOKUP('Données projet'!$B$9,Paramètres!$A$1:$I$89,3,0)*0.475*44/12</f>
        <v>6.1105459812556828E-16</v>
      </c>
      <c r="AC141" s="24">
        <f t="shared" si="111"/>
        <v>1.1149602106249108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180.20749454145079</v>
      </c>
      <c r="AO141" s="62">
        <f t="shared" si="144"/>
        <v>307.23455947678775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1.4593846831613602</v>
      </c>
      <c r="AW141" s="23">
        <f>EXP(-LN(2)/2)*AW140+(1-EXP(-LN(2)/2))/(LN(2)/2)*AQ141*AT141*VLOOKUP('Données projet'!$B$10,Paramètres!$A$1:$I$89,3,0)*0.475*44/12</f>
        <v>1.6478583772197154E-15</v>
      </c>
      <c r="AX141" s="23">
        <f t="shared" si="114"/>
        <v>1.4593846831613617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2.2737367544323206E-13</v>
      </c>
      <c r="BE141" s="14">
        <f>BD141*VLOOKUP('Données projet'!$B$11,Paramètres!$A$1:$I$89,3,0)*VLOOKUP('Données projet'!$B$11,Paramètres!$A$1:$I$89,5,0)</f>
        <v>1.8089849618263545E-13</v>
      </c>
      <c r="BF141" s="14">
        <f t="shared" si="145"/>
        <v>2.536422473342444E-12</v>
      </c>
      <c r="BG141" s="22">
        <f t="shared" si="115"/>
        <v>4.7326673552561798E-12</v>
      </c>
      <c r="BH141" s="62">
        <f t="shared" si="116"/>
        <v>293.33333333333803</v>
      </c>
      <c r="BI141" s="62">
        <f ca="1">AVERAGE(OFFSET($BH$3,0,0,'Données projet'!$E$11+1,1))-AVERAGE(OFFSET($H$3,0,0,'Données projet'!$E$11+1,1))</f>
        <v>219.61164494001008</v>
      </c>
      <c r="BJ141" s="62">
        <f t="shared" si="146"/>
        <v>219.59799863414111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8.8675733422860506E-14</v>
      </c>
      <c r="CA141" s="14">
        <f t="shared" si="147"/>
        <v>1.3509285393066301E-12</v>
      </c>
      <c r="CB141" s="22">
        <f t="shared" si="118"/>
        <v>2.5073107750038623E-12</v>
      </c>
      <c r="CC141" s="62">
        <f t="shared" si="119"/>
        <v>293.33333333333582</v>
      </c>
      <c r="CD141" s="62">
        <f ca="1">AVERAGE(OFFSET($CC$3,0,0,'Données projet'!$E$12+1,1))-AVERAGE(OFFSET($H$3,0,0,'Données projet'!$E$12+1,1))</f>
        <v>220.70608186257931</v>
      </c>
      <c r="CE141" s="62">
        <f t="shared" si="148"/>
        <v>208.79744153433245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6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9">
        <f t="shared" si="110"/>
        <v>462.31712746583173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projet'!$B$9,Paramètres!$A$1:$I$89,3,0)*VLOOKUP('Données projet'!$B$9,Paramètres!$A$1:$I$89,5,0)</f>
        <v>-1.9065282685915009E-13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302.20483575440988</v>
      </c>
      <c r="T142" s="62">
        <f t="shared" si="142"/>
        <v>275.32862097158687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1.0844715650321628</v>
      </c>
      <c r="AB142" s="23">
        <f>EXP(-LN(2)/2)*AB141+(1-EXP(-LN(2)/2))/(LN(2)/2)*V142*Y142*VLOOKUP('Données projet'!$B$9,Paramètres!$A$1:$I$89,3,0)*0.475*44/12</f>
        <v>4.3208085000980999E-16</v>
      </c>
      <c r="AC142" s="24">
        <f t="shared" si="111"/>
        <v>1.0844715650321632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180.20749454145079</v>
      </c>
      <c r="AO142" s="62">
        <f t="shared" si="144"/>
        <v>307.23455947678775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1.4194777322546077</v>
      </c>
      <c r="AW142" s="23">
        <f>EXP(-LN(2)/2)*AW141+(1-EXP(-LN(2)/2))/(LN(2)/2)*AQ142*AT142*VLOOKUP('Données projet'!$B$10,Paramètres!$A$1:$I$89,3,0)*0.475*44/12</f>
        <v>1.1652118329671206E-15</v>
      </c>
      <c r="AX142" s="23">
        <f t="shared" si="114"/>
        <v>1.4194777322546088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2.2737367544323206E-13</v>
      </c>
      <c r="BE142" s="14">
        <f>BD142*VLOOKUP('Données projet'!$B$11,Paramètres!$A$1:$I$89,3,0)*VLOOKUP('Données projet'!$B$11,Paramètres!$A$1:$I$89,5,0)</f>
        <v>1.8089849618263545E-13</v>
      </c>
      <c r="BF142" s="14">
        <f t="shared" si="145"/>
        <v>2.536422473342444E-12</v>
      </c>
      <c r="BG142" s="22">
        <f t="shared" si="115"/>
        <v>4.7326673552561798E-12</v>
      </c>
      <c r="BH142" s="62">
        <f t="shared" si="116"/>
        <v>293.33333333333803</v>
      </c>
      <c r="BI142" s="62">
        <f ca="1">AVERAGE(OFFSET($BH$3,0,0,'Données projet'!$E$11+1,1))-AVERAGE(OFFSET($H$3,0,0,'Données projet'!$E$11+1,1))</f>
        <v>219.61164494001008</v>
      </c>
      <c r="BJ142" s="62">
        <f t="shared" si="146"/>
        <v>219.59799863414111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8.8675733422860506E-14</v>
      </c>
      <c r="CA142" s="14">
        <f t="shared" si="147"/>
        <v>1.3509285393066301E-12</v>
      </c>
      <c r="CB142" s="22">
        <f t="shared" si="118"/>
        <v>2.5073107750038623E-12</v>
      </c>
      <c r="CC142" s="62">
        <f t="shared" si="119"/>
        <v>293.33333333333582</v>
      </c>
      <c r="CD142" s="62">
        <f ca="1">AVERAGE(OFFSET($CC$3,0,0,'Données projet'!$E$12+1,1))-AVERAGE(OFFSET($H$3,0,0,'Données projet'!$E$12+1,1))</f>
        <v>220.70608186257931</v>
      </c>
      <c r="CE142" s="62">
        <f t="shared" si="148"/>
        <v>208.79744153433245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6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9">
        <f t="shared" si="110"/>
        <v>463.50192237208853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projet'!$B$9,Paramètres!$A$1:$I$89,3,0)*VLOOKUP('Données projet'!$B$9,Paramètres!$A$1:$I$89,5,0)</f>
        <v>-1.9065282685915009E-13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302.20483575440988</v>
      </c>
      <c r="T143" s="62">
        <f t="shared" si="142"/>
        <v>275.32862097158687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1.0548166330564772</v>
      </c>
      <c r="AB143" s="23">
        <f>EXP(-LN(2)/2)*AB142+(1-EXP(-LN(2)/2))/(LN(2)/2)*V143*Y143*VLOOKUP('Données projet'!$B$9,Paramètres!$A$1:$I$89,3,0)*0.475*44/12</f>
        <v>3.0552729906278419E-16</v>
      </c>
      <c r="AC143" s="24">
        <f t="shared" si="111"/>
        <v>1.0548166330564774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180.20749454145079</v>
      </c>
      <c r="AO143" s="62">
        <f t="shared" si="144"/>
        <v>307.23455947678775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1.3806620390190159</v>
      </c>
      <c r="AW143" s="23">
        <f>EXP(-LN(2)/2)*AW142+(1-EXP(-LN(2)/2))/(LN(2)/2)*AQ143*AT143*VLOOKUP('Données projet'!$B$10,Paramètres!$A$1:$I$89,3,0)*0.475*44/12</f>
        <v>8.2392918860985768E-16</v>
      </c>
      <c r="AX143" s="23">
        <f t="shared" si="114"/>
        <v>1.3806620390190167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2.2737367544323206E-13</v>
      </c>
      <c r="BE143" s="14">
        <f>BD143*VLOOKUP('Données projet'!$B$11,Paramètres!$A$1:$I$89,3,0)*VLOOKUP('Données projet'!$B$11,Paramètres!$A$1:$I$89,5,0)</f>
        <v>1.8089849618263545E-13</v>
      </c>
      <c r="BF143" s="14">
        <f t="shared" si="145"/>
        <v>2.536422473342444E-12</v>
      </c>
      <c r="BG143" s="22">
        <f t="shared" si="115"/>
        <v>4.7326673552561798E-12</v>
      </c>
      <c r="BH143" s="62">
        <f t="shared" si="116"/>
        <v>293.33333333333803</v>
      </c>
      <c r="BI143" s="62">
        <f ca="1">AVERAGE(OFFSET($BH$3,0,0,'Données projet'!$E$11+1,1))-AVERAGE(OFFSET($H$3,0,0,'Données projet'!$E$11+1,1))</f>
        <v>219.61164494001008</v>
      </c>
      <c r="BJ143" s="62">
        <f t="shared" si="146"/>
        <v>219.59799863414111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8.8675733422860506E-14</v>
      </c>
      <c r="CA143" s="14">
        <f t="shared" si="147"/>
        <v>1.3509285393066301E-12</v>
      </c>
      <c r="CB143" s="22">
        <f t="shared" si="118"/>
        <v>2.5073107750038623E-12</v>
      </c>
      <c r="CC143" s="62">
        <f t="shared" si="119"/>
        <v>293.33333333333582</v>
      </c>
      <c r="CD143" s="62">
        <f ca="1">AVERAGE(OFFSET($CC$3,0,0,'Données projet'!$E$12+1,1))-AVERAGE(OFFSET($H$3,0,0,'Données projet'!$E$12+1,1))</f>
        <v>220.70608186257931</v>
      </c>
      <c r="CE143" s="62">
        <f t="shared" si="148"/>
        <v>208.79744153433245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6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9">
        <f t="shared" si="110"/>
        <v>464.68652293206395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projet'!$B$9,Paramètres!$A$1:$I$89,3,0)*VLOOKUP('Données projet'!$B$9,Paramètres!$A$1:$I$89,5,0)</f>
        <v>-1.9065282685915009E-13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302.20483575440988</v>
      </c>
      <c r="T144" s="62">
        <f t="shared" si="142"/>
        <v>275.32862097158687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1.0259726167551519</v>
      </c>
      <c r="AB144" s="23">
        <f>EXP(-LN(2)/2)*AB143+(1-EXP(-LN(2)/2))/(LN(2)/2)*V144*Y144*VLOOKUP('Données projet'!$B$9,Paramètres!$A$1:$I$89,3,0)*0.475*44/12</f>
        <v>2.1604042500490502E-16</v>
      </c>
      <c r="AC144" s="24">
        <f t="shared" si="111"/>
        <v>1.0259726167551522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180.20749454145079</v>
      </c>
      <c r="AO144" s="62">
        <f t="shared" si="144"/>
        <v>307.23455947678775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1.3429077629561799</v>
      </c>
      <c r="AW144" s="23">
        <f>EXP(-LN(2)/2)*AW143+(1-EXP(-LN(2)/2))/(LN(2)/2)*AQ144*AT144*VLOOKUP('Données projet'!$B$10,Paramètres!$A$1:$I$89,3,0)*0.475*44/12</f>
        <v>5.8260591648356028E-16</v>
      </c>
      <c r="AX144" s="23">
        <f t="shared" si="114"/>
        <v>1.3429077629561805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2.2737367544323206E-13</v>
      </c>
      <c r="BE144" s="14">
        <f>BD144*VLOOKUP('Données projet'!$B$11,Paramètres!$A$1:$I$89,3,0)*VLOOKUP('Données projet'!$B$11,Paramètres!$A$1:$I$89,5,0)</f>
        <v>1.8089849618263545E-13</v>
      </c>
      <c r="BF144" s="14">
        <f t="shared" si="145"/>
        <v>2.536422473342444E-12</v>
      </c>
      <c r="BG144" s="22">
        <f t="shared" si="115"/>
        <v>4.7326673552561798E-12</v>
      </c>
      <c r="BH144" s="62">
        <f t="shared" si="116"/>
        <v>293.33333333333803</v>
      </c>
      <c r="BI144" s="62">
        <f ca="1">AVERAGE(OFFSET($BH$3,0,0,'Données projet'!$E$11+1,1))-AVERAGE(OFFSET($H$3,0,0,'Données projet'!$E$11+1,1))</f>
        <v>219.61164494001008</v>
      </c>
      <c r="BJ144" s="62">
        <f t="shared" si="146"/>
        <v>219.59799863414111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8.8675733422860506E-14</v>
      </c>
      <c r="CA144" s="14">
        <f t="shared" si="147"/>
        <v>1.3509285393066301E-12</v>
      </c>
      <c r="CB144" s="22">
        <f t="shared" si="118"/>
        <v>2.5073107750038623E-12</v>
      </c>
      <c r="CC144" s="62">
        <f t="shared" si="119"/>
        <v>293.33333333333582</v>
      </c>
      <c r="CD144" s="62">
        <f ca="1">AVERAGE(OFFSET($CC$3,0,0,'Données projet'!$E$12+1,1))-AVERAGE(OFFSET($H$3,0,0,'Données projet'!$E$12+1,1))</f>
        <v>220.70608186257931</v>
      </c>
      <c r="CE144" s="62">
        <f t="shared" si="148"/>
        <v>208.79744153433245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6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9">
        <f t="shared" si="110"/>
        <v>465.87093068393028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projet'!$B$9,Paramètres!$A$1:$I$89,3,0)*VLOOKUP('Données projet'!$B$9,Paramètres!$A$1:$I$89,5,0)</f>
        <v>-1.9065282685915009E-13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302.20483575440988</v>
      </c>
      <c r="T145" s="62">
        <f t="shared" si="142"/>
        <v>275.32862097158687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0.99791734159642731</v>
      </c>
      <c r="AB145" s="23">
        <f>EXP(-LN(2)/2)*AB144+(1-EXP(-LN(2)/2))/(LN(2)/2)*V145*Y145*VLOOKUP('Données projet'!$B$9,Paramètres!$A$1:$I$89,3,0)*0.475*44/12</f>
        <v>1.5276364953139212E-16</v>
      </c>
      <c r="AC145" s="24">
        <f t="shared" si="111"/>
        <v>0.99791734159642742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180.20749454145079</v>
      </c>
      <c r="AO145" s="62">
        <f t="shared" si="144"/>
        <v>307.23455947678775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1.3061858795576931</v>
      </c>
      <c r="AW145" s="23">
        <f>EXP(-LN(2)/2)*AW144+(1-EXP(-LN(2)/2))/(LN(2)/2)*AQ145*AT145*VLOOKUP('Données projet'!$B$10,Paramètres!$A$1:$I$89,3,0)*0.475*44/12</f>
        <v>4.1196459430492884E-16</v>
      </c>
      <c r="AX145" s="23">
        <f t="shared" si="114"/>
        <v>1.3061858795576935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2.2737367544323206E-13</v>
      </c>
      <c r="BE145" s="14">
        <f>BD145*VLOOKUP('Données projet'!$B$11,Paramètres!$A$1:$I$89,3,0)*VLOOKUP('Données projet'!$B$11,Paramètres!$A$1:$I$89,5,0)</f>
        <v>1.8089849618263545E-13</v>
      </c>
      <c r="BF145" s="14">
        <f t="shared" si="145"/>
        <v>2.536422473342444E-12</v>
      </c>
      <c r="BG145" s="22">
        <f t="shared" si="115"/>
        <v>4.7326673552561798E-12</v>
      </c>
      <c r="BH145" s="62">
        <f t="shared" si="116"/>
        <v>293.33333333333803</v>
      </c>
      <c r="BI145" s="62">
        <f ca="1">AVERAGE(OFFSET($BH$3,0,0,'Données projet'!$E$11+1,1))-AVERAGE(OFFSET($H$3,0,0,'Données projet'!$E$11+1,1))</f>
        <v>219.61164494001008</v>
      </c>
      <c r="BJ145" s="62">
        <f t="shared" si="146"/>
        <v>219.59799863414111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8.8675733422860506E-14</v>
      </c>
      <c r="CA145" s="14">
        <f t="shared" si="147"/>
        <v>1.3509285393066301E-12</v>
      </c>
      <c r="CB145" s="22">
        <f t="shared" si="118"/>
        <v>2.5073107750038623E-12</v>
      </c>
      <c r="CC145" s="62">
        <f t="shared" si="119"/>
        <v>293.33333333333582</v>
      </c>
      <c r="CD145" s="62">
        <f ca="1">AVERAGE(OFFSET($CC$3,0,0,'Données projet'!$E$12+1,1))-AVERAGE(OFFSET($H$3,0,0,'Données projet'!$E$12+1,1))</f>
        <v>220.70608186257931</v>
      </c>
      <c r="CE145" s="62">
        <f t="shared" si="148"/>
        <v>208.79744153433245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6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9">
        <f t="shared" si="110"/>
        <v>467.0551471429435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projet'!$B$9,Paramètres!$A$1:$I$89,3,0)*VLOOKUP('Données projet'!$B$9,Paramètres!$A$1:$I$89,5,0)</f>
        <v>-1.9065282685915009E-13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302.20483575440988</v>
      </c>
      <c r="T146" s="62">
        <f t="shared" si="142"/>
        <v>275.32862097158687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0.97062923941228074</v>
      </c>
      <c r="AB146" s="23">
        <f>EXP(-LN(2)/2)*AB145+(1-EXP(-LN(2)/2))/(LN(2)/2)*V146*Y146*VLOOKUP('Données projet'!$B$9,Paramètres!$A$1:$I$89,3,0)*0.475*44/12</f>
        <v>1.0802021250245253E-16</v>
      </c>
      <c r="AC146" s="24">
        <f t="shared" si="111"/>
        <v>0.97062923941228085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180.20749454145079</v>
      </c>
      <c r="AO146" s="62">
        <f t="shared" si="144"/>
        <v>307.23455947678775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1.2704681579918577</v>
      </c>
      <c r="AW146" s="23">
        <f>EXP(-LN(2)/2)*AW145+(1-EXP(-LN(2)/2))/(LN(2)/2)*AQ146*AT146*VLOOKUP('Données projet'!$B$10,Paramètres!$A$1:$I$89,3,0)*0.475*44/12</f>
        <v>2.9130295824178014E-16</v>
      </c>
      <c r="AX146" s="23">
        <f t="shared" si="114"/>
        <v>1.270468157991858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2.2737367544323206E-13</v>
      </c>
      <c r="BE146" s="14">
        <f>BD146*VLOOKUP('Données projet'!$B$11,Paramètres!$A$1:$I$89,3,0)*VLOOKUP('Données projet'!$B$11,Paramètres!$A$1:$I$89,5,0)</f>
        <v>1.8089849618263545E-13</v>
      </c>
      <c r="BF146" s="14">
        <f t="shared" si="145"/>
        <v>2.536422473342444E-12</v>
      </c>
      <c r="BG146" s="22">
        <f t="shared" si="115"/>
        <v>4.7326673552561798E-12</v>
      </c>
      <c r="BH146" s="62">
        <f t="shared" si="116"/>
        <v>293.33333333333803</v>
      </c>
      <c r="BI146" s="62">
        <f ca="1">AVERAGE(OFFSET($BH$3,0,0,'Données projet'!$E$11+1,1))-AVERAGE(OFFSET($H$3,0,0,'Données projet'!$E$11+1,1))</f>
        <v>219.61164494001008</v>
      </c>
      <c r="BJ146" s="62">
        <f t="shared" si="146"/>
        <v>219.59799863414111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8.8675733422860506E-14</v>
      </c>
      <c r="CA146" s="14">
        <f t="shared" si="147"/>
        <v>1.3509285393066301E-12</v>
      </c>
      <c r="CB146" s="22">
        <f t="shared" si="118"/>
        <v>2.5073107750038623E-12</v>
      </c>
      <c r="CC146" s="62">
        <f t="shared" si="119"/>
        <v>293.33333333333582</v>
      </c>
      <c r="CD146" s="62">
        <f ca="1">AVERAGE(OFFSET($CC$3,0,0,'Données projet'!$E$12+1,1))-AVERAGE(OFFSET($H$3,0,0,'Données projet'!$E$12+1,1))</f>
        <v>220.70608186257931</v>
      </c>
      <c r="CE146" s="62">
        <f t="shared" si="148"/>
        <v>208.79744153433245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6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9">
        <f t="shared" si="110"/>
        <v>468.23917380194229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projet'!$B$9,Paramètres!$A$1:$I$89,3,0)*VLOOKUP('Données projet'!$B$9,Paramètres!$A$1:$I$89,5,0)</f>
        <v>-1.9065282685915009E-13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302.20483575440988</v>
      </c>
      <c r="T147" s="62">
        <f t="shared" si="142"/>
        <v>275.32862097158687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0.94408733181737858</v>
      </c>
      <c r="AB147" s="23">
        <f>EXP(-LN(2)/2)*AB146+(1-EXP(-LN(2)/2))/(LN(2)/2)*V147*Y147*VLOOKUP('Données projet'!$B$9,Paramètres!$A$1:$I$89,3,0)*0.475*44/12</f>
        <v>7.6381824765696071E-17</v>
      </c>
      <c r="AC147" s="24">
        <f t="shared" si="111"/>
        <v>0.94408733181737869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180.20749454145079</v>
      </c>
      <c r="AO147" s="62">
        <f t="shared" si="144"/>
        <v>307.23455947678775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1.2357271394005536</v>
      </c>
      <c r="AW147" s="23">
        <f>EXP(-LN(2)/2)*AW146+(1-EXP(-LN(2)/2))/(LN(2)/2)*AQ147*AT147*VLOOKUP('Données projet'!$B$10,Paramètres!$A$1:$I$89,3,0)*0.475*44/12</f>
        <v>2.0598229715246442E-16</v>
      </c>
      <c r="AX147" s="23">
        <f t="shared" si="114"/>
        <v>1.2357271394005538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2.2737367544323206E-13</v>
      </c>
      <c r="BE147" s="14">
        <f>BD147*VLOOKUP('Données projet'!$B$11,Paramètres!$A$1:$I$89,3,0)*VLOOKUP('Données projet'!$B$11,Paramètres!$A$1:$I$89,5,0)</f>
        <v>1.8089849618263545E-13</v>
      </c>
      <c r="BF147" s="14">
        <f t="shared" si="145"/>
        <v>2.536422473342444E-12</v>
      </c>
      <c r="BG147" s="22">
        <f t="shared" si="115"/>
        <v>4.7326673552561798E-12</v>
      </c>
      <c r="BH147" s="62">
        <f t="shared" si="116"/>
        <v>293.33333333333803</v>
      </c>
      <c r="BI147" s="62">
        <f ca="1">AVERAGE(OFFSET($BH$3,0,0,'Données projet'!$E$11+1,1))-AVERAGE(OFFSET($H$3,0,0,'Données projet'!$E$11+1,1))</f>
        <v>219.61164494001008</v>
      </c>
      <c r="BJ147" s="62">
        <f t="shared" si="146"/>
        <v>219.59799863414111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8.8675733422860506E-14</v>
      </c>
      <c r="CA147" s="14">
        <f t="shared" si="147"/>
        <v>1.3509285393066301E-12</v>
      </c>
      <c r="CB147" s="22">
        <f t="shared" si="118"/>
        <v>2.5073107750038623E-12</v>
      </c>
      <c r="CC147" s="62">
        <f t="shared" si="119"/>
        <v>293.33333333333582</v>
      </c>
      <c r="CD147" s="62">
        <f ca="1">AVERAGE(OFFSET($CC$3,0,0,'Données projet'!$E$12+1,1))-AVERAGE(OFFSET($H$3,0,0,'Données projet'!$E$12+1,1))</f>
        <v>220.70608186257931</v>
      </c>
      <c r="CE147" s="62">
        <f t="shared" si="148"/>
        <v>208.79744153433245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6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9">
        <f t="shared" si="110"/>
        <v>469.42301213183316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projet'!$B$9,Paramètres!$A$1:$I$89,3,0)*VLOOKUP('Données projet'!$B$9,Paramètres!$A$1:$I$89,5,0)</f>
        <v>-1.9065282685915009E-13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302.20483575440988</v>
      </c>
      <c r="T148" s="62">
        <f t="shared" si="142"/>
        <v>275.32862097158687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0.9182712140814373</v>
      </c>
      <c r="AB148" s="23">
        <f>EXP(-LN(2)/2)*AB147+(1-EXP(-LN(2)/2))/(LN(2)/2)*V148*Y148*VLOOKUP('Données projet'!$B$9,Paramètres!$A$1:$I$89,3,0)*0.475*44/12</f>
        <v>5.4010106251226273E-17</v>
      </c>
      <c r="AC148" s="24">
        <f t="shared" si="111"/>
        <v>0.9182712140814373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180.20749454145079</v>
      </c>
      <c r="AO148" s="62">
        <f t="shared" si="144"/>
        <v>307.23455947678775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1.2019361157895794</v>
      </c>
      <c r="AW148" s="23">
        <f>EXP(-LN(2)/2)*AW147+(1-EXP(-LN(2)/2))/(LN(2)/2)*AQ148*AT148*VLOOKUP('Données projet'!$B$10,Paramètres!$A$1:$I$89,3,0)*0.475*44/12</f>
        <v>1.4565147912089007E-16</v>
      </c>
      <c r="AX148" s="23">
        <f t="shared" si="114"/>
        <v>1.2019361157895796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2.2737367544323206E-13</v>
      </c>
      <c r="BE148" s="14">
        <f>BD148*VLOOKUP('Données projet'!$B$11,Paramètres!$A$1:$I$89,3,0)*VLOOKUP('Données projet'!$B$11,Paramètres!$A$1:$I$89,5,0)</f>
        <v>1.8089849618263545E-13</v>
      </c>
      <c r="BF148" s="14">
        <f t="shared" si="145"/>
        <v>2.536422473342444E-12</v>
      </c>
      <c r="BG148" s="22">
        <f t="shared" si="115"/>
        <v>4.7326673552561798E-12</v>
      </c>
      <c r="BH148" s="62">
        <f t="shared" si="116"/>
        <v>293.33333333333803</v>
      </c>
      <c r="BI148" s="62">
        <f ca="1">AVERAGE(OFFSET($BH$3,0,0,'Données projet'!$E$11+1,1))-AVERAGE(OFFSET($H$3,0,0,'Données projet'!$E$11+1,1))</f>
        <v>219.61164494001008</v>
      </c>
      <c r="BJ148" s="62">
        <f t="shared" si="146"/>
        <v>219.59799863414111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8.8675733422860506E-14</v>
      </c>
      <c r="CA148" s="14">
        <f t="shared" si="147"/>
        <v>1.3509285393066301E-12</v>
      </c>
      <c r="CB148" s="22">
        <f t="shared" si="118"/>
        <v>2.5073107750038623E-12</v>
      </c>
      <c r="CC148" s="62">
        <f t="shared" si="119"/>
        <v>293.33333333333582</v>
      </c>
      <c r="CD148" s="62">
        <f ca="1">AVERAGE(OFFSET($CC$3,0,0,'Données projet'!$E$12+1,1))-AVERAGE(OFFSET($H$3,0,0,'Données projet'!$E$12+1,1))</f>
        <v>220.70608186257931</v>
      </c>
      <c r="CE148" s="62">
        <f t="shared" si="148"/>
        <v>208.79744153433245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6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9">
        <f t="shared" si="110"/>
        <v>470.60666358206163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projet'!$B$9,Paramètres!$A$1:$I$89,3,0)*VLOOKUP('Données projet'!$B$9,Paramètres!$A$1:$I$89,5,0)</f>
        <v>-1.9065282685915009E-13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302.20483575440988</v>
      </c>
      <c r="T149" s="62">
        <f t="shared" si="142"/>
        <v>275.32862097158687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0.89316103944259595</v>
      </c>
      <c r="AB149" s="23">
        <f>EXP(-LN(2)/2)*AB148+(1-EXP(-LN(2)/2))/(LN(2)/2)*V149*Y149*VLOOKUP('Données projet'!$B$9,Paramètres!$A$1:$I$89,3,0)*0.475*44/12</f>
        <v>3.8190912382848042E-17</v>
      </c>
      <c r="AC149" s="24">
        <f t="shared" si="111"/>
        <v>0.89316103944259595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180.20749454145079</v>
      </c>
      <c r="AO149" s="62">
        <f t="shared" si="144"/>
        <v>307.23455947678775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1.16906910949624</v>
      </c>
      <c r="AW149" s="23">
        <f>EXP(-LN(2)/2)*AW148+(1-EXP(-LN(2)/2))/(LN(2)/2)*AQ149*AT149*VLOOKUP('Données projet'!$B$10,Paramètres!$A$1:$I$89,3,0)*0.475*44/12</f>
        <v>1.0299114857623221E-16</v>
      </c>
      <c r="AX149" s="23">
        <f t="shared" si="114"/>
        <v>1.16906910949624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2.2737367544323206E-13</v>
      </c>
      <c r="BE149" s="14">
        <f>BD149*VLOOKUP('Données projet'!$B$11,Paramètres!$A$1:$I$89,3,0)*VLOOKUP('Données projet'!$B$11,Paramètres!$A$1:$I$89,5,0)</f>
        <v>1.8089849618263545E-13</v>
      </c>
      <c r="BF149" s="14">
        <f t="shared" si="145"/>
        <v>2.536422473342444E-12</v>
      </c>
      <c r="BG149" s="22">
        <f t="shared" si="115"/>
        <v>4.7326673552561798E-12</v>
      </c>
      <c r="BH149" s="62">
        <f t="shared" si="116"/>
        <v>293.33333333333803</v>
      </c>
      <c r="BI149" s="62">
        <f ca="1">AVERAGE(OFFSET($BH$3,0,0,'Données projet'!$E$11+1,1))-AVERAGE(OFFSET($H$3,0,0,'Données projet'!$E$11+1,1))</f>
        <v>219.61164494001008</v>
      </c>
      <c r="BJ149" s="62">
        <f t="shared" si="146"/>
        <v>219.59799863414111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8.8675733422860506E-14</v>
      </c>
      <c r="CA149" s="14">
        <f t="shared" si="147"/>
        <v>1.3509285393066301E-12</v>
      </c>
      <c r="CB149" s="22">
        <f t="shared" si="118"/>
        <v>2.5073107750038623E-12</v>
      </c>
      <c r="CC149" s="62">
        <f t="shared" si="119"/>
        <v>293.33333333333582</v>
      </c>
      <c r="CD149" s="62">
        <f ca="1">AVERAGE(OFFSET($CC$3,0,0,'Données projet'!$E$12+1,1))-AVERAGE(OFFSET($H$3,0,0,'Données projet'!$E$12+1,1))</f>
        <v>220.70608186257931</v>
      </c>
      <c r="CE149" s="62">
        <f t="shared" si="148"/>
        <v>208.79744153433245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6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9">
        <f t="shared" si="110"/>
        <v>471.79012958106995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projet'!$B$9,Paramètres!$A$1:$I$89,3,0)*VLOOKUP('Données projet'!$B$9,Paramètres!$A$1:$I$89,5,0)</f>
        <v>-1.9065282685915009E-13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302.20483575440988</v>
      </c>
      <c r="T150" s="62">
        <f t="shared" si="142"/>
        <v>275.32862097158687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0.86873750384974047</v>
      </c>
      <c r="AB150" s="23">
        <f>EXP(-LN(2)/2)*AB149+(1-EXP(-LN(2)/2))/(LN(2)/2)*V150*Y150*VLOOKUP('Données projet'!$B$9,Paramètres!$A$1:$I$89,3,0)*0.475*44/12</f>
        <v>2.7005053125613139E-17</v>
      </c>
      <c r="AC150" s="24">
        <f t="shared" si="111"/>
        <v>0.86873750384974047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180.20749454145079</v>
      </c>
      <c r="AO150" s="62">
        <f t="shared" si="144"/>
        <v>307.23455947678775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1.1371008532183928</v>
      </c>
      <c r="AW150" s="23">
        <f>EXP(-LN(2)/2)*AW149+(1-EXP(-LN(2)/2))/(LN(2)/2)*AQ150*AT150*VLOOKUP('Données projet'!$B$10,Paramètres!$A$1:$I$89,3,0)*0.475*44/12</f>
        <v>7.2825739560445035E-17</v>
      </c>
      <c r="AX150" s="23">
        <f t="shared" si="114"/>
        <v>1.1371008532183928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2.2737367544323206E-13</v>
      </c>
      <c r="BE150" s="14">
        <f>BD150*VLOOKUP('Données projet'!$B$11,Paramètres!$A$1:$I$89,3,0)*VLOOKUP('Données projet'!$B$11,Paramètres!$A$1:$I$89,5,0)</f>
        <v>1.8089849618263545E-13</v>
      </c>
      <c r="BF150" s="14">
        <f t="shared" si="145"/>
        <v>2.536422473342444E-12</v>
      </c>
      <c r="BG150" s="22">
        <f t="shared" si="115"/>
        <v>4.7326673552561798E-12</v>
      </c>
      <c r="BH150" s="62">
        <f t="shared" si="116"/>
        <v>293.33333333333803</v>
      </c>
      <c r="BI150" s="62">
        <f ca="1">AVERAGE(OFFSET($BH$3,0,0,'Données projet'!$E$11+1,1))-AVERAGE(OFFSET($H$3,0,0,'Données projet'!$E$11+1,1))</f>
        <v>219.61164494001008</v>
      </c>
      <c r="BJ150" s="62">
        <f t="shared" si="146"/>
        <v>219.59799863414111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8.8675733422860506E-14</v>
      </c>
      <c r="CA150" s="14">
        <f t="shared" si="147"/>
        <v>1.3509285393066301E-12</v>
      </c>
      <c r="CB150" s="22">
        <f t="shared" si="118"/>
        <v>2.5073107750038623E-12</v>
      </c>
      <c r="CC150" s="62">
        <f t="shared" si="119"/>
        <v>293.33333333333582</v>
      </c>
      <c r="CD150" s="62">
        <f ca="1">AVERAGE(OFFSET($CC$3,0,0,'Données projet'!$E$12+1,1))-AVERAGE(OFFSET($H$3,0,0,'Données projet'!$E$12+1,1))</f>
        <v>220.70608186257931</v>
      </c>
      <c r="CE150" s="62">
        <f t="shared" si="148"/>
        <v>208.79744153433245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6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9">
        <f t="shared" si="110"/>
        <v>472.9734115367425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projet'!$B$9,Paramètres!$A$1:$I$89,3,0)*VLOOKUP('Données projet'!$B$9,Paramètres!$A$1:$I$89,5,0)</f>
        <v>-1.9065282685915009E-13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302.20483575440988</v>
      </c>
      <c r="T151" s="62">
        <f t="shared" si="142"/>
        <v>275.32862097158687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0.8449818311220495</v>
      </c>
      <c r="AB151" s="23">
        <f>EXP(-LN(2)/2)*AB150+(1-EXP(-LN(2)/2))/(LN(2)/2)*V151*Y151*VLOOKUP('Données projet'!$B$9,Paramètres!$A$1:$I$89,3,0)*0.475*44/12</f>
        <v>1.9095456191424024E-17</v>
      </c>
      <c r="AC151" s="24">
        <f t="shared" si="111"/>
        <v>0.8449818311220495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180.20749454145079</v>
      </c>
      <c r="AO151" s="62">
        <f t="shared" si="144"/>
        <v>307.23455947678775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1.1060067705896008</v>
      </c>
      <c r="AW151" s="23">
        <f>EXP(-LN(2)/2)*AW150+(1-EXP(-LN(2)/2))/(LN(2)/2)*AQ151*AT151*VLOOKUP('Données projet'!$B$10,Paramètres!$A$1:$I$89,3,0)*0.475*44/12</f>
        <v>5.1495574288116105E-17</v>
      </c>
      <c r="AX151" s="23">
        <f t="shared" si="114"/>
        <v>1.1060067705896008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2.2737367544323206E-13</v>
      </c>
      <c r="BE151" s="14">
        <f>BD151*VLOOKUP('Données projet'!$B$11,Paramètres!$A$1:$I$89,3,0)*VLOOKUP('Données projet'!$B$11,Paramètres!$A$1:$I$89,5,0)</f>
        <v>1.8089849618263545E-13</v>
      </c>
      <c r="BF151" s="14">
        <f t="shared" si="145"/>
        <v>2.536422473342444E-12</v>
      </c>
      <c r="BG151" s="22">
        <f t="shared" si="115"/>
        <v>4.7326673552561798E-12</v>
      </c>
      <c r="BH151" s="62">
        <f t="shared" si="116"/>
        <v>293.33333333333803</v>
      </c>
      <c r="BI151" s="62">
        <f ca="1">AVERAGE(OFFSET($BH$3,0,0,'Données projet'!$E$11+1,1))-AVERAGE(OFFSET($H$3,0,0,'Données projet'!$E$11+1,1))</f>
        <v>219.61164494001008</v>
      </c>
      <c r="BJ151" s="62">
        <f t="shared" si="146"/>
        <v>219.59799863414111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8.8675733422860506E-14</v>
      </c>
      <c r="CA151" s="14">
        <f t="shared" si="147"/>
        <v>1.3509285393066301E-12</v>
      </c>
      <c r="CB151" s="22">
        <f t="shared" si="118"/>
        <v>2.5073107750038623E-12</v>
      </c>
      <c r="CC151" s="62">
        <f t="shared" si="119"/>
        <v>293.33333333333582</v>
      </c>
      <c r="CD151" s="62">
        <f ca="1">AVERAGE(OFFSET($CC$3,0,0,'Données projet'!$E$12+1,1))-AVERAGE(OFFSET($H$3,0,0,'Données projet'!$E$12+1,1))</f>
        <v>220.70608186257931</v>
      </c>
      <c r="CE151" s="62">
        <f t="shared" si="148"/>
        <v>208.79744153433245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6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9">
        <f t="shared" si="110"/>
        <v>474.15651083683827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projet'!$B$9,Paramètres!$A$1:$I$89,3,0)*VLOOKUP('Données projet'!$B$9,Paramètres!$A$1:$I$89,5,0)</f>
        <v>-1.9065282685915009E-13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302.20483575440988</v>
      </c>
      <c r="T152" s="62">
        <f t="shared" si="142"/>
        <v>275.32862097158687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0.82187575851435379</v>
      </c>
      <c r="AB152" s="23">
        <f>EXP(-LN(2)/2)*AB151+(1-EXP(-LN(2)/2))/(LN(2)/2)*V152*Y152*VLOOKUP('Données projet'!$B$9,Paramètres!$A$1:$I$89,3,0)*0.475*44/12</f>
        <v>1.3502526562806573E-17</v>
      </c>
      <c r="AC152" s="24">
        <f t="shared" si="111"/>
        <v>0.82187575851435379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180.20749454145079</v>
      </c>
      <c r="AO152" s="62">
        <f t="shared" si="144"/>
        <v>307.23455947678775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1.0757629572854599</v>
      </c>
      <c r="AW152" s="23">
        <f>EXP(-LN(2)/2)*AW151+(1-EXP(-LN(2)/2))/(LN(2)/2)*AQ152*AT152*VLOOKUP('Données projet'!$B$10,Paramètres!$A$1:$I$89,3,0)*0.475*44/12</f>
        <v>3.6412869780222517E-17</v>
      </c>
      <c r="AX152" s="23">
        <f t="shared" si="114"/>
        <v>1.0757629572854599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2.2737367544323206E-13</v>
      </c>
      <c r="BE152" s="14">
        <f>BD152*VLOOKUP('Données projet'!$B$11,Paramètres!$A$1:$I$89,3,0)*VLOOKUP('Données projet'!$B$11,Paramètres!$A$1:$I$89,5,0)</f>
        <v>1.8089849618263545E-13</v>
      </c>
      <c r="BF152" s="14">
        <f t="shared" si="145"/>
        <v>2.536422473342444E-12</v>
      </c>
      <c r="BG152" s="22">
        <f t="shared" si="115"/>
        <v>4.7326673552561798E-12</v>
      </c>
      <c r="BH152" s="62">
        <f t="shared" si="116"/>
        <v>293.33333333333803</v>
      </c>
      <c r="BI152" s="62">
        <f ca="1">AVERAGE(OFFSET($BH$3,0,0,'Données projet'!$E$11+1,1))-AVERAGE(OFFSET($H$3,0,0,'Données projet'!$E$11+1,1))</f>
        <v>219.61164494001008</v>
      </c>
      <c r="BJ152" s="62">
        <f t="shared" si="146"/>
        <v>219.59799863414111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8.8675733422860506E-14</v>
      </c>
      <c r="CA152" s="14">
        <f t="shared" si="147"/>
        <v>1.3509285393066301E-12</v>
      </c>
      <c r="CB152" s="22">
        <f t="shared" si="118"/>
        <v>2.5073107750038623E-12</v>
      </c>
      <c r="CC152" s="62">
        <f t="shared" si="119"/>
        <v>293.33333333333582</v>
      </c>
      <c r="CD152" s="62">
        <f ca="1">AVERAGE(OFFSET($CC$3,0,0,'Données projet'!$E$12+1,1))-AVERAGE(OFFSET($H$3,0,0,'Données projet'!$E$12+1,1))</f>
        <v>220.70608186257931</v>
      </c>
      <c r="CE152" s="62">
        <f t="shared" si="148"/>
        <v>208.79744153433245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6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9">
        <f t="shared" si="110"/>
        <v>475.33942884941183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projet'!$B$9,Paramètres!$A$1:$I$89,3,0)*VLOOKUP('Données projet'!$B$9,Paramètres!$A$1:$I$89,5,0)</f>
        <v>-1.9065282685915009E-13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302.20483575440988</v>
      </c>
      <c r="T153" s="62">
        <f t="shared" si="142"/>
        <v>275.32862097158687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0.7994015226772111</v>
      </c>
      <c r="AB153" s="23">
        <f>EXP(-LN(2)/2)*AB152+(1-EXP(-LN(2)/2))/(LN(2)/2)*V153*Y153*VLOOKUP('Données projet'!$B$9,Paramètres!$A$1:$I$89,3,0)*0.475*44/12</f>
        <v>9.5477280957120135E-18</v>
      </c>
      <c r="AC153" s="24">
        <f t="shared" si="111"/>
        <v>0.7994015226772111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180.20749454145079</v>
      </c>
      <c r="AO153" s="62">
        <f t="shared" si="144"/>
        <v>307.23455947678775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1.0463461626465738</v>
      </c>
      <c r="AW153" s="23">
        <f>EXP(-LN(2)/2)*AW152+(1-EXP(-LN(2)/2))/(LN(2)/2)*AQ153*AT153*VLOOKUP('Données projet'!$B$10,Paramètres!$A$1:$I$89,3,0)*0.475*44/12</f>
        <v>2.5747787144058053E-17</v>
      </c>
      <c r="AX153" s="23">
        <f t="shared" si="114"/>
        <v>1.0463461626465738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2.2737367544323206E-13</v>
      </c>
      <c r="BE153" s="14">
        <f>BD153*VLOOKUP('Données projet'!$B$11,Paramètres!$A$1:$I$89,3,0)*VLOOKUP('Données projet'!$B$11,Paramètres!$A$1:$I$89,5,0)</f>
        <v>1.8089849618263545E-13</v>
      </c>
      <c r="BF153" s="14">
        <f t="shared" si="145"/>
        <v>2.536422473342444E-12</v>
      </c>
      <c r="BG153" s="22">
        <f t="shared" si="115"/>
        <v>4.7326673552561798E-12</v>
      </c>
      <c r="BH153" s="62">
        <f t="shared" si="116"/>
        <v>293.33333333333803</v>
      </c>
      <c r="BI153" s="62">
        <f ca="1">AVERAGE(OFFSET($BH$3,0,0,'Données projet'!$E$11+1,1))-AVERAGE(OFFSET($H$3,0,0,'Données projet'!$E$11+1,1))</f>
        <v>219.61164494001008</v>
      </c>
      <c r="BJ153" s="62">
        <f t="shared" si="146"/>
        <v>219.59799863414111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8.8675733422860506E-14</v>
      </c>
      <c r="CA153" s="14">
        <f t="shared" si="147"/>
        <v>1.3509285393066301E-12</v>
      </c>
      <c r="CB153" s="22">
        <f t="shared" si="118"/>
        <v>2.5073107750038623E-12</v>
      </c>
      <c r="CC153" s="62">
        <f t="shared" si="119"/>
        <v>293.33333333333582</v>
      </c>
      <c r="CD153" s="62">
        <f ca="1">AVERAGE(OFFSET($CC$3,0,0,'Données projet'!$E$12+1,1))-AVERAGE(OFFSET($H$3,0,0,'Données projet'!$E$12+1,1))</f>
        <v>220.70608186257931</v>
      </c>
      <c r="CE153" s="62">
        <f t="shared" si="148"/>
        <v>208.79744153433245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6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9">
        <f t="shared" si="110"/>
        <v>476.52216692322241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projet'!$B$9,Paramètres!$A$1:$I$89,3,0)*VLOOKUP('Données projet'!$B$9,Paramètres!$A$1:$I$89,5,0)</f>
        <v>-1.9065282685915009E-13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302.20483575440988</v>
      </c>
      <c r="T154" s="62">
        <f t="shared" si="142"/>
        <v>275.32862097158687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0.7775418460009037</v>
      </c>
      <c r="AB154" s="23">
        <f>EXP(-LN(2)/2)*AB153+(1-EXP(-LN(2)/2))/(LN(2)/2)*V154*Y154*VLOOKUP('Données projet'!$B$9,Paramètres!$A$1:$I$89,3,0)*0.475*44/12</f>
        <v>6.7512632814032872E-18</v>
      </c>
      <c r="AC154" s="24">
        <f t="shared" ref="AC154:AC203" si="163">SUM(Z154:AB154)</f>
        <v>0.7775418460009037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180.20749454145079</v>
      </c>
      <c r="AO154" s="62">
        <f t="shared" si="144"/>
        <v>307.23455947678775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1.01773377180405</v>
      </c>
      <c r="AW154" s="23">
        <f>EXP(-LN(2)/2)*AW153+(1-EXP(-LN(2)/2))/(LN(2)/2)*AQ154*AT154*VLOOKUP('Données projet'!$B$10,Paramètres!$A$1:$I$89,3,0)*0.475*44/12</f>
        <v>1.8206434890111259E-17</v>
      </c>
      <c r="AX154" s="23">
        <f t="shared" ref="AX154:AX203" si="166">SUM(AU154:AW154)</f>
        <v>1.01773377180405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2.2737367544323206E-13</v>
      </c>
      <c r="BE154" s="14">
        <f>BD154*VLOOKUP('Données projet'!$B$11,Paramètres!$A$1:$I$89,3,0)*VLOOKUP('Données projet'!$B$11,Paramètres!$A$1:$I$89,5,0)</f>
        <v>1.8089849618263545E-13</v>
      </c>
      <c r="BF154" s="14">
        <f t="shared" ref="BF154:BF203" si="167">EXP(-1.0587+0.8836*LN(BE154)+0.284)</f>
        <v>2.536422473342444E-12</v>
      </c>
      <c r="BG154" s="22">
        <f t="shared" ref="BG154:BG203" si="168">(BE154+BF154)*0.475*44/12</f>
        <v>4.7326673552561798E-12</v>
      </c>
      <c r="BH154" s="62">
        <f t="shared" si="116"/>
        <v>293.33333333333803</v>
      </c>
      <c r="BI154" s="62">
        <f ca="1">AVERAGE(OFFSET($BH$3,0,0,'Données projet'!$E$11+1,1))-AVERAGE(OFFSET($H$3,0,0,'Données projet'!$E$11+1,1))</f>
        <v>219.61164494001008</v>
      </c>
      <c r="BJ154" s="62">
        <f t="shared" si="146"/>
        <v>219.59799863414111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8.8675733422860506E-14</v>
      </c>
      <c r="CA154" s="14">
        <f t="shared" ref="CA154:CA203" si="170">EXP(-1.0587+0.8836*LN(BZ154)+0.284)</f>
        <v>1.3509285393066301E-12</v>
      </c>
      <c r="CB154" s="22">
        <f t="shared" ref="CB154:CB203" si="171">(BZ154+CA154)*0.475*44/12</f>
        <v>2.5073107750038623E-12</v>
      </c>
      <c r="CC154" s="62">
        <f t="shared" si="119"/>
        <v>293.33333333333582</v>
      </c>
      <c r="CD154" s="62">
        <f ca="1">AVERAGE(OFFSET($CC$3,0,0,'Données projet'!$E$12+1,1))-AVERAGE(OFFSET($H$3,0,0,'Données projet'!$E$12+1,1))</f>
        <v>220.70608186257931</v>
      </c>
      <c r="CE154" s="62">
        <f t="shared" si="148"/>
        <v>208.79744153433245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6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9">
        <f t="shared" si="110"/>
        <v>477.70472638813214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projet'!$B$9,Paramètres!$A$1:$I$89,3,0)*VLOOKUP('Données projet'!$B$9,Paramètres!$A$1:$I$89,5,0)</f>
        <v>-1.9065282685915009E-13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302.20483575440988</v>
      </c>
      <c r="T155" s="62">
        <f t="shared" si="142"/>
        <v>275.32862097158687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0.75627992333286043</v>
      </c>
      <c r="AB155" s="23">
        <f>EXP(-LN(2)/2)*AB154+(1-EXP(-LN(2)/2))/(LN(2)/2)*V155*Y155*VLOOKUP('Données projet'!$B$9,Paramètres!$A$1:$I$89,3,0)*0.475*44/12</f>
        <v>4.7738640478560075E-18</v>
      </c>
      <c r="AC155" s="24">
        <f t="shared" si="163"/>
        <v>0.75627992333286043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180.20749454145079</v>
      </c>
      <c r="AO155" s="62">
        <f t="shared" si="144"/>
        <v>307.23455947678775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0.98990378829377523</v>
      </c>
      <c r="AW155" s="23">
        <f>EXP(-LN(2)/2)*AW154+(1-EXP(-LN(2)/2))/(LN(2)/2)*AQ155*AT155*VLOOKUP('Données projet'!$B$10,Paramètres!$A$1:$I$89,3,0)*0.475*44/12</f>
        <v>1.2873893572029026E-17</v>
      </c>
      <c r="AX155" s="23">
        <f t="shared" si="166"/>
        <v>0.98990378829377523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2.2737367544323206E-13</v>
      </c>
      <c r="BE155" s="14">
        <f>BD155*VLOOKUP('Données projet'!$B$11,Paramètres!$A$1:$I$89,3,0)*VLOOKUP('Données projet'!$B$11,Paramètres!$A$1:$I$89,5,0)</f>
        <v>1.8089849618263545E-13</v>
      </c>
      <c r="BF155" s="14">
        <f t="shared" si="167"/>
        <v>2.536422473342444E-12</v>
      </c>
      <c r="BG155" s="22">
        <f t="shared" si="168"/>
        <v>4.7326673552561798E-12</v>
      </c>
      <c r="BH155" s="62">
        <f t="shared" si="116"/>
        <v>293.33333333333803</v>
      </c>
      <c r="BI155" s="62">
        <f ca="1">AVERAGE(OFFSET($BH$3,0,0,'Données projet'!$E$11+1,1))-AVERAGE(OFFSET($H$3,0,0,'Données projet'!$E$11+1,1))</f>
        <v>219.61164494001008</v>
      </c>
      <c r="BJ155" s="62">
        <f t="shared" si="146"/>
        <v>219.59799863414111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8.8675733422860506E-14</v>
      </c>
      <c r="CA155" s="14">
        <f t="shared" si="170"/>
        <v>1.3509285393066301E-12</v>
      </c>
      <c r="CB155" s="22">
        <f t="shared" si="171"/>
        <v>2.5073107750038623E-12</v>
      </c>
      <c r="CC155" s="62">
        <f t="shared" si="119"/>
        <v>293.33333333333582</v>
      </c>
      <c r="CD155" s="62">
        <f ca="1">AVERAGE(OFFSET($CC$3,0,0,'Données projet'!$E$12+1,1))-AVERAGE(OFFSET($H$3,0,0,'Données projet'!$E$12+1,1))</f>
        <v>220.70608186257931</v>
      </c>
      <c r="CE155" s="62">
        <f t="shared" si="148"/>
        <v>208.79744153433245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6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9">
        <f t="shared" si="110"/>
        <v>478.88710855549317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projet'!$B$9,Paramètres!$A$1:$I$89,3,0)*VLOOKUP('Données projet'!$B$9,Paramètres!$A$1:$I$89,5,0)</f>
        <v>-1.9065282685915009E-13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302.20483575440988</v>
      </c>
      <c r="T156" s="62">
        <f t="shared" si="142"/>
        <v>275.32862097158687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0.73559940905829069</v>
      </c>
      <c r="AB156" s="23">
        <f>EXP(-LN(2)/2)*AB155+(1-EXP(-LN(2)/2))/(LN(2)/2)*V156*Y156*VLOOKUP('Données projet'!$B$9,Paramètres!$A$1:$I$89,3,0)*0.475*44/12</f>
        <v>3.3756316407016444E-18</v>
      </c>
      <c r="AC156" s="24">
        <f t="shared" si="163"/>
        <v>0.73559940905829069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180.20749454145079</v>
      </c>
      <c r="AO156" s="62">
        <f t="shared" si="144"/>
        <v>307.23455947678775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0.96283481714610419</v>
      </c>
      <c r="AW156" s="23">
        <f>EXP(-LN(2)/2)*AW155+(1-EXP(-LN(2)/2))/(LN(2)/2)*AQ156*AT156*VLOOKUP('Données projet'!$B$10,Paramètres!$A$1:$I$89,3,0)*0.475*44/12</f>
        <v>9.1032174450556293E-18</v>
      </c>
      <c r="AX156" s="23">
        <f t="shared" si="166"/>
        <v>0.96283481714610419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2.2737367544323206E-13</v>
      </c>
      <c r="BE156" s="14">
        <f>BD156*VLOOKUP('Données projet'!$B$11,Paramètres!$A$1:$I$89,3,0)*VLOOKUP('Données projet'!$B$11,Paramètres!$A$1:$I$89,5,0)</f>
        <v>1.8089849618263545E-13</v>
      </c>
      <c r="BF156" s="14">
        <f t="shared" si="167"/>
        <v>2.536422473342444E-12</v>
      </c>
      <c r="BG156" s="22">
        <f t="shared" si="168"/>
        <v>4.7326673552561798E-12</v>
      </c>
      <c r="BH156" s="62">
        <f t="shared" si="116"/>
        <v>293.33333333333803</v>
      </c>
      <c r="BI156" s="62">
        <f ca="1">AVERAGE(OFFSET($BH$3,0,0,'Données projet'!$E$11+1,1))-AVERAGE(OFFSET($H$3,0,0,'Données projet'!$E$11+1,1))</f>
        <v>219.61164494001008</v>
      </c>
      <c r="BJ156" s="62">
        <f t="shared" si="146"/>
        <v>219.59799863414111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8.8675733422860506E-14</v>
      </c>
      <c r="CA156" s="14">
        <f t="shared" si="170"/>
        <v>1.3509285393066301E-12</v>
      </c>
      <c r="CB156" s="22">
        <f t="shared" si="171"/>
        <v>2.5073107750038623E-12</v>
      </c>
      <c r="CC156" s="62">
        <f t="shared" si="119"/>
        <v>293.33333333333582</v>
      </c>
      <c r="CD156" s="62">
        <f ca="1">AVERAGE(OFFSET($CC$3,0,0,'Données projet'!$E$12+1,1))-AVERAGE(OFFSET($H$3,0,0,'Données projet'!$E$12+1,1))</f>
        <v>220.70608186257931</v>
      </c>
      <c r="CE156" s="62">
        <f t="shared" si="148"/>
        <v>208.79744153433245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6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9">
        <f t="shared" si="110"/>
        <v>480.06931471852465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projet'!$B$9,Paramètres!$A$1:$I$89,3,0)*VLOOKUP('Données projet'!$B$9,Paramètres!$A$1:$I$89,5,0)</f>
        <v>-1.9065282685915009E-13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302.20483575440988</v>
      </c>
      <c r="T157" s="62">
        <f t="shared" si="142"/>
        <v>275.32862097158687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0.7154844045341</v>
      </c>
      <c r="AB157" s="23">
        <f>EXP(-LN(2)/2)*AB156+(1-EXP(-LN(2)/2))/(LN(2)/2)*V157*Y157*VLOOKUP('Données projet'!$B$9,Paramètres!$A$1:$I$89,3,0)*0.475*44/12</f>
        <v>2.3869320239280042E-18</v>
      </c>
      <c r="AC157" s="24">
        <f t="shared" si="163"/>
        <v>0.7154844045341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180.20749454145079</v>
      </c>
      <c r="AO157" s="62">
        <f t="shared" si="144"/>
        <v>307.23455947678775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0.93650604843796148</v>
      </c>
      <c r="AW157" s="23">
        <f>EXP(-LN(2)/2)*AW156+(1-EXP(-LN(2)/2))/(LN(2)/2)*AQ157*AT157*VLOOKUP('Données projet'!$B$10,Paramètres!$A$1:$I$89,3,0)*0.475*44/12</f>
        <v>6.4369467860145132E-18</v>
      </c>
      <c r="AX157" s="23">
        <f t="shared" si="166"/>
        <v>0.93650604843796148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2.2737367544323206E-13</v>
      </c>
      <c r="BE157" s="14">
        <f>BD157*VLOOKUP('Données projet'!$B$11,Paramètres!$A$1:$I$89,3,0)*VLOOKUP('Données projet'!$B$11,Paramètres!$A$1:$I$89,5,0)</f>
        <v>1.8089849618263545E-13</v>
      </c>
      <c r="BF157" s="14">
        <f t="shared" si="167"/>
        <v>2.536422473342444E-12</v>
      </c>
      <c r="BG157" s="22">
        <f t="shared" si="168"/>
        <v>4.7326673552561798E-12</v>
      </c>
      <c r="BH157" s="62">
        <f t="shared" si="116"/>
        <v>293.33333333333803</v>
      </c>
      <c r="BI157" s="62">
        <f ca="1">AVERAGE(OFFSET($BH$3,0,0,'Données projet'!$E$11+1,1))-AVERAGE(OFFSET($H$3,0,0,'Données projet'!$E$11+1,1))</f>
        <v>219.61164494001008</v>
      </c>
      <c r="BJ157" s="62">
        <f t="shared" si="146"/>
        <v>219.59799863414111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8.8675733422860506E-14</v>
      </c>
      <c r="CA157" s="14">
        <f t="shared" si="170"/>
        <v>1.3509285393066301E-12</v>
      </c>
      <c r="CB157" s="22">
        <f t="shared" si="171"/>
        <v>2.5073107750038623E-12</v>
      </c>
      <c r="CC157" s="62">
        <f t="shared" si="119"/>
        <v>293.33333333333582</v>
      </c>
      <c r="CD157" s="62">
        <f ca="1">AVERAGE(OFFSET($CC$3,0,0,'Données projet'!$E$12+1,1))-AVERAGE(OFFSET($H$3,0,0,'Données projet'!$E$12+1,1))</f>
        <v>220.70608186257931</v>
      </c>
      <c r="CE157" s="62">
        <f t="shared" si="148"/>
        <v>208.79744153433245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6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9">
        <f t="shared" si="110"/>
        <v>481.25134615267967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projet'!$B$9,Paramètres!$A$1:$I$89,3,0)*VLOOKUP('Données projet'!$B$9,Paramètres!$A$1:$I$89,5,0)</f>
        <v>-1.9065282685915009E-13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302.20483575440988</v>
      </c>
      <c r="T158" s="62">
        <f t="shared" si="142"/>
        <v>275.32862097158687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0.69591944586642551</v>
      </c>
      <c r="AB158" s="23">
        <f>EXP(-LN(2)/2)*AB157+(1-EXP(-LN(2)/2))/(LN(2)/2)*V158*Y158*VLOOKUP('Données projet'!$B$9,Paramètres!$A$1:$I$89,3,0)*0.475*44/12</f>
        <v>1.6878158203508224E-18</v>
      </c>
      <c r="AC158" s="24">
        <f t="shared" si="163"/>
        <v>0.69591944586642551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180.20749454145079</v>
      </c>
      <c r="AO158" s="62">
        <f t="shared" si="144"/>
        <v>307.23455947678775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0.91089724129471272</v>
      </c>
      <c r="AW158" s="23">
        <f>EXP(-LN(2)/2)*AW157+(1-EXP(-LN(2)/2))/(LN(2)/2)*AQ158*AT158*VLOOKUP('Données projet'!$B$10,Paramètres!$A$1:$I$89,3,0)*0.475*44/12</f>
        <v>4.5516087225278147E-18</v>
      </c>
      <c r="AX158" s="23">
        <f t="shared" si="166"/>
        <v>0.91089724129471272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2.2737367544323206E-13</v>
      </c>
      <c r="BE158" s="14">
        <f>BD158*VLOOKUP('Données projet'!$B$11,Paramètres!$A$1:$I$89,3,0)*VLOOKUP('Données projet'!$B$11,Paramètres!$A$1:$I$89,5,0)</f>
        <v>1.8089849618263545E-13</v>
      </c>
      <c r="BF158" s="14">
        <f t="shared" si="167"/>
        <v>2.536422473342444E-12</v>
      </c>
      <c r="BG158" s="22">
        <f t="shared" si="168"/>
        <v>4.7326673552561798E-12</v>
      </c>
      <c r="BH158" s="62">
        <f t="shared" si="116"/>
        <v>293.33333333333803</v>
      </c>
      <c r="BI158" s="62">
        <f ca="1">AVERAGE(OFFSET($BH$3,0,0,'Données projet'!$E$11+1,1))-AVERAGE(OFFSET($H$3,0,0,'Données projet'!$E$11+1,1))</f>
        <v>219.61164494001008</v>
      </c>
      <c r="BJ158" s="62">
        <f t="shared" si="146"/>
        <v>219.59799863414111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8.8675733422860506E-14</v>
      </c>
      <c r="CA158" s="14">
        <f t="shared" si="170"/>
        <v>1.3509285393066301E-12</v>
      </c>
      <c r="CB158" s="22">
        <f t="shared" si="171"/>
        <v>2.5073107750038623E-12</v>
      </c>
      <c r="CC158" s="62">
        <f t="shared" si="119"/>
        <v>293.33333333333582</v>
      </c>
      <c r="CD158" s="62">
        <f ca="1">AVERAGE(OFFSET($CC$3,0,0,'Données projet'!$E$12+1,1))-AVERAGE(OFFSET($H$3,0,0,'Données projet'!$E$12+1,1))</f>
        <v>220.70608186257931</v>
      </c>
      <c r="CE158" s="62">
        <f t="shared" si="148"/>
        <v>208.79744153433245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6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9">
        <f t="shared" si="110"/>
        <v>482.433204116002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projet'!$B$9,Paramètres!$A$1:$I$89,3,0)*VLOOKUP('Données projet'!$B$9,Paramètres!$A$1:$I$89,5,0)</f>
        <v>-1.9065282685915009E-13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302.20483575440988</v>
      </c>
      <c r="T159" s="62">
        <f t="shared" si="142"/>
        <v>275.32862097158687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0.67688949202239501</v>
      </c>
      <c r="AB159" s="23">
        <f>EXP(-LN(2)/2)*AB158+(1-EXP(-LN(2)/2))/(LN(2)/2)*V159*Y159*VLOOKUP('Données projet'!$B$9,Paramètres!$A$1:$I$89,3,0)*0.475*44/12</f>
        <v>1.1934660119640023E-18</v>
      </c>
      <c r="AC159" s="24">
        <f t="shared" si="163"/>
        <v>0.67688949202239501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180.20749454145079</v>
      </c>
      <c r="AO159" s="62">
        <f t="shared" si="144"/>
        <v>307.23455947678775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0.88598870832950471</v>
      </c>
      <c r="AW159" s="23">
        <f>EXP(-LN(2)/2)*AW158+(1-EXP(-LN(2)/2))/(LN(2)/2)*AQ159*AT159*VLOOKUP('Données projet'!$B$10,Paramètres!$A$1:$I$89,3,0)*0.475*44/12</f>
        <v>3.2184733930072566E-18</v>
      </c>
      <c r="AX159" s="23">
        <f t="shared" si="166"/>
        <v>0.88598870832950471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2.2737367544323206E-13</v>
      </c>
      <c r="BE159" s="14">
        <f>BD159*VLOOKUP('Données projet'!$B$11,Paramètres!$A$1:$I$89,3,0)*VLOOKUP('Données projet'!$B$11,Paramètres!$A$1:$I$89,5,0)</f>
        <v>1.8089849618263545E-13</v>
      </c>
      <c r="BF159" s="14">
        <f t="shared" si="167"/>
        <v>2.536422473342444E-12</v>
      </c>
      <c r="BG159" s="22">
        <f t="shared" si="168"/>
        <v>4.7326673552561798E-12</v>
      </c>
      <c r="BH159" s="62">
        <f t="shared" si="116"/>
        <v>293.33333333333803</v>
      </c>
      <c r="BI159" s="62">
        <f ca="1">AVERAGE(OFFSET($BH$3,0,0,'Données projet'!$E$11+1,1))-AVERAGE(OFFSET($H$3,0,0,'Données projet'!$E$11+1,1))</f>
        <v>219.61164494001008</v>
      </c>
      <c r="BJ159" s="62">
        <f t="shared" si="146"/>
        <v>219.59799863414111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8.8675733422860506E-14</v>
      </c>
      <c r="CA159" s="14">
        <f t="shared" si="170"/>
        <v>1.3509285393066301E-12</v>
      </c>
      <c r="CB159" s="22">
        <f t="shared" si="171"/>
        <v>2.5073107750038623E-12</v>
      </c>
      <c r="CC159" s="62">
        <f t="shared" si="119"/>
        <v>293.33333333333582</v>
      </c>
      <c r="CD159" s="62">
        <f ca="1">AVERAGE(OFFSET($CC$3,0,0,'Données projet'!$E$12+1,1))-AVERAGE(OFFSET($H$3,0,0,'Données projet'!$E$12+1,1))</f>
        <v>220.70608186257931</v>
      </c>
      <c r="CE159" s="62">
        <f t="shared" si="148"/>
        <v>208.79744153433245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6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9">
        <f t="shared" si="110"/>
        <v>483.61488984947425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projet'!$B$9,Paramètres!$A$1:$I$89,3,0)*VLOOKUP('Données projet'!$B$9,Paramètres!$A$1:$I$89,5,0)</f>
        <v>-1.9065282685915009E-13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302.20483575440988</v>
      </c>
      <c r="T160" s="62">
        <f t="shared" si="142"/>
        <v>275.32862097158687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0.65837991326697132</v>
      </c>
      <c r="AB160" s="23">
        <f>EXP(-LN(2)/2)*AB159+(1-EXP(-LN(2)/2))/(LN(2)/2)*V160*Y160*VLOOKUP('Données projet'!$B$9,Paramètres!$A$1:$I$89,3,0)*0.475*44/12</f>
        <v>8.4390791017541128E-19</v>
      </c>
      <c r="AC160" s="24">
        <f t="shared" si="163"/>
        <v>0.65837991326697132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180.20749454145079</v>
      </c>
      <c r="AO160" s="62">
        <f t="shared" si="144"/>
        <v>307.23455947678775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0.86176130050811317</v>
      </c>
      <c r="AW160" s="23">
        <f>EXP(-LN(2)/2)*AW159+(1-EXP(-LN(2)/2))/(LN(2)/2)*AQ160*AT160*VLOOKUP('Données projet'!$B$10,Paramètres!$A$1:$I$89,3,0)*0.475*44/12</f>
        <v>2.2758043612639073E-18</v>
      </c>
      <c r="AX160" s="23">
        <f t="shared" si="166"/>
        <v>0.86176130050811317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2.2737367544323206E-13</v>
      </c>
      <c r="BE160" s="14">
        <f>BD160*VLOOKUP('Données projet'!$B$11,Paramètres!$A$1:$I$89,3,0)*VLOOKUP('Données projet'!$B$11,Paramètres!$A$1:$I$89,5,0)</f>
        <v>1.8089849618263545E-13</v>
      </c>
      <c r="BF160" s="14">
        <f t="shared" si="167"/>
        <v>2.536422473342444E-12</v>
      </c>
      <c r="BG160" s="22">
        <f t="shared" si="168"/>
        <v>4.7326673552561798E-12</v>
      </c>
      <c r="BH160" s="62">
        <f t="shared" si="116"/>
        <v>293.33333333333803</v>
      </c>
      <c r="BI160" s="62">
        <f ca="1">AVERAGE(OFFSET($BH$3,0,0,'Données projet'!$E$11+1,1))-AVERAGE(OFFSET($H$3,0,0,'Données projet'!$E$11+1,1))</f>
        <v>219.61164494001008</v>
      </c>
      <c r="BJ160" s="62">
        <f t="shared" si="146"/>
        <v>219.59799863414111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8.8675733422860506E-14</v>
      </c>
      <c r="CA160" s="14">
        <f t="shared" si="170"/>
        <v>1.3509285393066301E-12</v>
      </c>
      <c r="CB160" s="22">
        <f t="shared" si="171"/>
        <v>2.5073107750038623E-12</v>
      </c>
      <c r="CC160" s="62">
        <f t="shared" si="119"/>
        <v>293.33333333333582</v>
      </c>
      <c r="CD160" s="62">
        <f ca="1">AVERAGE(OFFSET($CC$3,0,0,'Données projet'!$E$12+1,1))-AVERAGE(OFFSET($H$3,0,0,'Données projet'!$E$12+1,1))</f>
        <v>220.70608186257931</v>
      </c>
      <c r="CE160" s="62">
        <f t="shared" si="148"/>
        <v>208.79744153433245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6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9">
        <f t="shared" si="110"/>
        <v>484.79640457735582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projet'!$B$9,Paramètres!$A$1:$I$89,3,0)*VLOOKUP('Données projet'!$B$9,Paramètres!$A$1:$I$89,5,0)</f>
        <v>-1.9065282685915009E-13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302.20483575440988</v>
      </c>
      <c r="T161" s="62">
        <f t="shared" si="142"/>
        <v>275.32862097158687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0.64037647991599111</v>
      </c>
      <c r="AB161" s="23">
        <f>EXP(-LN(2)/2)*AB160+(1-EXP(-LN(2)/2))/(LN(2)/2)*V161*Y161*VLOOKUP('Données projet'!$B$9,Paramètres!$A$1:$I$89,3,0)*0.475*44/12</f>
        <v>5.9673300598200123E-19</v>
      </c>
      <c r="AC161" s="24">
        <f t="shared" si="163"/>
        <v>0.64037647991599111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180.20749454145079</v>
      </c>
      <c r="AO161" s="62">
        <f t="shared" si="144"/>
        <v>307.23455947678775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0.83819639242766164</v>
      </c>
      <c r="AW161" s="23">
        <f>EXP(-LN(2)/2)*AW160+(1-EXP(-LN(2)/2))/(LN(2)/2)*AQ161*AT161*VLOOKUP('Données projet'!$B$10,Paramètres!$A$1:$I$89,3,0)*0.475*44/12</f>
        <v>1.6092366965036283E-18</v>
      </c>
      <c r="AX161" s="23">
        <f t="shared" si="166"/>
        <v>0.83819639242766164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2.2737367544323206E-13</v>
      </c>
      <c r="BE161" s="14">
        <f>BD161*VLOOKUP('Données projet'!$B$11,Paramètres!$A$1:$I$89,3,0)*VLOOKUP('Données projet'!$B$11,Paramètres!$A$1:$I$89,5,0)</f>
        <v>1.8089849618263545E-13</v>
      </c>
      <c r="BF161" s="14">
        <f t="shared" si="167"/>
        <v>2.536422473342444E-12</v>
      </c>
      <c r="BG161" s="22">
        <f t="shared" si="168"/>
        <v>4.7326673552561798E-12</v>
      </c>
      <c r="BH161" s="62">
        <f t="shared" si="116"/>
        <v>293.33333333333803</v>
      </c>
      <c r="BI161" s="62">
        <f ca="1">AVERAGE(OFFSET($BH$3,0,0,'Données projet'!$E$11+1,1))-AVERAGE(OFFSET($H$3,0,0,'Données projet'!$E$11+1,1))</f>
        <v>219.61164494001008</v>
      </c>
      <c r="BJ161" s="62">
        <f t="shared" si="146"/>
        <v>219.59799863414111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8.8675733422860506E-14</v>
      </c>
      <c r="CA161" s="14">
        <f t="shared" si="170"/>
        <v>1.3509285393066301E-12</v>
      </c>
      <c r="CB161" s="22">
        <f t="shared" si="171"/>
        <v>2.5073107750038623E-12</v>
      </c>
      <c r="CC161" s="62">
        <f t="shared" si="119"/>
        <v>293.33333333333582</v>
      </c>
      <c r="CD161" s="62">
        <f ca="1">AVERAGE(OFFSET($CC$3,0,0,'Données projet'!$E$12+1,1))-AVERAGE(OFFSET($H$3,0,0,'Données projet'!$E$12+1,1))</f>
        <v>220.70608186257931</v>
      </c>
      <c r="CE161" s="62">
        <f t="shared" si="148"/>
        <v>208.79744153433245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6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9">
        <f t="shared" si="110"/>
        <v>485.97774950751329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projet'!$B$9,Paramètres!$A$1:$I$89,3,0)*VLOOKUP('Données projet'!$B$9,Paramètres!$A$1:$I$89,5,0)</f>
        <v>-1.9065282685915009E-13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302.20483575440988</v>
      </c>
      <c r="T162" s="62">
        <f t="shared" si="142"/>
        <v>275.32862097158687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0.62286535139675281</v>
      </c>
      <c r="AB162" s="23">
        <f>EXP(-LN(2)/2)*AB161+(1-EXP(-LN(2)/2))/(LN(2)/2)*V162*Y162*VLOOKUP('Données projet'!$B$9,Paramètres!$A$1:$I$89,3,0)*0.475*44/12</f>
        <v>4.2195395508770574E-19</v>
      </c>
      <c r="AC162" s="24">
        <f t="shared" si="163"/>
        <v>0.62286535139675281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180.20749454145079</v>
      </c>
      <c r="AO162" s="62">
        <f t="shared" si="144"/>
        <v>307.23455947678775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0.81527586799789464</v>
      </c>
      <c r="AW162" s="23">
        <f>EXP(-LN(2)/2)*AW161+(1-EXP(-LN(2)/2))/(LN(2)/2)*AQ162*AT162*VLOOKUP('Données projet'!$B$10,Paramètres!$A$1:$I$89,3,0)*0.475*44/12</f>
        <v>1.1379021806319537E-18</v>
      </c>
      <c r="AX162" s="23">
        <f t="shared" si="166"/>
        <v>0.81527586799789464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2.2737367544323206E-13</v>
      </c>
      <c r="BE162" s="14">
        <f>BD162*VLOOKUP('Données projet'!$B$11,Paramètres!$A$1:$I$89,3,0)*VLOOKUP('Données projet'!$B$11,Paramètres!$A$1:$I$89,5,0)</f>
        <v>1.8089849618263545E-13</v>
      </c>
      <c r="BF162" s="14">
        <f t="shared" si="167"/>
        <v>2.536422473342444E-12</v>
      </c>
      <c r="BG162" s="22">
        <f t="shared" si="168"/>
        <v>4.7326673552561798E-12</v>
      </c>
      <c r="BH162" s="62">
        <f t="shared" si="116"/>
        <v>293.33333333333803</v>
      </c>
      <c r="BI162" s="62">
        <f ca="1">AVERAGE(OFFSET($BH$3,0,0,'Données projet'!$E$11+1,1))-AVERAGE(OFFSET($H$3,0,0,'Données projet'!$E$11+1,1))</f>
        <v>219.61164494001008</v>
      </c>
      <c r="BJ162" s="62">
        <f t="shared" si="146"/>
        <v>219.59799863414111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8.8675733422860506E-14</v>
      </c>
      <c r="CA162" s="14">
        <f t="shared" si="170"/>
        <v>1.3509285393066301E-12</v>
      </c>
      <c r="CB162" s="22">
        <f t="shared" si="171"/>
        <v>2.5073107750038623E-12</v>
      </c>
      <c r="CC162" s="62">
        <f t="shared" si="119"/>
        <v>293.33333333333582</v>
      </c>
      <c r="CD162" s="62">
        <f ca="1">AVERAGE(OFFSET($CC$3,0,0,'Données projet'!$E$12+1,1))-AVERAGE(OFFSET($H$3,0,0,'Données projet'!$E$12+1,1))</f>
        <v>220.70608186257931</v>
      </c>
      <c r="CE162" s="62">
        <f t="shared" si="148"/>
        <v>208.79744153433245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6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9">
        <f t="shared" si="110"/>
        <v>487.15892583174093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projet'!$B$9,Paramètres!$A$1:$I$89,3,0)*VLOOKUP('Données projet'!$B$9,Paramètres!$A$1:$I$89,5,0)</f>
        <v>-1.9065282685915009E-13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302.20483575440988</v>
      </c>
      <c r="T163" s="62">
        <f t="shared" si="142"/>
        <v>275.32862097158687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0.6058330656077433</v>
      </c>
      <c r="AB163" s="23">
        <f>EXP(-LN(2)/2)*AB162+(1-EXP(-LN(2)/2))/(LN(2)/2)*V163*Y163*VLOOKUP('Données projet'!$B$9,Paramètres!$A$1:$I$89,3,0)*0.475*44/12</f>
        <v>2.9836650299100066E-19</v>
      </c>
      <c r="AC163" s="24">
        <f t="shared" si="163"/>
        <v>0.6058330656077433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180.20749454145079</v>
      </c>
      <c r="AO163" s="62">
        <f t="shared" si="144"/>
        <v>307.23455947678775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0.7929821065139977</v>
      </c>
      <c r="AW163" s="23">
        <f>EXP(-LN(2)/2)*AW162+(1-EXP(-LN(2)/2))/(LN(2)/2)*AQ163*AT163*VLOOKUP('Données projet'!$B$10,Paramètres!$A$1:$I$89,3,0)*0.475*44/12</f>
        <v>8.0461834825181414E-19</v>
      </c>
      <c r="AX163" s="23">
        <f t="shared" si="166"/>
        <v>0.7929821065139977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2.2737367544323206E-13</v>
      </c>
      <c r="BE163" s="14">
        <f>BD163*VLOOKUP('Données projet'!$B$11,Paramètres!$A$1:$I$89,3,0)*VLOOKUP('Données projet'!$B$11,Paramètres!$A$1:$I$89,5,0)</f>
        <v>1.8089849618263545E-13</v>
      </c>
      <c r="BF163" s="14">
        <f t="shared" si="167"/>
        <v>2.536422473342444E-12</v>
      </c>
      <c r="BG163" s="22">
        <f t="shared" si="168"/>
        <v>4.7326673552561798E-12</v>
      </c>
      <c r="BH163" s="62">
        <f t="shared" si="116"/>
        <v>293.33333333333803</v>
      </c>
      <c r="BI163" s="62">
        <f ca="1">AVERAGE(OFFSET($BH$3,0,0,'Données projet'!$E$11+1,1))-AVERAGE(OFFSET($H$3,0,0,'Données projet'!$E$11+1,1))</f>
        <v>219.61164494001008</v>
      </c>
      <c r="BJ163" s="62">
        <f t="shared" si="146"/>
        <v>219.59799863414111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8.8675733422860506E-14</v>
      </c>
      <c r="CA163" s="14">
        <f t="shared" si="170"/>
        <v>1.3509285393066301E-12</v>
      </c>
      <c r="CB163" s="22">
        <f t="shared" si="171"/>
        <v>2.5073107750038623E-12</v>
      </c>
      <c r="CC163" s="62">
        <f t="shared" si="119"/>
        <v>293.33333333333582</v>
      </c>
      <c r="CD163" s="62">
        <f ca="1">AVERAGE(OFFSET($CC$3,0,0,'Données projet'!$E$12+1,1))-AVERAGE(OFFSET($H$3,0,0,'Données projet'!$E$12+1,1))</f>
        <v>220.70608186257931</v>
      </c>
      <c r="CE163" s="62">
        <f t="shared" si="148"/>
        <v>208.79744153433245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6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9">
        <f t="shared" si="110"/>
        <v>488.33993472607426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projet'!$B$9,Paramètres!$A$1:$I$89,3,0)*VLOOKUP('Données projet'!$B$9,Paramètres!$A$1:$I$89,5,0)</f>
        <v>-1.9065282685915009E-13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302.20483575440988</v>
      </c>
      <c r="T164" s="62">
        <f t="shared" si="142"/>
        <v>275.32862097158687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0.58926652856932327</v>
      </c>
      <c r="AB164" s="23">
        <f>EXP(-LN(2)/2)*AB163+(1-EXP(-LN(2)/2))/(LN(2)/2)*V164*Y164*VLOOKUP('Données projet'!$B$9,Paramètres!$A$1:$I$89,3,0)*0.475*44/12</f>
        <v>2.1097697754385289E-19</v>
      </c>
      <c r="AC164" s="24">
        <f t="shared" si="163"/>
        <v>0.58926652856932327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180.20749454145079</v>
      </c>
      <c r="AO164" s="62">
        <f t="shared" si="144"/>
        <v>307.23455947678775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0.77129796911025583</v>
      </c>
      <c r="AW164" s="23">
        <f>EXP(-LN(2)/2)*AW163+(1-EXP(-LN(2)/2))/(LN(2)/2)*AQ164*AT164*VLOOKUP('Données projet'!$B$10,Paramètres!$A$1:$I$89,3,0)*0.475*44/12</f>
        <v>5.6895109031597683E-19</v>
      </c>
      <c r="AX164" s="23">
        <f t="shared" si="166"/>
        <v>0.77129796911025583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2.2737367544323206E-13</v>
      </c>
      <c r="BE164" s="14">
        <f>BD164*VLOOKUP('Données projet'!$B$11,Paramètres!$A$1:$I$89,3,0)*VLOOKUP('Données projet'!$B$11,Paramètres!$A$1:$I$89,5,0)</f>
        <v>1.8089849618263545E-13</v>
      </c>
      <c r="BF164" s="14">
        <f t="shared" si="167"/>
        <v>2.536422473342444E-12</v>
      </c>
      <c r="BG164" s="22">
        <f t="shared" si="168"/>
        <v>4.7326673552561798E-12</v>
      </c>
      <c r="BH164" s="62">
        <f t="shared" si="116"/>
        <v>293.33333333333803</v>
      </c>
      <c r="BI164" s="62">
        <f ca="1">AVERAGE(OFFSET($BH$3,0,0,'Données projet'!$E$11+1,1))-AVERAGE(OFFSET($H$3,0,0,'Données projet'!$E$11+1,1))</f>
        <v>219.61164494001008</v>
      </c>
      <c r="BJ164" s="62">
        <f t="shared" si="146"/>
        <v>219.59799863414111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8.8675733422860506E-14</v>
      </c>
      <c r="CA164" s="14">
        <f t="shared" si="170"/>
        <v>1.3509285393066301E-12</v>
      </c>
      <c r="CB164" s="22">
        <f t="shared" si="171"/>
        <v>2.5073107750038623E-12</v>
      </c>
      <c r="CC164" s="62">
        <f t="shared" si="119"/>
        <v>293.33333333333582</v>
      </c>
      <c r="CD164" s="62">
        <f ca="1">AVERAGE(OFFSET($CC$3,0,0,'Données projet'!$E$12+1,1))-AVERAGE(OFFSET($H$3,0,0,'Données projet'!$E$12+1,1))</f>
        <v>220.70608186257931</v>
      </c>
      <c r="CE164" s="62">
        <f t="shared" si="148"/>
        <v>208.79744153433245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6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9">
        <f t="shared" si="110"/>
        <v>489.52077735109452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projet'!$B$9,Paramètres!$A$1:$I$89,3,0)*VLOOKUP('Données projet'!$B$9,Paramètres!$A$1:$I$89,5,0)</f>
        <v>-1.9065282685915009E-13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302.20483575440988</v>
      </c>
      <c r="T165" s="62">
        <f t="shared" si="142"/>
        <v>275.32862097158687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0.57315300435741512</v>
      </c>
      <c r="AB165" s="23">
        <f>EXP(-LN(2)/2)*AB164+(1-EXP(-LN(2)/2))/(LN(2)/2)*V165*Y165*VLOOKUP('Données projet'!$B$9,Paramètres!$A$1:$I$89,3,0)*0.475*44/12</f>
        <v>1.4918325149550036E-19</v>
      </c>
      <c r="AC165" s="24">
        <f t="shared" si="163"/>
        <v>0.57315300435741512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180.20749454145079</v>
      </c>
      <c r="AO165" s="62">
        <f t="shared" si="144"/>
        <v>307.23455947678775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0.75020678558413856</v>
      </c>
      <c r="AW165" s="23">
        <f>EXP(-LN(2)/2)*AW164+(1-EXP(-LN(2)/2))/(LN(2)/2)*AQ165*AT165*VLOOKUP('Données projet'!$B$10,Paramètres!$A$1:$I$89,3,0)*0.475*44/12</f>
        <v>4.0230917412590707E-19</v>
      </c>
      <c r="AX165" s="23">
        <f t="shared" si="166"/>
        <v>0.75020678558413856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2.2737367544323206E-13</v>
      </c>
      <c r="BE165" s="14">
        <f>BD165*VLOOKUP('Données projet'!$B$11,Paramètres!$A$1:$I$89,3,0)*VLOOKUP('Données projet'!$B$11,Paramètres!$A$1:$I$89,5,0)</f>
        <v>1.8089849618263545E-13</v>
      </c>
      <c r="BF165" s="14">
        <f t="shared" si="167"/>
        <v>2.536422473342444E-12</v>
      </c>
      <c r="BG165" s="22">
        <f t="shared" si="168"/>
        <v>4.7326673552561798E-12</v>
      </c>
      <c r="BH165" s="62">
        <f t="shared" si="116"/>
        <v>293.33333333333803</v>
      </c>
      <c r="BI165" s="62">
        <f ca="1">AVERAGE(OFFSET($BH$3,0,0,'Données projet'!$E$11+1,1))-AVERAGE(OFFSET($H$3,0,0,'Données projet'!$E$11+1,1))</f>
        <v>219.61164494001008</v>
      </c>
      <c r="BJ165" s="62">
        <f t="shared" si="146"/>
        <v>219.59799863414111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8.8675733422860506E-14</v>
      </c>
      <c r="CA165" s="14">
        <f t="shared" si="170"/>
        <v>1.3509285393066301E-12</v>
      </c>
      <c r="CB165" s="22">
        <f t="shared" si="171"/>
        <v>2.5073107750038623E-12</v>
      </c>
      <c r="CC165" s="62">
        <f t="shared" si="119"/>
        <v>293.33333333333582</v>
      </c>
      <c r="CD165" s="62">
        <f ca="1">AVERAGE(OFFSET($CC$3,0,0,'Données projet'!$E$12+1,1))-AVERAGE(OFFSET($H$3,0,0,'Données projet'!$E$12+1,1))</f>
        <v>220.70608186257931</v>
      </c>
      <c r="CE165" s="62">
        <f t="shared" si="148"/>
        <v>208.79744153433245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6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9">
        <f t="shared" si="110"/>
        <v>490.70145485222611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projet'!$B$9,Paramètres!$A$1:$I$89,3,0)*VLOOKUP('Données projet'!$B$9,Paramètres!$A$1:$I$89,5,0)</f>
        <v>-1.9065282685915009E-13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302.20483575440988</v>
      </c>
      <c r="T166" s="62">
        <f t="shared" si="142"/>
        <v>275.32862097158687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0.55748010531245507</v>
      </c>
      <c r="AB166" s="23">
        <f>EXP(-LN(2)/2)*AB165+(1-EXP(-LN(2)/2))/(LN(2)/2)*V166*Y166*VLOOKUP('Données projet'!$B$9,Paramètres!$A$1:$I$89,3,0)*0.475*44/12</f>
        <v>1.0548848877192647E-19</v>
      </c>
      <c r="AC166" s="24">
        <f t="shared" si="163"/>
        <v>0.55748010531245507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180.20749454145079</v>
      </c>
      <c r="AO166" s="62">
        <f t="shared" si="144"/>
        <v>307.23455947678775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0.72969234158068008</v>
      </c>
      <c r="AW166" s="23">
        <f>EXP(-LN(2)/2)*AW165+(1-EXP(-LN(2)/2))/(LN(2)/2)*AQ166*AT166*VLOOKUP('Données projet'!$B$10,Paramètres!$A$1:$I$89,3,0)*0.475*44/12</f>
        <v>2.8447554515798842E-19</v>
      </c>
      <c r="AX166" s="23">
        <f t="shared" si="166"/>
        <v>0.72969234158068008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2.2737367544323206E-13</v>
      </c>
      <c r="BE166" s="14">
        <f>BD166*VLOOKUP('Données projet'!$B$11,Paramètres!$A$1:$I$89,3,0)*VLOOKUP('Données projet'!$B$11,Paramètres!$A$1:$I$89,5,0)</f>
        <v>1.8089849618263545E-13</v>
      </c>
      <c r="BF166" s="14">
        <f t="shared" si="167"/>
        <v>2.536422473342444E-12</v>
      </c>
      <c r="BG166" s="22">
        <f t="shared" si="168"/>
        <v>4.7326673552561798E-12</v>
      </c>
      <c r="BH166" s="62">
        <f t="shared" si="116"/>
        <v>293.33333333333803</v>
      </c>
      <c r="BI166" s="62">
        <f ca="1">AVERAGE(OFFSET($BH$3,0,0,'Données projet'!$E$11+1,1))-AVERAGE(OFFSET($H$3,0,0,'Données projet'!$E$11+1,1))</f>
        <v>219.61164494001008</v>
      </c>
      <c r="BJ166" s="62">
        <f t="shared" si="146"/>
        <v>219.59799863414111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8.8675733422860506E-14</v>
      </c>
      <c r="CA166" s="14">
        <f t="shared" si="170"/>
        <v>1.3509285393066301E-12</v>
      </c>
      <c r="CB166" s="22">
        <f t="shared" si="171"/>
        <v>2.5073107750038623E-12</v>
      </c>
      <c r="CC166" s="62">
        <f t="shared" si="119"/>
        <v>293.33333333333582</v>
      </c>
      <c r="CD166" s="62">
        <f ca="1">AVERAGE(OFFSET($CC$3,0,0,'Données projet'!$E$12+1,1))-AVERAGE(OFFSET($H$3,0,0,'Données projet'!$E$12+1,1))</f>
        <v>220.70608186257931</v>
      </c>
      <c r="CE166" s="62">
        <f t="shared" si="148"/>
        <v>208.79744153433245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6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9">
        <f t="shared" si="110"/>
        <v>491.88196836002629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projet'!$B$9,Paramètres!$A$1:$I$89,3,0)*VLOOKUP('Données projet'!$B$9,Paramètres!$A$1:$I$89,5,0)</f>
        <v>-1.9065282685915009E-13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302.20483575440988</v>
      </c>
      <c r="T167" s="62">
        <f t="shared" si="142"/>
        <v>275.32862097158687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0.5422357825160814</v>
      </c>
      <c r="AB167" s="23">
        <f>EXP(-LN(2)/2)*AB166+(1-EXP(-LN(2)/2))/(LN(2)/2)*V167*Y167*VLOOKUP('Données projet'!$B$9,Paramètres!$A$1:$I$89,3,0)*0.475*44/12</f>
        <v>7.459162574775019E-20</v>
      </c>
      <c r="AC167" s="24">
        <f t="shared" si="163"/>
        <v>0.5422357825160814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180.20749454145079</v>
      </c>
      <c r="AO167" s="62">
        <f t="shared" si="144"/>
        <v>307.23455947678775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0.70973886612730386</v>
      </c>
      <c r="AW167" s="23">
        <f>EXP(-LN(2)/2)*AW166+(1-EXP(-LN(2)/2))/(LN(2)/2)*AQ167*AT167*VLOOKUP('Données projet'!$B$10,Paramètres!$A$1:$I$89,3,0)*0.475*44/12</f>
        <v>2.0115458706295354E-19</v>
      </c>
      <c r="AX167" s="23">
        <f t="shared" si="166"/>
        <v>0.70973886612730386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2.2737367544323206E-13</v>
      </c>
      <c r="BE167" s="14">
        <f>BD167*VLOOKUP('Données projet'!$B$11,Paramètres!$A$1:$I$89,3,0)*VLOOKUP('Données projet'!$B$11,Paramètres!$A$1:$I$89,5,0)</f>
        <v>1.8089849618263545E-13</v>
      </c>
      <c r="BF167" s="14">
        <f t="shared" si="167"/>
        <v>2.536422473342444E-12</v>
      </c>
      <c r="BG167" s="22">
        <f t="shared" si="168"/>
        <v>4.7326673552561798E-12</v>
      </c>
      <c r="BH167" s="62">
        <f t="shared" si="116"/>
        <v>293.33333333333803</v>
      </c>
      <c r="BI167" s="62">
        <f ca="1">AVERAGE(OFFSET($BH$3,0,0,'Données projet'!$E$11+1,1))-AVERAGE(OFFSET($H$3,0,0,'Données projet'!$E$11+1,1))</f>
        <v>219.61164494001008</v>
      </c>
      <c r="BJ167" s="62">
        <f t="shared" si="146"/>
        <v>219.59799863414111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8.8675733422860506E-14</v>
      </c>
      <c r="CA167" s="14">
        <f t="shared" si="170"/>
        <v>1.3509285393066301E-12</v>
      </c>
      <c r="CB167" s="22">
        <f t="shared" si="171"/>
        <v>2.5073107750038623E-12</v>
      </c>
      <c r="CC167" s="62">
        <f t="shared" si="119"/>
        <v>293.33333333333582</v>
      </c>
      <c r="CD167" s="62">
        <f ca="1">AVERAGE(OFFSET($CC$3,0,0,'Données projet'!$E$12+1,1))-AVERAGE(OFFSET($H$3,0,0,'Données projet'!$E$12+1,1))</f>
        <v>220.70608186257931</v>
      </c>
      <c r="CE167" s="62">
        <f t="shared" si="148"/>
        <v>208.79744153433245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6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9">
        <f t="shared" si="110"/>
        <v>493.06231899046742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projet'!$B$9,Paramètres!$A$1:$I$89,3,0)*VLOOKUP('Données projet'!$B$9,Paramètres!$A$1:$I$89,5,0)</f>
        <v>-1.9065282685915009E-13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302.20483575440988</v>
      </c>
      <c r="T168" s="62">
        <f t="shared" si="142"/>
        <v>275.32862097158687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0.52740831652823861</v>
      </c>
      <c r="AB168" s="23">
        <f>EXP(-LN(2)/2)*AB167+(1-EXP(-LN(2)/2))/(LN(2)/2)*V168*Y168*VLOOKUP('Données projet'!$B$9,Paramètres!$A$1:$I$89,3,0)*0.475*44/12</f>
        <v>5.2744244385963241E-20</v>
      </c>
      <c r="AC168" s="24">
        <f t="shared" si="163"/>
        <v>0.52740831652823861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180.20749454145079</v>
      </c>
      <c r="AO168" s="62">
        <f t="shared" si="144"/>
        <v>307.23455947678775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0.69033101950950793</v>
      </c>
      <c r="AW168" s="23">
        <f>EXP(-LN(2)/2)*AW167+(1-EXP(-LN(2)/2))/(LN(2)/2)*AQ168*AT168*VLOOKUP('Données projet'!$B$10,Paramètres!$A$1:$I$89,3,0)*0.475*44/12</f>
        <v>1.4223777257899421E-19</v>
      </c>
      <c r="AX168" s="23">
        <f t="shared" si="166"/>
        <v>0.69033101950950793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2.2737367544323206E-13</v>
      </c>
      <c r="BE168" s="14">
        <f>BD168*VLOOKUP('Données projet'!$B$11,Paramètres!$A$1:$I$89,3,0)*VLOOKUP('Données projet'!$B$11,Paramètres!$A$1:$I$89,5,0)</f>
        <v>1.8089849618263545E-13</v>
      </c>
      <c r="BF168" s="14">
        <f t="shared" si="167"/>
        <v>2.536422473342444E-12</v>
      </c>
      <c r="BG168" s="22">
        <f t="shared" si="168"/>
        <v>4.7326673552561798E-12</v>
      </c>
      <c r="BH168" s="62">
        <f t="shared" si="116"/>
        <v>293.33333333333803</v>
      </c>
      <c r="BI168" s="62">
        <f ca="1">AVERAGE(OFFSET($BH$3,0,0,'Données projet'!$E$11+1,1))-AVERAGE(OFFSET($H$3,0,0,'Données projet'!$E$11+1,1))</f>
        <v>219.61164494001008</v>
      </c>
      <c r="BJ168" s="62">
        <f t="shared" si="146"/>
        <v>219.59799863414111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8.8675733422860506E-14</v>
      </c>
      <c r="CA168" s="14">
        <f t="shared" si="170"/>
        <v>1.3509285393066301E-12</v>
      </c>
      <c r="CB168" s="22">
        <f t="shared" si="171"/>
        <v>2.5073107750038623E-12</v>
      </c>
      <c r="CC168" s="62">
        <f t="shared" si="119"/>
        <v>293.33333333333582</v>
      </c>
      <c r="CD168" s="62">
        <f ca="1">AVERAGE(OFFSET($CC$3,0,0,'Données projet'!$E$12+1,1))-AVERAGE(OFFSET($H$3,0,0,'Données projet'!$E$12+1,1))</f>
        <v>220.70608186257931</v>
      </c>
      <c r="CE168" s="62">
        <f t="shared" si="148"/>
        <v>208.79744153433245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6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9">
        <f t="shared" si="110"/>
        <v>494.24250784521246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projet'!$B$9,Paramètres!$A$1:$I$89,3,0)*VLOOKUP('Données projet'!$B$9,Paramètres!$A$1:$I$89,5,0)</f>
        <v>-1.9065282685915009E-13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302.20483575440988</v>
      </c>
      <c r="T169" s="62">
        <f t="shared" si="142"/>
        <v>275.32862097158687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0.51298630837757597</v>
      </c>
      <c r="AB169" s="23">
        <f>EXP(-LN(2)/2)*AB168+(1-EXP(-LN(2)/2))/(LN(2)/2)*V169*Y169*VLOOKUP('Données projet'!$B$9,Paramètres!$A$1:$I$89,3,0)*0.475*44/12</f>
        <v>3.7295812873875101E-20</v>
      </c>
      <c r="AC169" s="24">
        <f t="shared" si="163"/>
        <v>0.51298630837757597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180.20749454145079</v>
      </c>
      <c r="AO169" s="62">
        <f t="shared" si="144"/>
        <v>307.23455947678775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0.67145388147808993</v>
      </c>
      <c r="AW169" s="23">
        <f>EXP(-LN(2)/2)*AW168+(1-EXP(-LN(2)/2))/(LN(2)/2)*AQ169*AT169*VLOOKUP('Données projet'!$B$10,Paramètres!$A$1:$I$89,3,0)*0.475*44/12</f>
        <v>1.0057729353147677E-19</v>
      </c>
      <c r="AX169" s="23">
        <f t="shared" si="166"/>
        <v>0.67145388147808993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2.2737367544323206E-13</v>
      </c>
      <c r="BE169" s="14">
        <f>BD169*VLOOKUP('Données projet'!$B$11,Paramètres!$A$1:$I$89,3,0)*VLOOKUP('Données projet'!$B$11,Paramètres!$A$1:$I$89,5,0)</f>
        <v>1.8089849618263545E-13</v>
      </c>
      <c r="BF169" s="14">
        <f t="shared" si="167"/>
        <v>2.536422473342444E-12</v>
      </c>
      <c r="BG169" s="22">
        <f t="shared" si="168"/>
        <v>4.7326673552561798E-12</v>
      </c>
      <c r="BH169" s="62">
        <f t="shared" si="116"/>
        <v>293.33333333333803</v>
      </c>
      <c r="BI169" s="62">
        <f ca="1">AVERAGE(OFFSET($BH$3,0,0,'Données projet'!$E$11+1,1))-AVERAGE(OFFSET($H$3,0,0,'Données projet'!$E$11+1,1))</f>
        <v>219.61164494001008</v>
      </c>
      <c r="BJ169" s="62">
        <f t="shared" si="146"/>
        <v>219.59799863414111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8.8675733422860506E-14</v>
      </c>
      <c r="CA169" s="14">
        <f t="shared" si="170"/>
        <v>1.3509285393066301E-12</v>
      </c>
      <c r="CB169" s="22">
        <f t="shared" si="171"/>
        <v>2.5073107750038623E-12</v>
      </c>
      <c r="CC169" s="62">
        <f t="shared" si="119"/>
        <v>293.33333333333582</v>
      </c>
      <c r="CD169" s="62">
        <f ca="1">AVERAGE(OFFSET($CC$3,0,0,'Données projet'!$E$12+1,1))-AVERAGE(OFFSET($H$3,0,0,'Données projet'!$E$12+1,1))</f>
        <v>220.70608186257931</v>
      </c>
      <c r="CE169" s="62">
        <f t="shared" si="148"/>
        <v>208.79744153433245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6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9">
        <f t="shared" si="110"/>
        <v>495.42253601188349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projet'!$B$9,Paramètres!$A$1:$I$89,3,0)*VLOOKUP('Données projet'!$B$9,Paramètres!$A$1:$I$89,5,0)</f>
        <v>-1.9065282685915009E-13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302.20483575440988</v>
      </c>
      <c r="T170" s="62">
        <f t="shared" si="142"/>
        <v>275.32862097158687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0.49895867079821365</v>
      </c>
      <c r="AB170" s="23">
        <f>EXP(-LN(2)/2)*AB169+(1-EXP(-LN(2)/2))/(LN(2)/2)*V170*Y170*VLOOKUP('Données projet'!$B$9,Paramètres!$A$1:$I$89,3,0)*0.475*44/12</f>
        <v>2.6372122192981624E-20</v>
      </c>
      <c r="AC170" s="24">
        <f t="shared" si="163"/>
        <v>0.49895867079821365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180.20749454145079</v>
      </c>
      <c r="AO170" s="62">
        <f t="shared" si="144"/>
        <v>307.23455947678775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0.65309293977884653</v>
      </c>
      <c r="AW170" s="23">
        <f>EXP(-LN(2)/2)*AW169+(1-EXP(-LN(2)/2))/(LN(2)/2)*AQ170*AT170*VLOOKUP('Données projet'!$B$10,Paramètres!$A$1:$I$89,3,0)*0.475*44/12</f>
        <v>7.1118886289497104E-20</v>
      </c>
      <c r="AX170" s="23">
        <f t="shared" si="166"/>
        <v>0.65309293977884653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2.2737367544323206E-13</v>
      </c>
      <c r="BE170" s="14">
        <f>BD170*VLOOKUP('Données projet'!$B$11,Paramètres!$A$1:$I$89,3,0)*VLOOKUP('Données projet'!$B$11,Paramètres!$A$1:$I$89,5,0)</f>
        <v>1.8089849618263545E-13</v>
      </c>
      <c r="BF170" s="14">
        <f t="shared" si="167"/>
        <v>2.536422473342444E-12</v>
      </c>
      <c r="BG170" s="22">
        <f t="shared" si="168"/>
        <v>4.7326673552561798E-12</v>
      </c>
      <c r="BH170" s="62">
        <f t="shared" si="116"/>
        <v>293.33333333333803</v>
      </c>
      <c r="BI170" s="62">
        <f ca="1">AVERAGE(OFFSET($BH$3,0,0,'Données projet'!$E$11+1,1))-AVERAGE(OFFSET($H$3,0,0,'Données projet'!$E$11+1,1))</f>
        <v>219.61164494001008</v>
      </c>
      <c r="BJ170" s="62">
        <f t="shared" si="146"/>
        <v>219.59799863414111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8.8675733422860506E-14</v>
      </c>
      <c r="CA170" s="14">
        <f t="shared" si="170"/>
        <v>1.3509285393066301E-12</v>
      </c>
      <c r="CB170" s="22">
        <f t="shared" si="171"/>
        <v>2.5073107750038623E-12</v>
      </c>
      <c r="CC170" s="62">
        <f t="shared" si="119"/>
        <v>293.33333333333582</v>
      </c>
      <c r="CD170" s="62">
        <f ca="1">AVERAGE(OFFSET($CC$3,0,0,'Données projet'!$E$12+1,1))-AVERAGE(OFFSET($H$3,0,0,'Données projet'!$E$12+1,1))</f>
        <v>220.70608186257931</v>
      </c>
      <c r="CE170" s="62">
        <f t="shared" si="148"/>
        <v>208.79744153433245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6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9">
        <f t="shared" si="110"/>
        <v>496.60240456432382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projet'!$B$9,Paramètres!$A$1:$I$89,3,0)*VLOOKUP('Données projet'!$B$9,Paramètres!$A$1:$I$89,5,0)</f>
        <v>-1.9065282685915009E-13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302.20483575440988</v>
      </c>
      <c r="T171" s="62">
        <f t="shared" si="142"/>
        <v>275.32862097158687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0.48531461970614037</v>
      </c>
      <c r="AB171" s="23">
        <f>EXP(-LN(2)/2)*AB170+(1-EXP(-LN(2)/2))/(LN(2)/2)*V171*Y171*VLOOKUP('Données projet'!$B$9,Paramètres!$A$1:$I$89,3,0)*0.475*44/12</f>
        <v>1.8647906436937554E-20</v>
      </c>
      <c r="AC171" s="24">
        <f t="shared" si="163"/>
        <v>0.48531461970614037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180.20749454145079</v>
      </c>
      <c r="AO171" s="62">
        <f t="shared" si="144"/>
        <v>307.23455947678775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0.63523407899592887</v>
      </c>
      <c r="AW171" s="23">
        <f>EXP(-LN(2)/2)*AW170+(1-EXP(-LN(2)/2))/(LN(2)/2)*AQ171*AT171*VLOOKUP('Données projet'!$B$10,Paramètres!$A$1:$I$89,3,0)*0.475*44/12</f>
        <v>5.0288646765738384E-20</v>
      </c>
      <c r="AX171" s="23">
        <f t="shared" si="166"/>
        <v>0.63523407899592887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2.2737367544323206E-13</v>
      </c>
      <c r="BE171" s="14">
        <f>BD171*VLOOKUP('Données projet'!$B$11,Paramètres!$A$1:$I$89,3,0)*VLOOKUP('Données projet'!$B$11,Paramètres!$A$1:$I$89,5,0)</f>
        <v>1.8089849618263545E-13</v>
      </c>
      <c r="BF171" s="14">
        <f t="shared" si="167"/>
        <v>2.536422473342444E-12</v>
      </c>
      <c r="BG171" s="22">
        <f t="shared" si="168"/>
        <v>4.7326673552561798E-12</v>
      </c>
      <c r="BH171" s="62">
        <f t="shared" si="116"/>
        <v>293.33333333333803</v>
      </c>
      <c r="BI171" s="62">
        <f ca="1">AVERAGE(OFFSET($BH$3,0,0,'Données projet'!$E$11+1,1))-AVERAGE(OFFSET($H$3,0,0,'Données projet'!$E$11+1,1))</f>
        <v>219.61164494001008</v>
      </c>
      <c r="BJ171" s="62">
        <f t="shared" si="146"/>
        <v>219.59799863414111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8.8675733422860506E-14</v>
      </c>
      <c r="CA171" s="14">
        <f t="shared" si="170"/>
        <v>1.3509285393066301E-12</v>
      </c>
      <c r="CB171" s="22">
        <f t="shared" si="171"/>
        <v>2.5073107750038623E-12</v>
      </c>
      <c r="CC171" s="62">
        <f t="shared" si="119"/>
        <v>293.33333333333582</v>
      </c>
      <c r="CD171" s="62">
        <f ca="1">AVERAGE(OFFSET($CC$3,0,0,'Données projet'!$E$12+1,1))-AVERAGE(OFFSET($H$3,0,0,'Données projet'!$E$12+1,1))</f>
        <v>220.70608186257931</v>
      </c>
      <c r="CE171" s="62">
        <f t="shared" si="148"/>
        <v>208.79744153433245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6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9">
        <f t="shared" si="110"/>
        <v>497.78211456285305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projet'!$B$9,Paramètres!$A$1:$I$89,3,0)*VLOOKUP('Données projet'!$B$9,Paramètres!$A$1:$I$89,5,0)</f>
        <v>-1.9065282685915009E-13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302.20483575440988</v>
      </c>
      <c r="T172" s="62">
        <f t="shared" si="142"/>
        <v>275.32862097158687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0.47204366590868929</v>
      </c>
      <c r="AB172" s="23">
        <f>EXP(-LN(2)/2)*AB171+(1-EXP(-LN(2)/2))/(LN(2)/2)*V172*Y172*VLOOKUP('Données projet'!$B$9,Paramètres!$A$1:$I$89,3,0)*0.475*44/12</f>
        <v>1.3186061096490815E-20</v>
      </c>
      <c r="AC172" s="24">
        <f t="shared" si="163"/>
        <v>0.47204366590868929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180.20749454145079</v>
      </c>
      <c r="AO172" s="62">
        <f t="shared" si="144"/>
        <v>307.23455947678775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0.61786356970027678</v>
      </c>
      <c r="AW172" s="23">
        <f>EXP(-LN(2)/2)*AW171+(1-EXP(-LN(2)/2))/(LN(2)/2)*AQ172*AT172*VLOOKUP('Données projet'!$B$10,Paramètres!$A$1:$I$89,3,0)*0.475*44/12</f>
        <v>3.5559443144748552E-20</v>
      </c>
      <c r="AX172" s="23">
        <f t="shared" si="166"/>
        <v>0.61786356970027678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2.2737367544323206E-13</v>
      </c>
      <c r="BE172" s="14">
        <f>BD172*VLOOKUP('Données projet'!$B$11,Paramètres!$A$1:$I$89,3,0)*VLOOKUP('Données projet'!$B$11,Paramètres!$A$1:$I$89,5,0)</f>
        <v>1.8089849618263545E-13</v>
      </c>
      <c r="BF172" s="14">
        <f t="shared" si="167"/>
        <v>2.536422473342444E-12</v>
      </c>
      <c r="BG172" s="22">
        <f t="shared" si="168"/>
        <v>4.7326673552561798E-12</v>
      </c>
      <c r="BH172" s="62">
        <f t="shared" si="116"/>
        <v>293.33333333333803</v>
      </c>
      <c r="BI172" s="62">
        <f ca="1">AVERAGE(OFFSET($BH$3,0,0,'Données projet'!$E$11+1,1))-AVERAGE(OFFSET($H$3,0,0,'Données projet'!$E$11+1,1))</f>
        <v>219.61164494001008</v>
      </c>
      <c r="BJ172" s="62">
        <f t="shared" si="146"/>
        <v>219.59799863414111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8.8675733422860506E-14</v>
      </c>
      <c r="CA172" s="14">
        <f t="shared" si="170"/>
        <v>1.3509285393066301E-12</v>
      </c>
      <c r="CB172" s="22">
        <f t="shared" si="171"/>
        <v>2.5073107750038623E-12</v>
      </c>
      <c r="CC172" s="62">
        <f t="shared" si="119"/>
        <v>293.33333333333582</v>
      </c>
      <c r="CD172" s="62">
        <f ca="1">AVERAGE(OFFSET($CC$3,0,0,'Données projet'!$E$12+1,1))-AVERAGE(OFFSET($H$3,0,0,'Données projet'!$E$12+1,1))</f>
        <v>220.70608186257931</v>
      </c>
      <c r="CE172" s="62">
        <f t="shared" si="148"/>
        <v>208.79744153433245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6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9">
        <f t="shared" si="110"/>
        <v>498.96166705451697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projet'!$B$9,Paramètres!$A$1:$I$89,3,0)*VLOOKUP('Données projet'!$B$9,Paramètres!$A$1:$I$89,5,0)</f>
        <v>-1.9065282685915009E-13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302.20483575440988</v>
      </c>
      <c r="T173" s="62">
        <f t="shared" si="142"/>
        <v>275.32862097158687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0.45913560704071865</v>
      </c>
      <c r="AB173" s="23">
        <f>EXP(-LN(2)/2)*AB172+(1-EXP(-LN(2)/2))/(LN(2)/2)*V173*Y173*VLOOKUP('Données projet'!$B$9,Paramètres!$A$1:$I$89,3,0)*0.475*44/12</f>
        <v>9.3239532184687783E-21</v>
      </c>
      <c r="AC173" s="24">
        <f t="shared" si="163"/>
        <v>0.45913560704071865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180.20749454145079</v>
      </c>
      <c r="AO173" s="62">
        <f t="shared" si="144"/>
        <v>307.23455947678775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0.60096805789478969</v>
      </c>
      <c r="AW173" s="23">
        <f>EXP(-LN(2)/2)*AW172+(1-EXP(-LN(2)/2))/(LN(2)/2)*AQ173*AT173*VLOOKUP('Données projet'!$B$10,Paramètres!$A$1:$I$89,3,0)*0.475*44/12</f>
        <v>2.5144323382869192E-20</v>
      </c>
      <c r="AX173" s="23">
        <f t="shared" si="166"/>
        <v>0.60096805789478969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2.2737367544323206E-13</v>
      </c>
      <c r="BE173" s="14">
        <f>BD173*VLOOKUP('Données projet'!$B$11,Paramètres!$A$1:$I$89,3,0)*VLOOKUP('Données projet'!$B$11,Paramètres!$A$1:$I$89,5,0)</f>
        <v>1.8089849618263545E-13</v>
      </c>
      <c r="BF173" s="14">
        <f t="shared" si="167"/>
        <v>2.536422473342444E-12</v>
      </c>
      <c r="BG173" s="22">
        <f t="shared" si="168"/>
        <v>4.7326673552561798E-12</v>
      </c>
      <c r="BH173" s="62">
        <f t="shared" si="116"/>
        <v>293.33333333333803</v>
      </c>
      <c r="BI173" s="62">
        <f ca="1">AVERAGE(OFFSET($BH$3,0,0,'Données projet'!$E$11+1,1))-AVERAGE(OFFSET($H$3,0,0,'Données projet'!$E$11+1,1))</f>
        <v>219.61164494001008</v>
      </c>
      <c r="BJ173" s="62">
        <f t="shared" si="146"/>
        <v>219.59799863414111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8.8675733422860506E-14</v>
      </c>
      <c r="CA173" s="14">
        <f t="shared" si="170"/>
        <v>1.3509285393066301E-12</v>
      </c>
      <c r="CB173" s="22">
        <f t="shared" si="171"/>
        <v>2.5073107750038623E-12</v>
      </c>
      <c r="CC173" s="62">
        <f t="shared" si="119"/>
        <v>293.33333333333582</v>
      </c>
      <c r="CD173" s="62">
        <f ca="1">AVERAGE(OFFSET($CC$3,0,0,'Données projet'!$E$12+1,1))-AVERAGE(OFFSET($H$3,0,0,'Données projet'!$E$12+1,1))</f>
        <v>220.70608186257931</v>
      </c>
      <c r="CE173" s="62">
        <f t="shared" si="148"/>
        <v>208.79744153433245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6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9">
        <f t="shared" si="110"/>
        <v>500.1410630733302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projet'!$B$9,Paramètres!$A$1:$I$89,3,0)*VLOOKUP('Données projet'!$B$9,Paramètres!$A$1:$I$89,5,0)</f>
        <v>-1.9065282685915009E-13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302.20483575440988</v>
      </c>
      <c r="T174" s="62">
        <f t="shared" si="142"/>
        <v>275.32862097158687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0.44658051972129797</v>
      </c>
      <c r="AB174" s="23">
        <f>EXP(-LN(2)/2)*AB173+(1-EXP(-LN(2)/2))/(LN(2)/2)*V174*Y174*VLOOKUP('Données projet'!$B$9,Paramètres!$A$1:$I$89,3,0)*0.475*44/12</f>
        <v>6.5930305482454082E-21</v>
      </c>
      <c r="AC174" s="24">
        <f t="shared" si="163"/>
        <v>0.44658051972129797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180.20749454145079</v>
      </c>
      <c r="AO174" s="62">
        <f t="shared" si="144"/>
        <v>307.23455947678775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0.58453455474811999</v>
      </c>
      <c r="AW174" s="23">
        <f>EXP(-LN(2)/2)*AW173+(1-EXP(-LN(2)/2))/(LN(2)/2)*AQ174*AT174*VLOOKUP('Données projet'!$B$10,Paramètres!$A$1:$I$89,3,0)*0.475*44/12</f>
        <v>1.7779721572374276E-20</v>
      </c>
      <c r="AX174" s="23">
        <f t="shared" si="166"/>
        <v>0.58453455474811999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2.2737367544323206E-13</v>
      </c>
      <c r="BE174" s="14">
        <f>BD174*VLOOKUP('Données projet'!$B$11,Paramètres!$A$1:$I$89,3,0)*VLOOKUP('Données projet'!$B$11,Paramètres!$A$1:$I$89,5,0)</f>
        <v>1.8089849618263545E-13</v>
      </c>
      <c r="BF174" s="14">
        <f t="shared" si="167"/>
        <v>2.536422473342444E-12</v>
      </c>
      <c r="BG174" s="22">
        <f t="shared" si="168"/>
        <v>4.7326673552561798E-12</v>
      </c>
      <c r="BH174" s="62">
        <f t="shared" si="116"/>
        <v>293.33333333333803</v>
      </c>
      <c r="BI174" s="62">
        <f ca="1">AVERAGE(OFFSET($BH$3,0,0,'Données projet'!$E$11+1,1))-AVERAGE(OFFSET($H$3,0,0,'Données projet'!$E$11+1,1))</f>
        <v>219.61164494001008</v>
      </c>
      <c r="BJ174" s="62">
        <f t="shared" si="146"/>
        <v>219.59799863414111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8.8675733422860506E-14</v>
      </c>
      <c r="CA174" s="14">
        <f t="shared" si="170"/>
        <v>1.3509285393066301E-12</v>
      </c>
      <c r="CB174" s="22">
        <f t="shared" si="171"/>
        <v>2.5073107750038623E-12</v>
      </c>
      <c r="CC174" s="62">
        <f t="shared" si="119"/>
        <v>293.33333333333582</v>
      </c>
      <c r="CD174" s="62">
        <f ca="1">AVERAGE(OFFSET($CC$3,0,0,'Données projet'!$E$12+1,1))-AVERAGE(OFFSET($H$3,0,0,'Données projet'!$E$12+1,1))</f>
        <v>220.70608186257931</v>
      </c>
      <c r="CE174" s="62">
        <f t="shared" si="148"/>
        <v>208.79744153433245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6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9">
        <f t="shared" si="110"/>
        <v>501.32030364051411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projet'!$B$9,Paramètres!$A$1:$I$89,3,0)*VLOOKUP('Données projet'!$B$9,Paramètres!$A$1:$I$89,5,0)</f>
        <v>-1.9065282685915009E-13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302.20483575440988</v>
      </c>
      <c r="T175" s="62">
        <f t="shared" si="142"/>
        <v>275.32862097158687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0.43436875192487023</v>
      </c>
      <c r="AB175" s="23">
        <f>EXP(-LN(2)/2)*AB174+(1-EXP(-LN(2)/2))/(LN(2)/2)*V175*Y175*VLOOKUP('Données projet'!$B$9,Paramètres!$A$1:$I$89,3,0)*0.475*44/12</f>
        <v>4.6619766092343899E-21</v>
      </c>
      <c r="AC175" s="24">
        <f t="shared" si="163"/>
        <v>0.43436875192487023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180.20749454145079</v>
      </c>
      <c r="AO175" s="62">
        <f t="shared" si="144"/>
        <v>307.23455947678775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0.56855042660919641</v>
      </c>
      <c r="AW175" s="23">
        <f>EXP(-LN(2)/2)*AW174+(1-EXP(-LN(2)/2))/(LN(2)/2)*AQ175*AT175*VLOOKUP('Données projet'!$B$10,Paramètres!$A$1:$I$89,3,0)*0.475*44/12</f>
        <v>1.2572161691434596E-20</v>
      </c>
      <c r="AX175" s="23">
        <f t="shared" si="166"/>
        <v>0.56855042660919641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2.2737367544323206E-13</v>
      </c>
      <c r="BE175" s="14">
        <f>BD175*VLOOKUP('Données projet'!$B$11,Paramètres!$A$1:$I$89,3,0)*VLOOKUP('Données projet'!$B$11,Paramètres!$A$1:$I$89,5,0)</f>
        <v>1.8089849618263545E-13</v>
      </c>
      <c r="BF175" s="14">
        <f t="shared" si="167"/>
        <v>2.536422473342444E-12</v>
      </c>
      <c r="BG175" s="22">
        <f t="shared" si="168"/>
        <v>4.7326673552561798E-12</v>
      </c>
      <c r="BH175" s="62">
        <f t="shared" si="116"/>
        <v>293.33333333333803</v>
      </c>
      <c r="BI175" s="62">
        <f ca="1">AVERAGE(OFFSET($BH$3,0,0,'Données projet'!$E$11+1,1))-AVERAGE(OFFSET($H$3,0,0,'Données projet'!$E$11+1,1))</f>
        <v>219.61164494001008</v>
      </c>
      <c r="BJ175" s="62">
        <f t="shared" si="146"/>
        <v>219.59799863414111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8.8675733422860506E-14</v>
      </c>
      <c r="CA175" s="14">
        <f t="shared" si="170"/>
        <v>1.3509285393066301E-12</v>
      </c>
      <c r="CB175" s="22">
        <f t="shared" si="171"/>
        <v>2.5073107750038623E-12</v>
      </c>
      <c r="CC175" s="62">
        <f t="shared" si="119"/>
        <v>293.33333333333582</v>
      </c>
      <c r="CD175" s="62">
        <f ca="1">AVERAGE(OFFSET($CC$3,0,0,'Données projet'!$E$12+1,1))-AVERAGE(OFFSET($H$3,0,0,'Données projet'!$E$12+1,1))</f>
        <v>220.70608186257931</v>
      </c>
      <c r="CE175" s="62">
        <f t="shared" si="148"/>
        <v>208.79744153433245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6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9">
        <f t="shared" si="110"/>
        <v>502.49938976472833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projet'!$B$9,Paramètres!$A$1:$I$89,3,0)*VLOOKUP('Données projet'!$B$9,Paramètres!$A$1:$I$89,5,0)</f>
        <v>-1.9065282685915009E-13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302.20483575440988</v>
      </c>
      <c r="T176" s="62">
        <f t="shared" si="142"/>
        <v>275.32862097158687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0.42249091556102475</v>
      </c>
      <c r="AB176" s="23">
        <f>EXP(-LN(2)/2)*AB175+(1-EXP(-LN(2)/2))/(LN(2)/2)*V176*Y176*VLOOKUP('Données projet'!$B$9,Paramètres!$A$1:$I$89,3,0)*0.475*44/12</f>
        <v>3.2965152741227048E-21</v>
      </c>
      <c r="AC176" s="24">
        <f t="shared" si="163"/>
        <v>0.42249091556102475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180.20749454145079</v>
      </c>
      <c r="AO176" s="62">
        <f t="shared" si="144"/>
        <v>307.23455947678775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0.55300338529480042</v>
      </c>
      <c r="AW176" s="23">
        <f>EXP(-LN(2)/2)*AW175+(1-EXP(-LN(2)/2))/(LN(2)/2)*AQ176*AT176*VLOOKUP('Données projet'!$B$10,Paramètres!$A$1:$I$89,3,0)*0.475*44/12</f>
        <v>8.889860786187138E-21</v>
      </c>
      <c r="AX176" s="23">
        <f t="shared" si="166"/>
        <v>0.55300338529480042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2.2737367544323206E-13</v>
      </c>
      <c r="BE176" s="14">
        <f>BD176*VLOOKUP('Données projet'!$B$11,Paramètres!$A$1:$I$89,3,0)*VLOOKUP('Données projet'!$B$11,Paramètres!$A$1:$I$89,5,0)</f>
        <v>1.8089849618263545E-13</v>
      </c>
      <c r="BF176" s="14">
        <f t="shared" si="167"/>
        <v>2.536422473342444E-12</v>
      </c>
      <c r="BG176" s="22">
        <f t="shared" si="168"/>
        <v>4.7326673552561798E-12</v>
      </c>
      <c r="BH176" s="62">
        <f t="shared" si="116"/>
        <v>293.33333333333803</v>
      </c>
      <c r="BI176" s="62">
        <f ca="1">AVERAGE(OFFSET($BH$3,0,0,'Données projet'!$E$11+1,1))-AVERAGE(OFFSET($H$3,0,0,'Données projet'!$E$11+1,1))</f>
        <v>219.61164494001008</v>
      </c>
      <c r="BJ176" s="62">
        <f t="shared" si="146"/>
        <v>219.59799863414111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8.8675733422860506E-14</v>
      </c>
      <c r="CA176" s="14">
        <f t="shared" si="170"/>
        <v>1.3509285393066301E-12</v>
      </c>
      <c r="CB176" s="22">
        <f t="shared" si="171"/>
        <v>2.5073107750038623E-12</v>
      </c>
      <c r="CC176" s="62">
        <f t="shared" si="119"/>
        <v>293.33333333333582</v>
      </c>
      <c r="CD176" s="62">
        <f ca="1">AVERAGE(OFFSET($CC$3,0,0,'Données projet'!$E$12+1,1))-AVERAGE(OFFSET($H$3,0,0,'Données projet'!$E$12+1,1))</f>
        <v>220.70608186257931</v>
      </c>
      <c r="CE176" s="62">
        <f t="shared" si="148"/>
        <v>208.79744153433245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6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9">
        <f t="shared" si="110"/>
        <v>503.67832244229692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projet'!$B$9,Paramètres!$A$1:$I$89,3,0)*VLOOKUP('Données projet'!$B$9,Paramètres!$A$1:$I$89,5,0)</f>
        <v>-1.9065282685915009E-13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302.20483575440988</v>
      </c>
      <c r="T177" s="62">
        <f t="shared" si="142"/>
        <v>275.32862097158687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0.4109378792571769</v>
      </c>
      <c r="AB177" s="23">
        <f>EXP(-LN(2)/2)*AB176+(1-EXP(-LN(2)/2))/(LN(2)/2)*V177*Y177*VLOOKUP('Données projet'!$B$9,Paramètres!$A$1:$I$89,3,0)*0.475*44/12</f>
        <v>2.3309883046171953E-21</v>
      </c>
      <c r="AC177" s="24">
        <f t="shared" si="163"/>
        <v>0.4109378792571769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180.20749454145079</v>
      </c>
      <c r="AO177" s="62">
        <f t="shared" si="144"/>
        <v>307.23455947678775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0.53788147864272995</v>
      </c>
      <c r="AW177" s="23">
        <f>EXP(-LN(2)/2)*AW176+(1-EXP(-LN(2)/2))/(LN(2)/2)*AQ177*AT177*VLOOKUP('Données projet'!$B$10,Paramètres!$A$1:$I$89,3,0)*0.475*44/12</f>
        <v>6.286080845717298E-21</v>
      </c>
      <c r="AX177" s="23">
        <f t="shared" si="166"/>
        <v>0.53788147864272995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2.2737367544323206E-13</v>
      </c>
      <c r="BE177" s="14">
        <f>BD177*VLOOKUP('Données projet'!$B$11,Paramètres!$A$1:$I$89,3,0)*VLOOKUP('Données projet'!$B$11,Paramètres!$A$1:$I$89,5,0)</f>
        <v>1.8089849618263545E-13</v>
      </c>
      <c r="BF177" s="14">
        <f t="shared" si="167"/>
        <v>2.536422473342444E-12</v>
      </c>
      <c r="BG177" s="22">
        <f t="shared" si="168"/>
        <v>4.7326673552561798E-12</v>
      </c>
      <c r="BH177" s="62">
        <f t="shared" si="116"/>
        <v>293.33333333333803</v>
      </c>
      <c r="BI177" s="62">
        <f ca="1">AVERAGE(OFFSET($BH$3,0,0,'Données projet'!$E$11+1,1))-AVERAGE(OFFSET($H$3,0,0,'Données projet'!$E$11+1,1))</f>
        <v>219.61164494001008</v>
      </c>
      <c r="BJ177" s="62">
        <f t="shared" si="146"/>
        <v>219.59799863414111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8.8675733422860506E-14</v>
      </c>
      <c r="CA177" s="14">
        <f t="shared" si="170"/>
        <v>1.3509285393066301E-12</v>
      </c>
      <c r="CB177" s="22">
        <f t="shared" si="171"/>
        <v>2.5073107750038623E-12</v>
      </c>
      <c r="CC177" s="62">
        <f t="shared" si="119"/>
        <v>293.33333333333582</v>
      </c>
      <c r="CD177" s="62">
        <f ca="1">AVERAGE(OFFSET($CC$3,0,0,'Données projet'!$E$12+1,1))-AVERAGE(OFFSET($H$3,0,0,'Données projet'!$E$12+1,1))</f>
        <v>220.70608186257931</v>
      </c>
      <c r="CE177" s="62">
        <f t="shared" si="148"/>
        <v>208.79744153433245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6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9">
        <f t="shared" si="110"/>
        <v>504.85710265742932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projet'!$B$9,Paramètres!$A$1:$I$89,3,0)*VLOOKUP('Données projet'!$B$9,Paramètres!$A$1:$I$89,5,0)</f>
        <v>-1.9065282685915009E-13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302.20483575440988</v>
      </c>
      <c r="T178" s="62">
        <f t="shared" si="142"/>
        <v>275.32862097158687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0.39970076133860555</v>
      </c>
      <c r="AB178" s="23">
        <f>EXP(-LN(2)/2)*AB177+(1-EXP(-LN(2)/2))/(LN(2)/2)*V178*Y178*VLOOKUP('Données projet'!$B$9,Paramètres!$A$1:$I$89,3,0)*0.475*44/12</f>
        <v>1.6482576370613526E-21</v>
      </c>
      <c r="AC178" s="24">
        <f t="shared" si="163"/>
        <v>0.39970076133860555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180.20749454145079</v>
      </c>
      <c r="AO178" s="62">
        <f t="shared" si="144"/>
        <v>307.23455947678775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0.52317308132328688</v>
      </c>
      <c r="AW178" s="23">
        <f>EXP(-LN(2)/2)*AW177+(1-EXP(-LN(2)/2))/(LN(2)/2)*AQ178*AT178*VLOOKUP('Données projet'!$B$10,Paramètres!$A$1:$I$89,3,0)*0.475*44/12</f>
        <v>4.444930393093569E-21</v>
      </c>
      <c r="AX178" s="23">
        <f t="shared" si="166"/>
        <v>0.52317308132328688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2.2737367544323206E-13</v>
      </c>
      <c r="BE178" s="14">
        <f>BD178*VLOOKUP('Données projet'!$B$11,Paramètres!$A$1:$I$89,3,0)*VLOOKUP('Données projet'!$B$11,Paramètres!$A$1:$I$89,5,0)</f>
        <v>1.8089849618263545E-13</v>
      </c>
      <c r="BF178" s="14">
        <f t="shared" si="167"/>
        <v>2.536422473342444E-12</v>
      </c>
      <c r="BG178" s="22">
        <f t="shared" si="168"/>
        <v>4.7326673552561798E-12</v>
      </c>
      <c r="BH178" s="62">
        <f t="shared" si="116"/>
        <v>293.33333333333803</v>
      </c>
      <c r="BI178" s="62">
        <f ca="1">AVERAGE(OFFSET($BH$3,0,0,'Données projet'!$E$11+1,1))-AVERAGE(OFFSET($H$3,0,0,'Données projet'!$E$11+1,1))</f>
        <v>219.61164494001008</v>
      </c>
      <c r="BJ178" s="62">
        <f t="shared" si="146"/>
        <v>219.59799863414111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8.8675733422860506E-14</v>
      </c>
      <c r="CA178" s="14">
        <f t="shared" si="170"/>
        <v>1.3509285393066301E-12</v>
      </c>
      <c r="CB178" s="22">
        <f t="shared" si="171"/>
        <v>2.5073107750038623E-12</v>
      </c>
      <c r="CC178" s="62">
        <f t="shared" si="119"/>
        <v>293.33333333333582</v>
      </c>
      <c r="CD178" s="62">
        <f ca="1">AVERAGE(OFFSET($CC$3,0,0,'Données projet'!$E$12+1,1))-AVERAGE(OFFSET($H$3,0,0,'Données projet'!$E$12+1,1))</f>
        <v>220.70608186257931</v>
      </c>
      <c r="CE178" s="62">
        <f t="shared" si="148"/>
        <v>208.79744153433245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6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9">
        <f t="shared" si="110"/>
        <v>506.03573138243593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projet'!$B$9,Paramètres!$A$1:$I$89,3,0)*VLOOKUP('Données projet'!$B$9,Paramètres!$A$1:$I$89,5,0)</f>
        <v>-1.9065282685915009E-13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302.20483575440988</v>
      </c>
      <c r="T179" s="62">
        <f t="shared" si="142"/>
        <v>275.32862097158687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0.38877092300045185</v>
      </c>
      <c r="AB179" s="23">
        <f>EXP(-LN(2)/2)*AB178+(1-EXP(-LN(2)/2))/(LN(2)/2)*V179*Y179*VLOOKUP('Données projet'!$B$9,Paramètres!$A$1:$I$89,3,0)*0.475*44/12</f>
        <v>1.1654941523085978E-21</v>
      </c>
      <c r="AC179" s="24">
        <f t="shared" si="163"/>
        <v>0.38877092300045185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180.20749454145079</v>
      </c>
      <c r="AO179" s="62">
        <f t="shared" si="144"/>
        <v>307.23455947678775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0.508866885902025</v>
      </c>
      <c r="AW179" s="23">
        <f>EXP(-LN(2)/2)*AW178+(1-EXP(-LN(2)/2))/(LN(2)/2)*AQ179*AT179*VLOOKUP('Données projet'!$B$10,Paramètres!$A$1:$I$89,3,0)*0.475*44/12</f>
        <v>3.143040422858649E-21</v>
      </c>
      <c r="AX179" s="23">
        <f t="shared" si="166"/>
        <v>0.508866885902025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2.2737367544323206E-13</v>
      </c>
      <c r="BE179" s="14">
        <f>BD179*VLOOKUP('Données projet'!$B$11,Paramètres!$A$1:$I$89,3,0)*VLOOKUP('Données projet'!$B$11,Paramètres!$A$1:$I$89,5,0)</f>
        <v>1.8089849618263545E-13</v>
      </c>
      <c r="BF179" s="14">
        <f t="shared" si="167"/>
        <v>2.536422473342444E-12</v>
      </c>
      <c r="BG179" s="22">
        <f t="shared" si="168"/>
        <v>4.7326673552561798E-12</v>
      </c>
      <c r="BH179" s="62">
        <f t="shared" si="116"/>
        <v>293.33333333333803</v>
      </c>
      <c r="BI179" s="62">
        <f ca="1">AVERAGE(OFFSET($BH$3,0,0,'Données projet'!$E$11+1,1))-AVERAGE(OFFSET($H$3,0,0,'Données projet'!$E$11+1,1))</f>
        <v>219.61164494001008</v>
      </c>
      <c r="BJ179" s="62">
        <f t="shared" si="146"/>
        <v>219.59799863414111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8.8675733422860506E-14</v>
      </c>
      <c r="CA179" s="14">
        <f t="shared" si="170"/>
        <v>1.3509285393066301E-12</v>
      </c>
      <c r="CB179" s="22">
        <f t="shared" si="171"/>
        <v>2.5073107750038623E-12</v>
      </c>
      <c r="CC179" s="62">
        <f t="shared" si="119"/>
        <v>293.33333333333582</v>
      </c>
      <c r="CD179" s="62">
        <f ca="1">AVERAGE(OFFSET($CC$3,0,0,'Données projet'!$E$12+1,1))-AVERAGE(OFFSET($H$3,0,0,'Données projet'!$E$12+1,1))</f>
        <v>220.70608186257931</v>
      </c>
      <c r="CE179" s="62">
        <f t="shared" si="148"/>
        <v>208.79744153433245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6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9">
        <f t="shared" si="110"/>
        <v>507.21420957793879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projet'!$B$9,Paramètres!$A$1:$I$89,3,0)*VLOOKUP('Données projet'!$B$9,Paramètres!$A$1:$I$89,5,0)</f>
        <v>-1.9065282685915009E-13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302.20483575440988</v>
      </c>
      <c r="T180" s="62">
        <f t="shared" si="142"/>
        <v>275.32862097158687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0.37813996166643021</v>
      </c>
      <c r="AB180" s="23">
        <f>EXP(-LN(2)/2)*AB179+(1-EXP(-LN(2)/2))/(LN(2)/2)*V180*Y180*VLOOKUP('Données projet'!$B$9,Paramètres!$A$1:$I$89,3,0)*0.475*44/12</f>
        <v>8.2412881853067649E-22</v>
      </c>
      <c r="AC180" s="24">
        <f t="shared" si="163"/>
        <v>0.37813996166643021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180.20749454145079</v>
      </c>
      <c r="AO180" s="62">
        <f t="shared" si="144"/>
        <v>307.23455947678775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0.49495189414688762</v>
      </c>
      <c r="AW180" s="23">
        <f>EXP(-LN(2)/2)*AW179+(1-EXP(-LN(2)/2))/(LN(2)/2)*AQ180*AT180*VLOOKUP('Données projet'!$B$10,Paramètres!$A$1:$I$89,3,0)*0.475*44/12</f>
        <v>2.2224651965467845E-21</v>
      </c>
      <c r="AX180" s="23">
        <f t="shared" si="166"/>
        <v>0.49495189414688762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2.2737367544323206E-13</v>
      </c>
      <c r="BE180" s="14">
        <f>BD180*VLOOKUP('Données projet'!$B$11,Paramètres!$A$1:$I$89,3,0)*VLOOKUP('Données projet'!$B$11,Paramètres!$A$1:$I$89,5,0)</f>
        <v>1.8089849618263545E-13</v>
      </c>
      <c r="BF180" s="14">
        <f t="shared" si="167"/>
        <v>2.536422473342444E-12</v>
      </c>
      <c r="BG180" s="22">
        <f t="shared" si="168"/>
        <v>4.7326673552561798E-12</v>
      </c>
      <c r="BH180" s="62">
        <f t="shared" si="116"/>
        <v>293.33333333333803</v>
      </c>
      <c r="BI180" s="62">
        <f ca="1">AVERAGE(OFFSET($BH$3,0,0,'Données projet'!$E$11+1,1))-AVERAGE(OFFSET($H$3,0,0,'Données projet'!$E$11+1,1))</f>
        <v>219.61164494001008</v>
      </c>
      <c r="BJ180" s="62">
        <f t="shared" si="146"/>
        <v>219.59799863414111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8.8675733422860506E-14</v>
      </c>
      <c r="CA180" s="14">
        <f t="shared" si="170"/>
        <v>1.3509285393066301E-12</v>
      </c>
      <c r="CB180" s="22">
        <f t="shared" si="171"/>
        <v>2.5073107750038623E-12</v>
      </c>
      <c r="CC180" s="62">
        <f t="shared" si="119"/>
        <v>293.33333333333582</v>
      </c>
      <c r="CD180" s="62">
        <f ca="1">AVERAGE(OFFSET($CC$3,0,0,'Données projet'!$E$12+1,1))-AVERAGE(OFFSET($H$3,0,0,'Données projet'!$E$12+1,1))</f>
        <v>220.70608186257931</v>
      </c>
      <c r="CE180" s="62">
        <f t="shared" si="148"/>
        <v>208.79744153433245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6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9">
        <f t="shared" si="110"/>
        <v>508.39253819307743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projet'!$B$9,Paramètres!$A$1:$I$89,3,0)*VLOOKUP('Données projet'!$B$9,Paramètres!$A$1:$I$89,5,0)</f>
        <v>-1.9065282685915009E-13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302.20483575440988</v>
      </c>
      <c r="T181" s="62">
        <f t="shared" si="142"/>
        <v>275.32862097158687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0.36779970452914534</v>
      </c>
      <c r="AB181" s="23">
        <f>EXP(-LN(2)/2)*AB180+(1-EXP(-LN(2)/2))/(LN(2)/2)*V181*Y181*VLOOKUP('Données projet'!$B$9,Paramètres!$A$1:$I$89,3,0)*0.475*44/12</f>
        <v>5.8274707615429902E-22</v>
      </c>
      <c r="AC181" s="24">
        <f t="shared" si="163"/>
        <v>0.36779970452914534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180.20749454145079</v>
      </c>
      <c r="AO181" s="62">
        <f t="shared" si="144"/>
        <v>307.23455947678775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0.4814174085730521</v>
      </c>
      <c r="AW181" s="23">
        <f>EXP(-LN(2)/2)*AW180+(1-EXP(-LN(2)/2))/(LN(2)/2)*AQ181*AT181*VLOOKUP('Données projet'!$B$10,Paramètres!$A$1:$I$89,3,0)*0.475*44/12</f>
        <v>1.5715202114293245E-21</v>
      </c>
      <c r="AX181" s="23">
        <f t="shared" si="166"/>
        <v>0.4814174085730521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2.2737367544323206E-13</v>
      </c>
      <c r="BE181" s="14">
        <f>BD181*VLOOKUP('Données projet'!$B$11,Paramètres!$A$1:$I$89,3,0)*VLOOKUP('Données projet'!$B$11,Paramètres!$A$1:$I$89,5,0)</f>
        <v>1.8089849618263545E-13</v>
      </c>
      <c r="BF181" s="14">
        <f t="shared" si="167"/>
        <v>2.536422473342444E-12</v>
      </c>
      <c r="BG181" s="22">
        <f t="shared" si="168"/>
        <v>4.7326673552561798E-12</v>
      </c>
      <c r="BH181" s="62">
        <f t="shared" si="116"/>
        <v>293.33333333333803</v>
      </c>
      <c r="BI181" s="62">
        <f ca="1">AVERAGE(OFFSET($BH$3,0,0,'Données projet'!$E$11+1,1))-AVERAGE(OFFSET($H$3,0,0,'Données projet'!$E$11+1,1))</f>
        <v>219.61164494001008</v>
      </c>
      <c r="BJ181" s="62">
        <f t="shared" si="146"/>
        <v>219.59799863414111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8.8675733422860506E-14</v>
      </c>
      <c r="CA181" s="14">
        <f t="shared" si="170"/>
        <v>1.3509285393066301E-12</v>
      </c>
      <c r="CB181" s="22">
        <f t="shared" si="171"/>
        <v>2.5073107750038623E-12</v>
      </c>
      <c r="CC181" s="62">
        <f t="shared" si="119"/>
        <v>293.33333333333582</v>
      </c>
      <c r="CD181" s="62">
        <f ca="1">AVERAGE(OFFSET($CC$3,0,0,'Données projet'!$E$12+1,1))-AVERAGE(OFFSET($H$3,0,0,'Données projet'!$E$12+1,1))</f>
        <v>220.70608186257931</v>
      </c>
      <c r="CE181" s="62">
        <f t="shared" si="148"/>
        <v>208.79744153433245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6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9">
        <f t="shared" si="110"/>
        <v>509.57071816570965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projet'!$B$9,Paramètres!$A$1:$I$89,3,0)*VLOOKUP('Données projet'!$B$9,Paramètres!$A$1:$I$89,5,0)</f>
        <v>-1.9065282685915009E-13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302.20483575440988</v>
      </c>
      <c r="T182" s="62">
        <f t="shared" si="142"/>
        <v>275.32862097158687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0.35774220226705</v>
      </c>
      <c r="AB182" s="23">
        <f>EXP(-LN(2)/2)*AB181+(1-EXP(-LN(2)/2))/(LN(2)/2)*V182*Y182*VLOOKUP('Données projet'!$B$9,Paramètres!$A$1:$I$89,3,0)*0.475*44/12</f>
        <v>4.1206440926533829E-22</v>
      </c>
      <c r="AC182" s="24">
        <f t="shared" si="163"/>
        <v>0.35774220226705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180.20749454145079</v>
      </c>
      <c r="AO182" s="62">
        <f t="shared" si="144"/>
        <v>307.23455947678775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0.46825302421898074</v>
      </c>
      <c r="AW182" s="23">
        <f>EXP(-LN(2)/2)*AW181+(1-EXP(-LN(2)/2))/(LN(2)/2)*AQ182*AT182*VLOOKUP('Données projet'!$B$10,Paramètres!$A$1:$I$89,3,0)*0.475*44/12</f>
        <v>1.1112325982733923E-21</v>
      </c>
      <c r="AX182" s="23">
        <f t="shared" si="166"/>
        <v>0.46825302421898074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2.2737367544323206E-13</v>
      </c>
      <c r="BE182" s="14">
        <f>BD182*VLOOKUP('Données projet'!$B$11,Paramètres!$A$1:$I$89,3,0)*VLOOKUP('Données projet'!$B$11,Paramètres!$A$1:$I$89,5,0)</f>
        <v>1.8089849618263545E-13</v>
      </c>
      <c r="BF182" s="14">
        <f t="shared" si="167"/>
        <v>2.536422473342444E-12</v>
      </c>
      <c r="BG182" s="22">
        <f t="shared" si="168"/>
        <v>4.7326673552561798E-12</v>
      </c>
      <c r="BH182" s="62">
        <f t="shared" si="116"/>
        <v>293.33333333333803</v>
      </c>
      <c r="BI182" s="62">
        <f ca="1">AVERAGE(OFFSET($BH$3,0,0,'Données projet'!$E$11+1,1))-AVERAGE(OFFSET($H$3,0,0,'Données projet'!$E$11+1,1))</f>
        <v>219.61164494001008</v>
      </c>
      <c r="BJ182" s="62">
        <f t="shared" si="146"/>
        <v>219.59799863414111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8.8675733422860506E-14</v>
      </c>
      <c r="CA182" s="14">
        <f t="shared" si="170"/>
        <v>1.3509285393066301E-12</v>
      </c>
      <c r="CB182" s="22">
        <f t="shared" si="171"/>
        <v>2.5073107750038623E-12</v>
      </c>
      <c r="CC182" s="62">
        <f t="shared" si="119"/>
        <v>293.33333333333582</v>
      </c>
      <c r="CD182" s="62">
        <f ca="1">AVERAGE(OFFSET($CC$3,0,0,'Données projet'!$E$12+1,1))-AVERAGE(OFFSET($H$3,0,0,'Données projet'!$E$12+1,1))</f>
        <v>220.70608186257931</v>
      </c>
      <c r="CE182" s="62">
        <f t="shared" si="148"/>
        <v>208.79744153433245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6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9">
        <f t="shared" si="110"/>
        <v>510.74875042260788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projet'!$B$9,Paramètres!$A$1:$I$89,3,0)*VLOOKUP('Données projet'!$B$9,Paramètres!$A$1:$I$89,5,0)</f>
        <v>-1.9065282685915009E-13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302.20483575440988</v>
      </c>
      <c r="T183" s="62">
        <f t="shared" si="142"/>
        <v>275.32862097158687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0.34795972293321276</v>
      </c>
      <c r="AB183" s="23">
        <f>EXP(-LN(2)/2)*AB182+(1-EXP(-LN(2)/2))/(LN(2)/2)*V183*Y183*VLOOKUP('Données projet'!$B$9,Paramètres!$A$1:$I$89,3,0)*0.475*44/12</f>
        <v>2.9137353807714956E-22</v>
      </c>
      <c r="AC183" s="24">
        <f t="shared" si="163"/>
        <v>0.34795972293321276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180.20749454145079</v>
      </c>
      <c r="AO183" s="62">
        <f t="shared" si="144"/>
        <v>307.23455947678775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0.45544862064735636</v>
      </c>
      <c r="AW183" s="23">
        <f>EXP(-LN(2)/2)*AW182+(1-EXP(-LN(2)/2))/(LN(2)/2)*AQ183*AT183*VLOOKUP('Données projet'!$B$10,Paramètres!$A$1:$I$89,3,0)*0.475*44/12</f>
        <v>7.8576010571466225E-22</v>
      </c>
      <c r="AX183" s="23">
        <f t="shared" si="166"/>
        <v>0.45544862064735636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2.2737367544323206E-13</v>
      </c>
      <c r="BE183" s="14">
        <f>BD183*VLOOKUP('Données projet'!$B$11,Paramètres!$A$1:$I$89,3,0)*VLOOKUP('Données projet'!$B$11,Paramètres!$A$1:$I$89,5,0)</f>
        <v>1.8089849618263545E-13</v>
      </c>
      <c r="BF183" s="14">
        <f t="shared" si="167"/>
        <v>2.536422473342444E-12</v>
      </c>
      <c r="BG183" s="22">
        <f t="shared" si="168"/>
        <v>4.7326673552561798E-12</v>
      </c>
      <c r="BH183" s="62">
        <f t="shared" si="116"/>
        <v>293.33333333333803</v>
      </c>
      <c r="BI183" s="62">
        <f ca="1">AVERAGE(OFFSET($BH$3,0,0,'Données projet'!$E$11+1,1))-AVERAGE(OFFSET($H$3,0,0,'Données projet'!$E$11+1,1))</f>
        <v>219.61164494001008</v>
      </c>
      <c r="BJ183" s="62">
        <f t="shared" si="146"/>
        <v>219.59799863414111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8.8675733422860506E-14</v>
      </c>
      <c r="CA183" s="14">
        <f t="shared" si="170"/>
        <v>1.3509285393066301E-12</v>
      </c>
      <c r="CB183" s="22">
        <f t="shared" si="171"/>
        <v>2.5073107750038623E-12</v>
      </c>
      <c r="CC183" s="62">
        <f t="shared" si="119"/>
        <v>293.33333333333582</v>
      </c>
      <c r="CD183" s="62">
        <f ca="1">AVERAGE(OFFSET($CC$3,0,0,'Données projet'!$E$12+1,1))-AVERAGE(OFFSET($H$3,0,0,'Données projet'!$E$12+1,1))</f>
        <v>220.70608186257931</v>
      </c>
      <c r="CE183" s="62">
        <f t="shared" si="148"/>
        <v>208.79744153433245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6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9">
        <f t="shared" si="110"/>
        <v>511.92663587965137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projet'!$B$9,Paramètres!$A$1:$I$89,3,0)*VLOOKUP('Données projet'!$B$9,Paramètres!$A$1:$I$89,5,0)</f>
        <v>-1.9065282685915009E-13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302.20483575440988</v>
      </c>
      <c r="T184" s="62">
        <f t="shared" si="142"/>
        <v>275.32862097158687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0.33844474601119751</v>
      </c>
      <c r="AB184" s="23">
        <f>EXP(-LN(2)/2)*AB183+(1-EXP(-LN(2)/2))/(LN(2)/2)*V184*Y184*VLOOKUP('Données projet'!$B$9,Paramètres!$A$1:$I$89,3,0)*0.475*44/12</f>
        <v>2.0603220463266917E-22</v>
      </c>
      <c r="AC184" s="24">
        <f t="shared" si="163"/>
        <v>0.33844474601119751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180.20749454145079</v>
      </c>
      <c r="AO184" s="62">
        <f t="shared" si="144"/>
        <v>307.23455947678775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0.44299435416475236</v>
      </c>
      <c r="AW184" s="23">
        <f>EXP(-LN(2)/2)*AW183+(1-EXP(-LN(2)/2))/(LN(2)/2)*AQ184*AT184*VLOOKUP('Données projet'!$B$10,Paramètres!$A$1:$I$89,3,0)*0.475*44/12</f>
        <v>5.5561629913669613E-22</v>
      </c>
      <c r="AX184" s="23">
        <f t="shared" si="166"/>
        <v>0.44299435416475236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2.2737367544323206E-13</v>
      </c>
      <c r="BE184" s="14">
        <f>BD184*VLOOKUP('Données projet'!$B$11,Paramètres!$A$1:$I$89,3,0)*VLOOKUP('Données projet'!$B$11,Paramètres!$A$1:$I$89,5,0)</f>
        <v>1.8089849618263545E-13</v>
      </c>
      <c r="BF184" s="14">
        <f t="shared" si="167"/>
        <v>2.536422473342444E-12</v>
      </c>
      <c r="BG184" s="22">
        <f t="shared" si="168"/>
        <v>4.7326673552561798E-12</v>
      </c>
      <c r="BH184" s="62">
        <f t="shared" si="116"/>
        <v>293.33333333333803</v>
      </c>
      <c r="BI184" s="62">
        <f ca="1">AVERAGE(OFFSET($BH$3,0,0,'Données projet'!$E$11+1,1))-AVERAGE(OFFSET($H$3,0,0,'Données projet'!$E$11+1,1))</f>
        <v>219.61164494001008</v>
      </c>
      <c r="BJ184" s="62">
        <f t="shared" si="146"/>
        <v>219.59799863414111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8.8675733422860506E-14</v>
      </c>
      <c r="CA184" s="14">
        <f t="shared" si="170"/>
        <v>1.3509285393066301E-12</v>
      </c>
      <c r="CB184" s="22">
        <f t="shared" si="171"/>
        <v>2.5073107750038623E-12</v>
      </c>
      <c r="CC184" s="62">
        <f t="shared" si="119"/>
        <v>293.33333333333582</v>
      </c>
      <c r="CD184" s="62">
        <f ca="1">AVERAGE(OFFSET($CC$3,0,0,'Données projet'!$E$12+1,1))-AVERAGE(OFFSET($H$3,0,0,'Données projet'!$E$12+1,1))</f>
        <v>220.70608186257931</v>
      </c>
      <c r="CE184" s="62">
        <f t="shared" si="148"/>
        <v>208.79744153433245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6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9">
        <f t="shared" si="110"/>
        <v>513.10437544201318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projet'!$B$9,Paramètres!$A$1:$I$89,3,0)*VLOOKUP('Données projet'!$B$9,Paramètres!$A$1:$I$89,5,0)</f>
        <v>-1.9065282685915009E-13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302.20483575440988</v>
      </c>
      <c r="T185" s="62">
        <f t="shared" si="142"/>
        <v>275.32862097158687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0.32918995663348566</v>
      </c>
      <c r="AB185" s="23">
        <f>EXP(-LN(2)/2)*AB184+(1-EXP(-LN(2)/2))/(LN(2)/2)*V185*Y185*VLOOKUP('Données projet'!$B$9,Paramètres!$A$1:$I$89,3,0)*0.475*44/12</f>
        <v>1.456867690385748E-22</v>
      </c>
      <c r="AC185" s="24">
        <f t="shared" si="163"/>
        <v>0.32918995663348566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180.20749454145079</v>
      </c>
      <c r="AO185" s="62">
        <f t="shared" si="144"/>
        <v>307.23455947678775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0.43088065025405659</v>
      </c>
      <c r="AW185" s="23">
        <f>EXP(-LN(2)/2)*AW184+(1-EXP(-LN(2)/2))/(LN(2)/2)*AQ185*AT185*VLOOKUP('Données projet'!$B$10,Paramètres!$A$1:$I$89,3,0)*0.475*44/12</f>
        <v>3.9288005285733113E-22</v>
      </c>
      <c r="AX185" s="23">
        <f t="shared" si="166"/>
        <v>0.43088065025405659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2.2737367544323206E-13</v>
      </c>
      <c r="BE185" s="14">
        <f>BD185*VLOOKUP('Données projet'!$B$11,Paramètres!$A$1:$I$89,3,0)*VLOOKUP('Données projet'!$B$11,Paramètres!$A$1:$I$89,5,0)</f>
        <v>1.8089849618263545E-13</v>
      </c>
      <c r="BF185" s="14">
        <f t="shared" si="167"/>
        <v>2.536422473342444E-12</v>
      </c>
      <c r="BG185" s="22">
        <f t="shared" si="168"/>
        <v>4.7326673552561798E-12</v>
      </c>
      <c r="BH185" s="62">
        <f t="shared" si="116"/>
        <v>293.33333333333803</v>
      </c>
      <c r="BI185" s="62">
        <f ca="1">AVERAGE(OFFSET($BH$3,0,0,'Données projet'!$E$11+1,1))-AVERAGE(OFFSET($H$3,0,0,'Données projet'!$E$11+1,1))</f>
        <v>219.61164494001008</v>
      </c>
      <c r="BJ185" s="62">
        <f t="shared" si="146"/>
        <v>219.59799863414111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8.8675733422860506E-14</v>
      </c>
      <c r="CA185" s="14">
        <f t="shared" si="170"/>
        <v>1.3509285393066301E-12</v>
      </c>
      <c r="CB185" s="22">
        <f t="shared" si="171"/>
        <v>2.5073107750038623E-12</v>
      </c>
      <c r="CC185" s="62">
        <f t="shared" si="119"/>
        <v>293.33333333333582</v>
      </c>
      <c r="CD185" s="62">
        <f ca="1">AVERAGE(OFFSET($CC$3,0,0,'Données projet'!$E$12+1,1))-AVERAGE(OFFSET($H$3,0,0,'Données projet'!$E$12+1,1))</f>
        <v>220.70608186257931</v>
      </c>
      <c r="CE185" s="62">
        <f t="shared" si="148"/>
        <v>208.79744153433245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6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9">
        <f t="shared" si="110"/>
        <v>514.28197000434375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projet'!$B$9,Paramètres!$A$1:$I$89,3,0)*VLOOKUP('Données projet'!$B$9,Paramètres!$A$1:$I$89,5,0)</f>
        <v>-1.9065282685915009E-13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302.20483575440988</v>
      </c>
      <c r="T186" s="62">
        <f t="shared" si="142"/>
        <v>275.32862097158687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0.32018823995799556</v>
      </c>
      <c r="AB186" s="23">
        <f>EXP(-LN(2)/2)*AB185+(1-EXP(-LN(2)/2))/(LN(2)/2)*V186*Y186*VLOOKUP('Données projet'!$B$9,Paramètres!$A$1:$I$89,3,0)*0.475*44/12</f>
        <v>1.0301610231633461E-22</v>
      </c>
      <c r="AC186" s="24">
        <f t="shared" si="163"/>
        <v>0.32018823995799556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180.20749454145079</v>
      </c>
      <c r="AO186" s="62">
        <f t="shared" si="144"/>
        <v>307.23455947678775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0.41909819621383082</v>
      </c>
      <c r="AW186" s="23">
        <f>EXP(-LN(2)/2)*AW185+(1-EXP(-LN(2)/2))/(LN(2)/2)*AQ186*AT186*VLOOKUP('Données projet'!$B$10,Paramètres!$A$1:$I$89,3,0)*0.475*44/12</f>
        <v>2.7780814956834806E-22</v>
      </c>
      <c r="AX186" s="23">
        <f t="shared" si="166"/>
        <v>0.41909819621383082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2.2737367544323206E-13</v>
      </c>
      <c r="BE186" s="14">
        <f>BD186*VLOOKUP('Données projet'!$B$11,Paramètres!$A$1:$I$89,3,0)*VLOOKUP('Données projet'!$B$11,Paramètres!$A$1:$I$89,5,0)</f>
        <v>1.8089849618263545E-13</v>
      </c>
      <c r="BF186" s="14">
        <f t="shared" si="167"/>
        <v>2.536422473342444E-12</v>
      </c>
      <c r="BG186" s="22">
        <f t="shared" si="168"/>
        <v>4.7326673552561798E-12</v>
      </c>
      <c r="BH186" s="62">
        <f t="shared" si="116"/>
        <v>293.33333333333803</v>
      </c>
      <c r="BI186" s="62">
        <f ca="1">AVERAGE(OFFSET($BH$3,0,0,'Données projet'!$E$11+1,1))-AVERAGE(OFFSET($H$3,0,0,'Données projet'!$E$11+1,1))</f>
        <v>219.61164494001008</v>
      </c>
      <c r="BJ186" s="62">
        <f t="shared" si="146"/>
        <v>219.59799863414111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8.8675733422860506E-14</v>
      </c>
      <c r="CA186" s="14">
        <f t="shared" si="170"/>
        <v>1.3509285393066301E-12</v>
      </c>
      <c r="CB186" s="22">
        <f t="shared" si="171"/>
        <v>2.5073107750038623E-12</v>
      </c>
      <c r="CC186" s="62">
        <f t="shared" si="119"/>
        <v>293.33333333333582</v>
      </c>
      <c r="CD186" s="62">
        <f ca="1">AVERAGE(OFFSET($CC$3,0,0,'Données projet'!$E$12+1,1))-AVERAGE(OFFSET($H$3,0,0,'Données projet'!$E$12+1,1))</f>
        <v>220.70608186257931</v>
      </c>
      <c r="CE186" s="62">
        <f t="shared" si="148"/>
        <v>208.79744153433245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6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9">
        <f t="shared" si="110"/>
        <v>515.45942045095035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projet'!$B$9,Paramètres!$A$1:$I$89,3,0)*VLOOKUP('Données projet'!$B$9,Paramètres!$A$1:$I$89,5,0)</f>
        <v>-1.9065282685915009E-13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302.20483575440988</v>
      </c>
      <c r="T187" s="62">
        <f t="shared" si="142"/>
        <v>275.32862097158687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0.3114326756983764</v>
      </c>
      <c r="AB187" s="23">
        <f>EXP(-LN(2)/2)*AB186+(1-EXP(-LN(2)/2))/(LN(2)/2)*V187*Y187*VLOOKUP('Données projet'!$B$9,Paramètres!$A$1:$I$89,3,0)*0.475*44/12</f>
        <v>7.2843384519287413E-23</v>
      </c>
      <c r="AC187" s="24">
        <f t="shared" si="163"/>
        <v>0.3114326756983764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180.20749454145079</v>
      </c>
      <c r="AO187" s="62">
        <f t="shared" si="144"/>
        <v>307.23455947678775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0.40763793399894732</v>
      </c>
      <c r="AW187" s="23">
        <f>EXP(-LN(2)/2)*AW186+(1-EXP(-LN(2)/2))/(LN(2)/2)*AQ187*AT187*VLOOKUP('Données projet'!$B$10,Paramètres!$A$1:$I$89,3,0)*0.475*44/12</f>
        <v>1.9644002642866556E-22</v>
      </c>
      <c r="AX187" s="23">
        <f t="shared" si="166"/>
        <v>0.40763793399894732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2.2737367544323206E-13</v>
      </c>
      <c r="BE187" s="14">
        <f>BD187*VLOOKUP('Données projet'!$B$11,Paramètres!$A$1:$I$89,3,0)*VLOOKUP('Données projet'!$B$11,Paramètres!$A$1:$I$89,5,0)</f>
        <v>1.8089849618263545E-13</v>
      </c>
      <c r="BF187" s="14">
        <f t="shared" si="167"/>
        <v>2.536422473342444E-12</v>
      </c>
      <c r="BG187" s="22">
        <f t="shared" si="168"/>
        <v>4.7326673552561798E-12</v>
      </c>
      <c r="BH187" s="62">
        <f t="shared" si="116"/>
        <v>293.33333333333803</v>
      </c>
      <c r="BI187" s="62">
        <f ca="1">AVERAGE(OFFSET($BH$3,0,0,'Données projet'!$E$11+1,1))-AVERAGE(OFFSET($H$3,0,0,'Données projet'!$E$11+1,1))</f>
        <v>219.61164494001008</v>
      </c>
      <c r="BJ187" s="62">
        <f t="shared" si="146"/>
        <v>219.59799863414111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8.8675733422860506E-14</v>
      </c>
      <c r="CA187" s="14">
        <f t="shared" si="170"/>
        <v>1.3509285393066301E-12</v>
      </c>
      <c r="CB187" s="22">
        <f t="shared" si="171"/>
        <v>2.5073107750038623E-12</v>
      </c>
      <c r="CC187" s="62">
        <f t="shared" si="119"/>
        <v>293.33333333333582</v>
      </c>
      <c r="CD187" s="62">
        <f ca="1">AVERAGE(OFFSET($CC$3,0,0,'Données projet'!$E$12+1,1))-AVERAGE(OFFSET($H$3,0,0,'Données projet'!$E$12+1,1))</f>
        <v>220.70608186257931</v>
      </c>
      <c r="CE187" s="62">
        <f t="shared" si="148"/>
        <v>208.79744153433245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6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9">
        <f t="shared" si="110"/>
        <v>516.63672765597119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projet'!$B$9,Paramètres!$A$1:$I$89,3,0)*VLOOKUP('Données projet'!$B$9,Paramètres!$A$1:$I$89,5,0)</f>
        <v>-1.9065282685915009E-13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302.20483575440988</v>
      </c>
      <c r="T188" s="62">
        <f t="shared" si="142"/>
        <v>275.32862097158687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0.30291653280387165</v>
      </c>
      <c r="AB188" s="23">
        <f>EXP(-LN(2)/2)*AB187+(1-EXP(-LN(2)/2))/(LN(2)/2)*V188*Y188*VLOOKUP('Données projet'!$B$9,Paramètres!$A$1:$I$89,3,0)*0.475*44/12</f>
        <v>5.150805115816731E-23</v>
      </c>
      <c r="AC188" s="24">
        <f t="shared" si="163"/>
        <v>0.30291653280387165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180.20749454145079</v>
      </c>
      <c r="AO188" s="62">
        <f t="shared" si="144"/>
        <v>307.23455947678775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0.39649105325699885</v>
      </c>
      <c r="AW188" s="23">
        <f>EXP(-LN(2)/2)*AW187+(1-EXP(-LN(2)/2))/(LN(2)/2)*AQ188*AT188*VLOOKUP('Données projet'!$B$10,Paramètres!$A$1:$I$89,3,0)*0.475*44/12</f>
        <v>1.3890407478417403E-22</v>
      </c>
      <c r="AX188" s="23">
        <f t="shared" si="166"/>
        <v>0.39649105325699885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2.2737367544323206E-13</v>
      </c>
      <c r="BE188" s="14">
        <f>BD188*VLOOKUP('Données projet'!$B$11,Paramètres!$A$1:$I$89,3,0)*VLOOKUP('Données projet'!$B$11,Paramètres!$A$1:$I$89,5,0)</f>
        <v>1.8089849618263545E-13</v>
      </c>
      <c r="BF188" s="14">
        <f t="shared" si="167"/>
        <v>2.536422473342444E-12</v>
      </c>
      <c r="BG188" s="22">
        <f t="shared" si="168"/>
        <v>4.7326673552561798E-12</v>
      </c>
      <c r="BH188" s="62">
        <f t="shared" si="116"/>
        <v>293.33333333333803</v>
      </c>
      <c r="BI188" s="62">
        <f ca="1">AVERAGE(OFFSET($BH$3,0,0,'Données projet'!$E$11+1,1))-AVERAGE(OFFSET($H$3,0,0,'Données projet'!$E$11+1,1))</f>
        <v>219.61164494001008</v>
      </c>
      <c r="BJ188" s="62">
        <f t="shared" si="146"/>
        <v>219.59799863414111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8.8675733422860506E-14</v>
      </c>
      <c r="CA188" s="14">
        <f t="shared" si="170"/>
        <v>1.3509285393066301E-12</v>
      </c>
      <c r="CB188" s="22">
        <f t="shared" si="171"/>
        <v>2.5073107750038623E-12</v>
      </c>
      <c r="CC188" s="62">
        <f t="shared" si="119"/>
        <v>293.33333333333582</v>
      </c>
      <c r="CD188" s="62">
        <f ca="1">AVERAGE(OFFSET($CC$3,0,0,'Données projet'!$E$12+1,1))-AVERAGE(OFFSET($H$3,0,0,'Données projet'!$E$12+1,1))</f>
        <v>220.70608186257931</v>
      </c>
      <c r="CE188" s="62">
        <f t="shared" si="148"/>
        <v>208.79744153433245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6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9">
        <f t="shared" si="110"/>
        <v>517.81389248354799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projet'!$B$9,Paramètres!$A$1:$I$89,3,0)*VLOOKUP('Données projet'!$B$9,Paramètres!$A$1:$I$89,5,0)</f>
        <v>-1.9065282685915009E-13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302.20483575440988</v>
      </c>
      <c r="T189" s="62">
        <f t="shared" si="142"/>
        <v>275.32862097158687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0.29463326428466163</v>
      </c>
      <c r="AB189" s="23">
        <f>EXP(-LN(2)/2)*AB188+(1-EXP(-LN(2)/2))/(LN(2)/2)*V189*Y189*VLOOKUP('Données projet'!$B$9,Paramètres!$A$1:$I$89,3,0)*0.475*44/12</f>
        <v>3.6421692259643712E-23</v>
      </c>
      <c r="AC189" s="24">
        <f t="shared" si="163"/>
        <v>0.29463326428466163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180.20749454145079</v>
      </c>
      <c r="AO189" s="62">
        <f t="shared" si="144"/>
        <v>307.23455947678775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0.38564898455512792</v>
      </c>
      <c r="AW189" s="23">
        <f>EXP(-LN(2)/2)*AW188+(1-EXP(-LN(2)/2))/(LN(2)/2)*AQ189*AT189*VLOOKUP('Données projet'!$B$10,Paramètres!$A$1:$I$89,3,0)*0.475*44/12</f>
        <v>9.8220013214332781E-23</v>
      </c>
      <c r="AX189" s="23">
        <f t="shared" si="166"/>
        <v>0.38564898455512792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2.2737367544323206E-13</v>
      </c>
      <c r="BE189" s="14">
        <f>BD189*VLOOKUP('Données projet'!$B$11,Paramètres!$A$1:$I$89,3,0)*VLOOKUP('Données projet'!$B$11,Paramètres!$A$1:$I$89,5,0)</f>
        <v>1.8089849618263545E-13</v>
      </c>
      <c r="BF189" s="14">
        <f t="shared" si="167"/>
        <v>2.536422473342444E-12</v>
      </c>
      <c r="BG189" s="22">
        <f t="shared" si="168"/>
        <v>4.7326673552561798E-12</v>
      </c>
      <c r="BH189" s="62">
        <f t="shared" si="116"/>
        <v>293.33333333333803</v>
      </c>
      <c r="BI189" s="62">
        <f ca="1">AVERAGE(OFFSET($BH$3,0,0,'Données projet'!$E$11+1,1))-AVERAGE(OFFSET($H$3,0,0,'Données projet'!$E$11+1,1))</f>
        <v>219.61164494001008</v>
      </c>
      <c r="BJ189" s="62">
        <f t="shared" si="146"/>
        <v>219.59799863414111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8.8675733422860506E-14</v>
      </c>
      <c r="CA189" s="14">
        <f t="shared" si="170"/>
        <v>1.3509285393066301E-12</v>
      </c>
      <c r="CB189" s="22">
        <f t="shared" si="171"/>
        <v>2.5073107750038623E-12</v>
      </c>
      <c r="CC189" s="62">
        <f t="shared" si="119"/>
        <v>293.33333333333582</v>
      </c>
      <c r="CD189" s="62">
        <f ca="1">AVERAGE(OFFSET($CC$3,0,0,'Données projet'!$E$12+1,1))-AVERAGE(OFFSET($H$3,0,0,'Données projet'!$E$12+1,1))</f>
        <v>220.70608186257931</v>
      </c>
      <c r="CE189" s="62">
        <f t="shared" si="148"/>
        <v>208.79744153433245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6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9">
        <f t="shared" si="110"/>
        <v>518.99091578799244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projet'!$B$9,Paramètres!$A$1:$I$89,3,0)*VLOOKUP('Données projet'!$B$9,Paramètres!$A$1:$I$89,5,0)</f>
        <v>-1.9065282685915009E-13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302.20483575440988</v>
      </c>
      <c r="T190" s="62">
        <f t="shared" si="142"/>
        <v>275.32862097158687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0.28657650217870756</v>
      </c>
      <c r="AB190" s="23">
        <f>EXP(-LN(2)/2)*AB189+(1-EXP(-LN(2)/2))/(LN(2)/2)*V190*Y190*VLOOKUP('Données projet'!$B$9,Paramètres!$A$1:$I$89,3,0)*0.475*44/12</f>
        <v>2.5754025579083661E-23</v>
      </c>
      <c r="AC190" s="24">
        <f t="shared" si="163"/>
        <v>0.28657650217870756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180.20749454145079</v>
      </c>
      <c r="AO190" s="62">
        <f t="shared" si="144"/>
        <v>307.23455947678775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0.37510339279206928</v>
      </c>
      <c r="AW190" s="23">
        <f>EXP(-LN(2)/2)*AW189+(1-EXP(-LN(2)/2))/(LN(2)/2)*AQ190*AT190*VLOOKUP('Données projet'!$B$10,Paramètres!$A$1:$I$89,3,0)*0.475*44/12</f>
        <v>6.9452037392087016E-23</v>
      </c>
      <c r="AX190" s="23">
        <f t="shared" si="166"/>
        <v>0.37510339279206928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2.2737367544323206E-13</v>
      </c>
      <c r="BE190" s="14">
        <f>BD190*VLOOKUP('Données projet'!$B$11,Paramètres!$A$1:$I$89,3,0)*VLOOKUP('Données projet'!$B$11,Paramètres!$A$1:$I$89,5,0)</f>
        <v>1.8089849618263545E-13</v>
      </c>
      <c r="BF190" s="14">
        <f t="shared" si="167"/>
        <v>2.536422473342444E-12</v>
      </c>
      <c r="BG190" s="22">
        <f t="shared" si="168"/>
        <v>4.7326673552561798E-12</v>
      </c>
      <c r="BH190" s="62">
        <f t="shared" si="116"/>
        <v>293.33333333333803</v>
      </c>
      <c r="BI190" s="62">
        <f ca="1">AVERAGE(OFFSET($BH$3,0,0,'Données projet'!$E$11+1,1))-AVERAGE(OFFSET($H$3,0,0,'Données projet'!$E$11+1,1))</f>
        <v>219.61164494001008</v>
      </c>
      <c r="BJ190" s="62">
        <f t="shared" si="146"/>
        <v>219.59799863414111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8.8675733422860506E-14</v>
      </c>
      <c r="CA190" s="14">
        <f t="shared" si="170"/>
        <v>1.3509285393066301E-12</v>
      </c>
      <c r="CB190" s="22">
        <f t="shared" si="171"/>
        <v>2.5073107750038623E-12</v>
      </c>
      <c r="CC190" s="62">
        <f t="shared" si="119"/>
        <v>293.33333333333582</v>
      </c>
      <c r="CD190" s="62">
        <f ca="1">AVERAGE(OFFSET($CC$3,0,0,'Données projet'!$E$12+1,1))-AVERAGE(OFFSET($H$3,0,0,'Données projet'!$E$12+1,1))</f>
        <v>220.70608186257931</v>
      </c>
      <c r="CE190" s="62">
        <f t="shared" si="148"/>
        <v>208.79744153433245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6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9">
        <f t="shared" si="110"/>
        <v>520.16779841395021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projet'!$B$9,Paramètres!$A$1:$I$89,3,0)*VLOOKUP('Données projet'!$B$9,Paramètres!$A$1:$I$89,5,0)</f>
        <v>-1.9065282685915009E-13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302.20483575440988</v>
      </c>
      <c r="T191" s="62">
        <f t="shared" si="142"/>
        <v>275.32862097158687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0.27874005265622753</v>
      </c>
      <c r="AB191" s="23">
        <f>EXP(-LN(2)/2)*AB190+(1-EXP(-LN(2)/2))/(LN(2)/2)*V191*Y191*VLOOKUP('Données projet'!$B$9,Paramètres!$A$1:$I$89,3,0)*0.475*44/12</f>
        <v>1.8210846129821859E-23</v>
      </c>
      <c r="AC191" s="24">
        <f t="shared" si="163"/>
        <v>0.27874005265622753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180.20749454145079</v>
      </c>
      <c r="AO191" s="62">
        <f t="shared" si="144"/>
        <v>307.23455947678775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0.36484617079034004</v>
      </c>
      <c r="AW191" s="23">
        <f>EXP(-LN(2)/2)*AW190+(1-EXP(-LN(2)/2))/(LN(2)/2)*AQ191*AT191*VLOOKUP('Données projet'!$B$10,Paramètres!$A$1:$I$89,3,0)*0.475*44/12</f>
        <v>4.9110006607166391E-23</v>
      </c>
      <c r="AX191" s="23">
        <f t="shared" si="166"/>
        <v>0.36484617079034004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2.2737367544323206E-13</v>
      </c>
      <c r="BE191" s="14">
        <f>BD191*VLOOKUP('Données projet'!$B$11,Paramètres!$A$1:$I$89,3,0)*VLOOKUP('Données projet'!$B$11,Paramètres!$A$1:$I$89,5,0)</f>
        <v>1.8089849618263545E-13</v>
      </c>
      <c r="BF191" s="14">
        <f t="shared" si="167"/>
        <v>2.536422473342444E-12</v>
      </c>
      <c r="BG191" s="22">
        <f t="shared" si="168"/>
        <v>4.7326673552561798E-12</v>
      </c>
      <c r="BH191" s="62">
        <f t="shared" si="116"/>
        <v>293.33333333333803</v>
      </c>
      <c r="BI191" s="62">
        <f ca="1">AVERAGE(OFFSET($BH$3,0,0,'Données projet'!$E$11+1,1))-AVERAGE(OFFSET($H$3,0,0,'Données projet'!$E$11+1,1))</f>
        <v>219.61164494001008</v>
      </c>
      <c r="BJ191" s="62">
        <f t="shared" si="146"/>
        <v>219.59799863414111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8.8675733422860506E-14</v>
      </c>
      <c r="CA191" s="14">
        <f t="shared" si="170"/>
        <v>1.3509285393066301E-12</v>
      </c>
      <c r="CB191" s="22">
        <f t="shared" si="171"/>
        <v>2.5073107750038623E-12</v>
      </c>
      <c r="CC191" s="62">
        <f t="shared" si="119"/>
        <v>293.33333333333582</v>
      </c>
      <c r="CD191" s="62">
        <f ca="1">AVERAGE(OFFSET($CC$3,0,0,'Données projet'!$E$12+1,1))-AVERAGE(OFFSET($H$3,0,0,'Données projet'!$E$12+1,1))</f>
        <v>220.70608186257931</v>
      </c>
      <c r="CE191" s="62">
        <f t="shared" si="148"/>
        <v>208.79744153433245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6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9">
        <f t="shared" si="110"/>
        <v>521.34454119656175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projet'!$B$9,Paramètres!$A$1:$I$89,3,0)*VLOOKUP('Données projet'!$B$9,Paramètres!$A$1:$I$89,5,0)</f>
        <v>-1.9065282685915009E-13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302.20483575440988</v>
      </c>
      <c r="T192" s="62">
        <f t="shared" si="142"/>
        <v>275.32862097158687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0.2711178912580407</v>
      </c>
      <c r="AB192" s="23">
        <f>EXP(-LN(2)/2)*AB191+(1-EXP(-LN(2)/2))/(LN(2)/2)*V192*Y192*VLOOKUP('Données projet'!$B$9,Paramètres!$A$1:$I$89,3,0)*0.475*44/12</f>
        <v>1.2877012789541832E-23</v>
      </c>
      <c r="AC192" s="24">
        <f t="shared" si="163"/>
        <v>0.2711178912580407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180.20749454145079</v>
      </c>
      <c r="AO192" s="62">
        <f t="shared" si="144"/>
        <v>307.23455947678775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0.35486943306365193</v>
      </c>
      <c r="AW192" s="23">
        <f>EXP(-LN(2)/2)*AW191+(1-EXP(-LN(2)/2))/(LN(2)/2)*AQ192*AT192*VLOOKUP('Données projet'!$B$10,Paramètres!$A$1:$I$89,3,0)*0.475*44/12</f>
        <v>3.4726018696043508E-23</v>
      </c>
      <c r="AX192" s="23">
        <f t="shared" si="166"/>
        <v>0.35486943306365193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2.2737367544323206E-13</v>
      </c>
      <c r="BE192" s="14">
        <f>BD192*VLOOKUP('Données projet'!$B$11,Paramètres!$A$1:$I$89,3,0)*VLOOKUP('Données projet'!$B$11,Paramètres!$A$1:$I$89,5,0)</f>
        <v>1.8089849618263545E-13</v>
      </c>
      <c r="BF192" s="14">
        <f t="shared" si="167"/>
        <v>2.536422473342444E-12</v>
      </c>
      <c r="BG192" s="22">
        <f t="shared" si="168"/>
        <v>4.7326673552561798E-12</v>
      </c>
      <c r="BH192" s="62">
        <f t="shared" si="116"/>
        <v>293.33333333333803</v>
      </c>
      <c r="BI192" s="62">
        <f ca="1">AVERAGE(OFFSET($BH$3,0,0,'Données projet'!$E$11+1,1))-AVERAGE(OFFSET($H$3,0,0,'Données projet'!$E$11+1,1))</f>
        <v>219.61164494001008</v>
      </c>
      <c r="BJ192" s="62">
        <f t="shared" si="146"/>
        <v>219.59799863414111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8.8675733422860506E-14</v>
      </c>
      <c r="CA192" s="14">
        <f t="shared" si="170"/>
        <v>1.3509285393066301E-12</v>
      </c>
      <c r="CB192" s="22">
        <f t="shared" si="171"/>
        <v>2.5073107750038623E-12</v>
      </c>
      <c r="CC192" s="62">
        <f t="shared" si="119"/>
        <v>293.33333333333582</v>
      </c>
      <c r="CD192" s="62">
        <f ca="1">AVERAGE(OFFSET($CC$3,0,0,'Données projet'!$E$12+1,1))-AVERAGE(OFFSET($H$3,0,0,'Données projet'!$E$12+1,1))</f>
        <v>220.70608186257931</v>
      </c>
      <c r="CE192" s="62">
        <f t="shared" si="148"/>
        <v>208.79744153433245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6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9">
        <f t="shared" si="110"/>
        <v>522.52114496161767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projet'!$B$9,Paramètres!$A$1:$I$89,3,0)*VLOOKUP('Données projet'!$B$9,Paramètres!$A$1:$I$89,5,0)</f>
        <v>-1.9065282685915009E-13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302.20483575440988</v>
      </c>
      <c r="T193" s="62">
        <f t="shared" si="142"/>
        <v>275.32862097158687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0.2637041582641193</v>
      </c>
      <c r="AB193" s="23">
        <f>EXP(-LN(2)/2)*AB192+(1-EXP(-LN(2)/2))/(LN(2)/2)*V193*Y193*VLOOKUP('Données projet'!$B$9,Paramètres!$A$1:$I$89,3,0)*0.475*44/12</f>
        <v>9.105423064910931E-24</v>
      </c>
      <c r="AC193" s="24">
        <f t="shared" si="163"/>
        <v>0.2637041582641193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180.20749454145079</v>
      </c>
      <c r="AO193" s="62">
        <f t="shared" si="144"/>
        <v>307.23455947678775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0.34516550975475396</v>
      </c>
      <c r="AW193" s="23">
        <f>EXP(-LN(2)/2)*AW192+(1-EXP(-LN(2)/2))/(LN(2)/2)*AQ193*AT193*VLOOKUP('Données projet'!$B$10,Paramètres!$A$1:$I$89,3,0)*0.475*44/12</f>
        <v>2.4555003303583195E-23</v>
      </c>
      <c r="AX193" s="23">
        <f t="shared" si="166"/>
        <v>0.34516550975475396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2.2737367544323206E-13</v>
      </c>
      <c r="BE193" s="14">
        <f>BD193*VLOOKUP('Données projet'!$B$11,Paramètres!$A$1:$I$89,3,0)*VLOOKUP('Données projet'!$B$11,Paramètres!$A$1:$I$89,5,0)</f>
        <v>1.8089849618263545E-13</v>
      </c>
      <c r="BF193" s="14">
        <f t="shared" si="167"/>
        <v>2.536422473342444E-12</v>
      </c>
      <c r="BG193" s="22">
        <f t="shared" si="168"/>
        <v>4.7326673552561798E-12</v>
      </c>
      <c r="BH193" s="62">
        <f t="shared" si="116"/>
        <v>293.33333333333803</v>
      </c>
      <c r="BI193" s="62">
        <f ca="1">AVERAGE(OFFSET($BH$3,0,0,'Données projet'!$E$11+1,1))-AVERAGE(OFFSET($H$3,0,0,'Données projet'!$E$11+1,1))</f>
        <v>219.61164494001008</v>
      </c>
      <c r="BJ193" s="62">
        <f t="shared" si="146"/>
        <v>219.59799863414111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8.8675733422860506E-14</v>
      </c>
      <c r="CA193" s="14">
        <f t="shared" si="170"/>
        <v>1.3509285393066301E-12</v>
      </c>
      <c r="CB193" s="22">
        <f t="shared" si="171"/>
        <v>2.5073107750038623E-12</v>
      </c>
      <c r="CC193" s="62">
        <f t="shared" si="119"/>
        <v>293.33333333333582</v>
      </c>
      <c r="CD193" s="62">
        <f ca="1">AVERAGE(OFFSET($CC$3,0,0,'Données projet'!$E$12+1,1))-AVERAGE(OFFSET($H$3,0,0,'Données projet'!$E$12+1,1))</f>
        <v>220.70608186257931</v>
      </c>
      <c r="CE193" s="62">
        <f t="shared" si="148"/>
        <v>208.79744153433245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6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9">
        <f t="shared" si="110"/>
        <v>523.69761052571369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projet'!$B$9,Paramètres!$A$1:$I$89,3,0)*VLOOKUP('Données projet'!$B$9,Paramètres!$A$1:$I$89,5,0)</f>
        <v>-1.9065282685915009E-13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302.20483575440988</v>
      </c>
      <c r="T194" s="62">
        <f t="shared" si="142"/>
        <v>275.32862097158687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0.25649315418878799</v>
      </c>
      <c r="AB194" s="23">
        <f>EXP(-LN(2)/2)*AB193+(1-EXP(-LN(2)/2))/(LN(2)/2)*V194*Y194*VLOOKUP('Données projet'!$B$9,Paramètres!$A$1:$I$89,3,0)*0.475*44/12</f>
        <v>6.4385063947709167E-24</v>
      </c>
      <c r="AC194" s="24">
        <f t="shared" si="163"/>
        <v>0.25649315418878799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180.20749454145079</v>
      </c>
      <c r="AO194" s="62">
        <f t="shared" si="144"/>
        <v>307.23455947678775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0.33572694073904497</v>
      </c>
      <c r="AW194" s="23">
        <f>EXP(-LN(2)/2)*AW193+(1-EXP(-LN(2)/2))/(LN(2)/2)*AQ194*AT194*VLOOKUP('Données projet'!$B$10,Paramètres!$A$1:$I$89,3,0)*0.475*44/12</f>
        <v>1.7363009348021754E-23</v>
      </c>
      <c r="AX194" s="23">
        <f t="shared" si="166"/>
        <v>0.33572694073904497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2.2737367544323206E-13</v>
      </c>
      <c r="BE194" s="14">
        <f>BD194*VLOOKUP('Données projet'!$B$11,Paramètres!$A$1:$I$89,3,0)*VLOOKUP('Données projet'!$B$11,Paramètres!$A$1:$I$89,5,0)</f>
        <v>1.8089849618263545E-13</v>
      </c>
      <c r="BF194" s="14">
        <f t="shared" si="167"/>
        <v>2.536422473342444E-12</v>
      </c>
      <c r="BG194" s="22">
        <f t="shared" si="168"/>
        <v>4.7326673552561798E-12</v>
      </c>
      <c r="BH194" s="62">
        <f t="shared" si="116"/>
        <v>293.33333333333803</v>
      </c>
      <c r="BI194" s="62">
        <f ca="1">AVERAGE(OFFSET($BH$3,0,0,'Données projet'!$E$11+1,1))-AVERAGE(OFFSET($H$3,0,0,'Données projet'!$E$11+1,1))</f>
        <v>219.61164494001008</v>
      </c>
      <c r="BJ194" s="62">
        <f t="shared" si="146"/>
        <v>219.59799863414111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8.8675733422860506E-14</v>
      </c>
      <c r="CA194" s="14">
        <f t="shared" si="170"/>
        <v>1.3509285393066301E-12</v>
      </c>
      <c r="CB194" s="22">
        <f t="shared" si="171"/>
        <v>2.5073107750038623E-12</v>
      </c>
      <c r="CC194" s="62">
        <f t="shared" si="119"/>
        <v>293.33333333333582</v>
      </c>
      <c r="CD194" s="62">
        <f ca="1">AVERAGE(OFFSET($CC$3,0,0,'Données projet'!$E$12+1,1))-AVERAGE(OFFSET($H$3,0,0,'Données projet'!$E$12+1,1))</f>
        <v>220.70608186257931</v>
      </c>
      <c r="CE194" s="62">
        <f t="shared" si="148"/>
        <v>208.79744153433245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6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9">
        <f t="shared" si="110"/>
        <v>524.87393869639902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projet'!$B$9,Paramètres!$A$1:$I$89,3,0)*VLOOKUP('Données projet'!$B$9,Paramètres!$A$1:$I$89,5,0)</f>
        <v>-1.9065282685915009E-13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302.20483575440988</v>
      </c>
      <c r="T195" s="62">
        <f t="shared" si="142"/>
        <v>275.32862097158687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0.24947933539910683</v>
      </c>
      <c r="AB195" s="23">
        <f>EXP(-LN(2)/2)*AB194+(1-EXP(-LN(2)/2))/(LN(2)/2)*V195*Y195*VLOOKUP('Données projet'!$B$9,Paramètres!$A$1:$I$89,3,0)*0.475*44/12</f>
        <v>4.5527115324554662E-24</v>
      </c>
      <c r="AC195" s="24">
        <f t="shared" si="163"/>
        <v>0.24947933539910683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180.20749454145079</v>
      </c>
      <c r="AO195" s="62">
        <f t="shared" si="144"/>
        <v>307.23455947678775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0.32654646988942326</v>
      </c>
      <c r="AW195" s="23">
        <f>EXP(-LN(2)/2)*AW194+(1-EXP(-LN(2)/2))/(LN(2)/2)*AQ195*AT195*VLOOKUP('Données projet'!$B$10,Paramètres!$A$1:$I$89,3,0)*0.475*44/12</f>
        <v>1.2277501651791598E-23</v>
      </c>
      <c r="AX195" s="23">
        <f t="shared" si="166"/>
        <v>0.32654646988942326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2.2737367544323206E-13</v>
      </c>
      <c r="BE195" s="14">
        <f>BD195*VLOOKUP('Données projet'!$B$11,Paramètres!$A$1:$I$89,3,0)*VLOOKUP('Données projet'!$B$11,Paramètres!$A$1:$I$89,5,0)</f>
        <v>1.8089849618263545E-13</v>
      </c>
      <c r="BF195" s="14">
        <f t="shared" si="167"/>
        <v>2.536422473342444E-12</v>
      </c>
      <c r="BG195" s="22">
        <f t="shared" si="168"/>
        <v>4.7326673552561798E-12</v>
      </c>
      <c r="BH195" s="62">
        <f t="shared" si="116"/>
        <v>293.33333333333803</v>
      </c>
      <c r="BI195" s="62">
        <f ca="1">AVERAGE(OFFSET($BH$3,0,0,'Données projet'!$E$11+1,1))-AVERAGE(OFFSET($H$3,0,0,'Données projet'!$E$11+1,1))</f>
        <v>219.61164494001008</v>
      </c>
      <c r="BJ195" s="62">
        <f t="shared" si="146"/>
        <v>219.59799863414111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8.8675733422860506E-14</v>
      </c>
      <c r="CA195" s="14">
        <f t="shared" si="170"/>
        <v>1.3509285393066301E-12</v>
      </c>
      <c r="CB195" s="22">
        <f t="shared" si="171"/>
        <v>2.5073107750038623E-12</v>
      </c>
      <c r="CC195" s="62">
        <f t="shared" si="119"/>
        <v>293.33333333333582</v>
      </c>
      <c r="CD195" s="62">
        <f ca="1">AVERAGE(OFFSET($CC$3,0,0,'Données projet'!$E$12+1,1))-AVERAGE(OFFSET($H$3,0,0,'Données projet'!$E$12+1,1))</f>
        <v>220.70608186257931</v>
      </c>
      <c r="CE195" s="62">
        <f t="shared" si="148"/>
        <v>208.79744153433245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6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9">
        <f t="shared" ref="H196:H203" si="192">(B196+E196+F196)*44/12+(C196+D196)*0.475*44/12</f>
        <v>526.0501302723244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projet'!$B$9,Paramètres!$A$1:$I$89,3,0)*VLOOKUP('Données projet'!$B$9,Paramètres!$A$1:$I$89,5,0)</f>
        <v>-1.9065282685915009E-13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302.20483575440988</v>
      </c>
      <c r="T196" s="62">
        <f t="shared" si="142"/>
        <v>275.32862097158687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0.24265730985307019</v>
      </c>
      <c r="AB196" s="23">
        <f>EXP(-LN(2)/2)*AB195+(1-EXP(-LN(2)/2))/(LN(2)/2)*V196*Y196*VLOOKUP('Données projet'!$B$9,Paramètres!$A$1:$I$89,3,0)*0.475*44/12</f>
        <v>3.2192531973854591E-24</v>
      </c>
      <c r="AC196" s="24">
        <f t="shared" si="163"/>
        <v>0.24265730985307019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180.20749454145079</v>
      </c>
      <c r="AO196" s="62">
        <f t="shared" si="144"/>
        <v>307.23455947678775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0.31761703949796444</v>
      </c>
      <c r="AW196" s="23">
        <f>EXP(-LN(2)/2)*AW195+(1-EXP(-LN(2)/2))/(LN(2)/2)*AQ196*AT196*VLOOKUP('Données projet'!$B$10,Paramètres!$A$1:$I$89,3,0)*0.475*44/12</f>
        <v>8.681504674010877E-24</v>
      </c>
      <c r="AX196" s="23">
        <f t="shared" si="166"/>
        <v>0.31761703949796444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2.2737367544323206E-13</v>
      </c>
      <c r="BE196" s="14">
        <f>BD196*VLOOKUP('Données projet'!$B$11,Paramètres!$A$1:$I$89,3,0)*VLOOKUP('Données projet'!$B$11,Paramètres!$A$1:$I$89,5,0)</f>
        <v>1.8089849618263545E-13</v>
      </c>
      <c r="BF196" s="14">
        <f t="shared" si="167"/>
        <v>2.536422473342444E-12</v>
      </c>
      <c r="BG196" s="22">
        <f t="shared" si="168"/>
        <v>4.7326673552561798E-12</v>
      </c>
      <c r="BH196" s="62">
        <f t="shared" ref="BH196:BH203" si="194">BG196+(AY196+AZ196)*44/12</f>
        <v>293.33333333333803</v>
      </c>
      <c r="BI196" s="62">
        <f ca="1">AVERAGE(OFFSET($BH$3,0,0,'Données projet'!$E$11+1,1))-AVERAGE(OFFSET($H$3,0,0,'Données projet'!$E$11+1,1))</f>
        <v>219.61164494001008</v>
      </c>
      <c r="BJ196" s="62">
        <f t="shared" si="146"/>
        <v>219.59799863414111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8.8675733422860506E-14</v>
      </c>
      <c r="CA196" s="14">
        <f t="shared" si="170"/>
        <v>1.3509285393066301E-12</v>
      </c>
      <c r="CB196" s="22">
        <f t="shared" si="171"/>
        <v>2.5073107750038623E-12</v>
      </c>
      <c r="CC196" s="62">
        <f t="shared" ref="CC196:CC203" si="195">CB196+(BT196+BU196)*44/12</f>
        <v>293.33333333333582</v>
      </c>
      <c r="CD196" s="62">
        <f ca="1">AVERAGE(OFFSET($CC$3,0,0,'Données projet'!$E$12+1,1))-AVERAGE(OFFSET($H$3,0,0,'Données projet'!$E$12+1,1))</f>
        <v>220.70608186257931</v>
      </c>
      <c r="CE196" s="62">
        <f t="shared" si="148"/>
        <v>208.79744153433245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6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9">
        <f t="shared" si="192"/>
        <v>527.22618604338504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projet'!$B$9,Paramètres!$A$1:$I$89,3,0)*VLOOKUP('Données projet'!$B$9,Paramètres!$A$1:$I$89,5,0)</f>
        <v>-1.9065282685915009E-13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302.20483575440988</v>
      </c>
      <c r="T197" s="62">
        <f t="shared" ref="T197:T203" si="204">$T$3</f>
        <v>275.32862097158687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0.23602183295434465</v>
      </c>
      <c r="AB197" s="23">
        <f>EXP(-LN(2)/2)*AB196+(1-EXP(-LN(2)/2))/(LN(2)/2)*V197*Y197*VLOOKUP('Données projet'!$B$9,Paramètres!$A$1:$I$89,3,0)*0.475*44/12</f>
        <v>2.2763557662277335E-24</v>
      </c>
      <c r="AC197" s="24">
        <f t="shared" si="163"/>
        <v>0.23602183295434465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180.20749454145079</v>
      </c>
      <c r="AO197" s="62">
        <f t="shared" ref="AO197:AO203" si="205">$AO$3</f>
        <v>307.23455947678775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0.30893178485013839</v>
      </c>
      <c r="AW197" s="23">
        <f>EXP(-LN(2)/2)*AW196+(1-EXP(-LN(2)/2))/(LN(2)/2)*AQ197*AT197*VLOOKUP('Données projet'!$B$10,Paramètres!$A$1:$I$89,3,0)*0.475*44/12</f>
        <v>6.1387508258957988E-24</v>
      </c>
      <c r="AX197" s="23">
        <f t="shared" si="166"/>
        <v>0.30893178485013839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2.2737367544323206E-13</v>
      </c>
      <c r="BE197" s="14">
        <f>BD197*VLOOKUP('Données projet'!$B$11,Paramètres!$A$1:$I$89,3,0)*VLOOKUP('Données projet'!$B$11,Paramètres!$A$1:$I$89,5,0)</f>
        <v>1.8089849618263545E-13</v>
      </c>
      <c r="BF197" s="14">
        <f t="shared" si="167"/>
        <v>2.536422473342444E-12</v>
      </c>
      <c r="BG197" s="22">
        <f t="shared" si="168"/>
        <v>4.7326673552561798E-12</v>
      </c>
      <c r="BH197" s="62">
        <f t="shared" si="194"/>
        <v>293.33333333333803</v>
      </c>
      <c r="BI197" s="62">
        <f ca="1">AVERAGE(OFFSET($BH$3,0,0,'Données projet'!$E$11+1,1))-AVERAGE(OFFSET($H$3,0,0,'Données projet'!$E$11+1,1))</f>
        <v>219.61164494001008</v>
      </c>
      <c r="BJ197" s="62">
        <f t="shared" ref="BJ197:BJ203" si="206">$BJ$3</f>
        <v>219.59799863414111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8.8675733422860506E-14</v>
      </c>
      <c r="CA197" s="14">
        <f t="shared" si="170"/>
        <v>1.3509285393066301E-12</v>
      </c>
      <c r="CB197" s="22">
        <f t="shared" si="171"/>
        <v>2.5073107750038623E-12</v>
      </c>
      <c r="CC197" s="62">
        <f t="shared" si="195"/>
        <v>293.33333333333582</v>
      </c>
      <c r="CD197" s="62">
        <f ca="1">AVERAGE(OFFSET($CC$3,0,0,'Données projet'!$E$12+1,1))-AVERAGE(OFFSET($H$3,0,0,'Données projet'!$E$12+1,1))</f>
        <v>220.70608186257931</v>
      </c>
      <c r="CE197" s="62">
        <f t="shared" ref="CE197:CE203" si="207">$CE$3</f>
        <v>208.79744153433245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6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9">
        <f t="shared" si="192"/>
        <v>528.40210679086135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projet'!$B$9,Paramètres!$A$1:$I$89,3,0)*VLOOKUP('Données projet'!$B$9,Paramètres!$A$1:$I$89,5,0)</f>
        <v>-1.9065282685915009E-13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302.20483575440988</v>
      </c>
      <c r="T198" s="62">
        <f t="shared" si="204"/>
        <v>275.32862097158687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0.22956780352035933</v>
      </c>
      <c r="AB198" s="23">
        <f>EXP(-LN(2)/2)*AB197+(1-EXP(-LN(2)/2))/(LN(2)/2)*V198*Y198*VLOOKUP('Données projet'!$B$9,Paramètres!$A$1:$I$89,3,0)*0.475*44/12</f>
        <v>1.6096265986927297E-24</v>
      </c>
      <c r="AC198" s="24">
        <f t="shared" si="163"/>
        <v>0.22956780352035933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180.20749454145079</v>
      </c>
      <c r="AO198" s="62">
        <f t="shared" si="205"/>
        <v>307.23455947678775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0.30048402894739484</v>
      </c>
      <c r="AW198" s="23">
        <f>EXP(-LN(2)/2)*AW197+(1-EXP(-LN(2)/2))/(LN(2)/2)*AQ198*AT198*VLOOKUP('Données projet'!$B$10,Paramètres!$A$1:$I$89,3,0)*0.475*44/12</f>
        <v>4.3407523370054385E-24</v>
      </c>
      <c r="AX198" s="23">
        <f t="shared" si="166"/>
        <v>0.30048402894739484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2.2737367544323206E-13</v>
      </c>
      <c r="BE198" s="14">
        <f>BD198*VLOOKUP('Données projet'!$B$11,Paramètres!$A$1:$I$89,3,0)*VLOOKUP('Données projet'!$B$11,Paramètres!$A$1:$I$89,5,0)</f>
        <v>1.8089849618263545E-13</v>
      </c>
      <c r="BF198" s="14">
        <f t="shared" si="167"/>
        <v>2.536422473342444E-12</v>
      </c>
      <c r="BG198" s="22">
        <f t="shared" si="168"/>
        <v>4.7326673552561798E-12</v>
      </c>
      <c r="BH198" s="62">
        <f t="shared" si="194"/>
        <v>293.33333333333803</v>
      </c>
      <c r="BI198" s="62">
        <f ca="1">AVERAGE(OFFSET($BH$3,0,0,'Données projet'!$E$11+1,1))-AVERAGE(OFFSET($H$3,0,0,'Données projet'!$E$11+1,1))</f>
        <v>219.61164494001008</v>
      </c>
      <c r="BJ198" s="62">
        <f t="shared" si="206"/>
        <v>219.59799863414111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8.8675733422860506E-14</v>
      </c>
      <c r="CA198" s="14">
        <f t="shared" si="170"/>
        <v>1.3509285393066301E-12</v>
      </c>
      <c r="CB198" s="22">
        <f t="shared" si="171"/>
        <v>2.5073107750038623E-12</v>
      </c>
      <c r="CC198" s="62">
        <f t="shared" si="195"/>
        <v>293.33333333333582</v>
      </c>
      <c r="CD198" s="62">
        <f ca="1">AVERAGE(OFFSET($CC$3,0,0,'Données projet'!$E$12+1,1))-AVERAGE(OFFSET($H$3,0,0,'Données projet'!$E$12+1,1))</f>
        <v>220.70608186257931</v>
      </c>
      <c r="CE198" s="62">
        <f t="shared" si="207"/>
        <v>208.79744153433245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6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9">
        <f t="shared" si="192"/>
        <v>529.57789328755689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projet'!$B$9,Paramètres!$A$1:$I$89,3,0)*VLOOKUP('Données projet'!$B$9,Paramètres!$A$1:$I$89,5,0)</f>
        <v>-1.9065282685915009E-13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302.20483575440988</v>
      </c>
      <c r="T199" s="62">
        <f t="shared" si="204"/>
        <v>275.32862097158687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0.22329025986064899</v>
      </c>
      <c r="AB199" s="23">
        <f>EXP(-LN(2)/2)*AB198+(1-EXP(-LN(2)/2))/(LN(2)/2)*V199*Y199*VLOOKUP('Données projet'!$B$9,Paramètres!$A$1:$I$89,3,0)*0.475*44/12</f>
        <v>1.1381778831138669E-24</v>
      </c>
      <c r="AC199" s="24">
        <f t="shared" si="163"/>
        <v>0.22329025986064899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180.20749454145079</v>
      </c>
      <c r="AO199" s="62">
        <f t="shared" si="205"/>
        <v>307.23455947678775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0.29226727737406</v>
      </c>
      <c r="AW199" s="23">
        <f>EXP(-LN(2)/2)*AW198+(1-EXP(-LN(2)/2))/(LN(2)/2)*AQ199*AT199*VLOOKUP('Données projet'!$B$10,Paramètres!$A$1:$I$89,3,0)*0.475*44/12</f>
        <v>3.0693754129478994E-24</v>
      </c>
      <c r="AX199" s="23">
        <f t="shared" si="166"/>
        <v>0.29226727737406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2.2737367544323206E-13</v>
      </c>
      <c r="BE199" s="14">
        <f>BD199*VLOOKUP('Données projet'!$B$11,Paramètres!$A$1:$I$89,3,0)*VLOOKUP('Données projet'!$B$11,Paramètres!$A$1:$I$89,5,0)</f>
        <v>1.8089849618263545E-13</v>
      </c>
      <c r="BF199" s="14">
        <f t="shared" si="167"/>
        <v>2.536422473342444E-12</v>
      </c>
      <c r="BG199" s="22">
        <f t="shared" si="168"/>
        <v>4.7326673552561798E-12</v>
      </c>
      <c r="BH199" s="62">
        <f t="shared" si="194"/>
        <v>293.33333333333803</v>
      </c>
      <c r="BI199" s="62">
        <f ca="1">AVERAGE(OFFSET($BH$3,0,0,'Données projet'!$E$11+1,1))-AVERAGE(OFFSET($H$3,0,0,'Données projet'!$E$11+1,1))</f>
        <v>219.61164494001008</v>
      </c>
      <c r="BJ199" s="62">
        <f t="shared" si="206"/>
        <v>219.59799863414111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8.8675733422860506E-14</v>
      </c>
      <c r="CA199" s="14">
        <f t="shared" si="170"/>
        <v>1.3509285393066301E-12</v>
      </c>
      <c r="CB199" s="22">
        <f t="shared" si="171"/>
        <v>2.5073107750038623E-12</v>
      </c>
      <c r="CC199" s="62">
        <f t="shared" si="195"/>
        <v>293.33333333333582</v>
      </c>
      <c r="CD199" s="62">
        <f ca="1">AVERAGE(OFFSET($CC$3,0,0,'Données projet'!$E$12+1,1))-AVERAGE(OFFSET($H$3,0,0,'Données projet'!$E$12+1,1))</f>
        <v>220.70608186257931</v>
      </c>
      <c r="CE199" s="62">
        <f t="shared" si="207"/>
        <v>208.79744153433245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6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9">
        <f t="shared" si="192"/>
        <v>530.75354629793264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projet'!$B$9,Paramètres!$A$1:$I$89,3,0)*VLOOKUP('Données projet'!$B$9,Paramètres!$A$1:$I$89,5,0)</f>
        <v>-1.9065282685915009E-13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302.20483575440988</v>
      </c>
      <c r="T200" s="62">
        <f t="shared" si="204"/>
        <v>275.32862097158687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0.21718437596243512</v>
      </c>
      <c r="AB200" s="23">
        <f>EXP(-LN(2)/2)*AB199+(1-EXP(-LN(2)/2))/(LN(2)/2)*V200*Y200*VLOOKUP('Données projet'!$B$9,Paramètres!$A$1:$I$89,3,0)*0.475*44/12</f>
        <v>8.0481329934636505E-25</v>
      </c>
      <c r="AC200" s="24">
        <f t="shared" si="163"/>
        <v>0.21718437596243512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180.20749454145079</v>
      </c>
      <c r="AO200" s="62">
        <f t="shared" si="205"/>
        <v>307.23455947678775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0.28427521330459821</v>
      </c>
      <c r="AW200" s="23">
        <f>EXP(-LN(2)/2)*AW199+(1-EXP(-LN(2)/2))/(LN(2)/2)*AQ200*AT200*VLOOKUP('Données projet'!$B$10,Paramètres!$A$1:$I$89,3,0)*0.475*44/12</f>
        <v>2.1703761685027192E-24</v>
      </c>
      <c r="AX200" s="23">
        <f t="shared" si="166"/>
        <v>0.28427521330459821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2.2737367544323206E-13</v>
      </c>
      <c r="BE200" s="14">
        <f>BD200*VLOOKUP('Données projet'!$B$11,Paramètres!$A$1:$I$89,3,0)*VLOOKUP('Données projet'!$B$11,Paramètres!$A$1:$I$89,5,0)</f>
        <v>1.8089849618263545E-13</v>
      </c>
      <c r="BF200" s="14">
        <f t="shared" si="167"/>
        <v>2.536422473342444E-12</v>
      </c>
      <c r="BG200" s="22">
        <f t="shared" si="168"/>
        <v>4.7326673552561798E-12</v>
      </c>
      <c r="BH200" s="62">
        <f t="shared" si="194"/>
        <v>293.33333333333803</v>
      </c>
      <c r="BI200" s="62">
        <f ca="1">AVERAGE(OFFSET($BH$3,0,0,'Données projet'!$E$11+1,1))-AVERAGE(OFFSET($H$3,0,0,'Données projet'!$E$11+1,1))</f>
        <v>219.61164494001008</v>
      </c>
      <c r="BJ200" s="62">
        <f t="shared" si="206"/>
        <v>219.59799863414111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8.8675733422860506E-14</v>
      </c>
      <c r="CA200" s="14">
        <f t="shared" si="170"/>
        <v>1.3509285393066301E-12</v>
      </c>
      <c r="CB200" s="22">
        <f t="shared" si="171"/>
        <v>2.5073107750038623E-12</v>
      </c>
      <c r="CC200" s="62">
        <f t="shared" si="195"/>
        <v>293.33333333333582</v>
      </c>
      <c r="CD200" s="62">
        <f ca="1">AVERAGE(OFFSET($CC$3,0,0,'Données projet'!$E$12+1,1))-AVERAGE(OFFSET($H$3,0,0,'Données projet'!$E$12+1,1))</f>
        <v>220.70608186257931</v>
      </c>
      <c r="CE200" s="62">
        <f t="shared" si="207"/>
        <v>208.79744153433245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6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9">
        <f t="shared" si="192"/>
        <v>531.9290665782396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projet'!$B$9,Paramètres!$A$1:$I$89,3,0)*VLOOKUP('Données projet'!$B$9,Paramètres!$A$1:$I$89,5,0)</f>
        <v>-1.9065282685915009E-13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302.20483575440988</v>
      </c>
      <c r="T201" s="62">
        <f t="shared" si="204"/>
        <v>275.32862097158687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0.21124545778051237</v>
      </c>
      <c r="AB201" s="23">
        <f>EXP(-LN(2)/2)*AB200+(1-EXP(-LN(2)/2))/(LN(2)/2)*V201*Y201*VLOOKUP('Données projet'!$B$9,Paramètres!$A$1:$I$89,3,0)*0.475*44/12</f>
        <v>5.6908894155693355E-25</v>
      </c>
      <c r="AC201" s="24">
        <f t="shared" si="163"/>
        <v>0.21124545778051237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180.20749454145079</v>
      </c>
      <c r="AO201" s="62">
        <f t="shared" si="205"/>
        <v>307.23455947678775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0.27650169264740021</v>
      </c>
      <c r="AW201" s="23">
        <f>EXP(-LN(2)/2)*AW200+(1-EXP(-LN(2)/2))/(LN(2)/2)*AQ201*AT201*VLOOKUP('Données projet'!$B$10,Paramètres!$A$1:$I$89,3,0)*0.475*44/12</f>
        <v>1.5346877064739497E-24</v>
      </c>
      <c r="AX201" s="23">
        <f t="shared" si="166"/>
        <v>0.27650169264740021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2.2737367544323206E-13</v>
      </c>
      <c r="BE201" s="14">
        <f>BD201*VLOOKUP('Données projet'!$B$11,Paramètres!$A$1:$I$89,3,0)*VLOOKUP('Données projet'!$B$11,Paramètres!$A$1:$I$89,5,0)</f>
        <v>1.8089849618263545E-13</v>
      </c>
      <c r="BF201" s="14">
        <f t="shared" si="167"/>
        <v>2.536422473342444E-12</v>
      </c>
      <c r="BG201" s="22">
        <f t="shared" si="168"/>
        <v>4.7326673552561798E-12</v>
      </c>
      <c r="BH201" s="62">
        <f t="shared" si="194"/>
        <v>293.33333333333803</v>
      </c>
      <c r="BI201" s="62">
        <f ca="1">AVERAGE(OFFSET($BH$3,0,0,'Données projet'!$E$11+1,1))-AVERAGE(OFFSET($H$3,0,0,'Données projet'!$E$11+1,1))</f>
        <v>219.61164494001008</v>
      </c>
      <c r="BJ201" s="62">
        <f t="shared" si="206"/>
        <v>219.59799863414111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8.8675733422860506E-14</v>
      </c>
      <c r="CA201" s="14">
        <f t="shared" si="170"/>
        <v>1.3509285393066301E-12</v>
      </c>
      <c r="CB201" s="22">
        <f t="shared" si="171"/>
        <v>2.5073107750038623E-12</v>
      </c>
      <c r="CC201" s="62">
        <f t="shared" si="195"/>
        <v>293.33333333333582</v>
      </c>
      <c r="CD201" s="62">
        <f ca="1">AVERAGE(OFFSET($CC$3,0,0,'Données projet'!$E$12+1,1))-AVERAGE(OFFSET($H$3,0,0,'Données projet'!$E$12+1,1))</f>
        <v>220.70608186257931</v>
      </c>
      <c r="CE201" s="62">
        <f t="shared" si="207"/>
        <v>208.79744153433245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6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9">
        <f t="shared" si="192"/>
        <v>533.10445487664697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projet'!$B$9,Paramètres!$A$1:$I$89,3,0)*VLOOKUP('Données projet'!$B$9,Paramètres!$A$1:$I$89,5,0)</f>
        <v>-1.9065282685915009E-13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302.20483575440988</v>
      </c>
      <c r="T202" s="62">
        <f t="shared" si="204"/>
        <v>275.32862097158687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0.20546893962858845</v>
      </c>
      <c r="AB202" s="23">
        <f>EXP(-LN(2)/2)*AB201+(1-EXP(-LN(2)/2))/(LN(2)/2)*V202*Y202*VLOOKUP('Données projet'!$B$9,Paramètres!$A$1:$I$89,3,0)*0.475*44/12</f>
        <v>4.0240664967318257E-25</v>
      </c>
      <c r="AC202" s="24">
        <f t="shared" si="163"/>
        <v>0.20546893962858845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180.20749454145079</v>
      </c>
      <c r="AO202" s="62">
        <f t="shared" si="205"/>
        <v>307.23455947678775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0.26894073932136497</v>
      </c>
      <c r="AW202" s="23">
        <f>EXP(-LN(2)/2)*AW201+(1-EXP(-LN(2)/2))/(LN(2)/2)*AQ202*AT202*VLOOKUP('Données projet'!$B$10,Paramètres!$A$1:$I$89,3,0)*0.475*44/12</f>
        <v>1.0851880842513596E-24</v>
      </c>
      <c r="AX202" s="23">
        <f t="shared" si="166"/>
        <v>0.26894073932136497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2.2737367544323206E-13</v>
      </c>
      <c r="BE202" s="14">
        <f>BD202*VLOOKUP('Données projet'!$B$11,Paramètres!$A$1:$I$89,3,0)*VLOOKUP('Données projet'!$B$11,Paramètres!$A$1:$I$89,5,0)</f>
        <v>1.8089849618263545E-13</v>
      </c>
      <c r="BF202" s="14">
        <f t="shared" si="167"/>
        <v>2.536422473342444E-12</v>
      </c>
      <c r="BG202" s="22">
        <f t="shared" si="168"/>
        <v>4.7326673552561798E-12</v>
      </c>
      <c r="BH202" s="62">
        <f t="shared" si="194"/>
        <v>293.33333333333803</v>
      </c>
      <c r="BI202" s="62">
        <f ca="1">AVERAGE(OFFSET($BH$3,0,0,'Données projet'!$E$11+1,1))-AVERAGE(OFFSET($H$3,0,0,'Données projet'!$E$11+1,1))</f>
        <v>219.61164494001008</v>
      </c>
      <c r="BJ202" s="62">
        <f t="shared" si="206"/>
        <v>219.59799863414111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8.8675733422860506E-14</v>
      </c>
      <c r="CA202" s="14">
        <f t="shared" si="170"/>
        <v>1.3509285393066301E-12</v>
      </c>
      <c r="CB202" s="22">
        <f t="shared" si="171"/>
        <v>2.5073107750038623E-12</v>
      </c>
      <c r="CC202" s="62">
        <f t="shared" si="195"/>
        <v>293.33333333333582</v>
      </c>
      <c r="CD202" s="62">
        <f ca="1">AVERAGE(OFFSET($CC$3,0,0,'Données projet'!$E$12+1,1))-AVERAGE(OFFSET($H$3,0,0,'Données projet'!$E$12+1,1))</f>
        <v>220.70608186257931</v>
      </c>
      <c r="CE202" s="62">
        <f t="shared" si="207"/>
        <v>208.79744153433245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6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9">
        <f t="shared" si="192"/>
        <v>534.27971193336975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projet'!$B$9,Paramètres!$A$1:$I$89,3,0)*VLOOKUP('Données projet'!$B$9,Paramètres!$A$1:$I$89,5,0)</f>
        <v>-1.9065282685915009E-13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302.20483575440988</v>
      </c>
      <c r="T203" s="62">
        <f t="shared" si="204"/>
        <v>275.32862097158687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0.19985038066930277</v>
      </c>
      <c r="AB203" s="23">
        <f>EXP(-LN(2)/2)*AB202+(1-EXP(-LN(2)/2))/(LN(2)/2)*V203*Y203*VLOOKUP('Données projet'!$B$9,Paramètres!$A$1:$I$89,3,0)*0.475*44/12</f>
        <v>2.8454447077846682E-25</v>
      </c>
      <c r="AC203" s="24">
        <f t="shared" si="163"/>
        <v>0.19985038066930277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180.20749454145079</v>
      </c>
      <c r="AO203" s="62">
        <f t="shared" si="205"/>
        <v>307.23455947678775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0.26158654066164344</v>
      </c>
      <c r="AW203" s="23">
        <f>EXP(-LN(2)/2)*AW202+(1-EXP(-LN(2)/2))/(LN(2)/2)*AQ203*AT203*VLOOKUP('Données projet'!$B$10,Paramètres!$A$1:$I$89,3,0)*0.475*44/12</f>
        <v>7.6734385323697485E-25</v>
      </c>
      <c r="AX203" s="23">
        <f t="shared" si="166"/>
        <v>0.26158654066164344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2.2737367544323206E-13</v>
      </c>
      <c r="BE203" s="14">
        <f>BD203*VLOOKUP('Données projet'!$B$11,Paramètres!$A$1:$I$89,3,0)*VLOOKUP('Données projet'!$B$11,Paramètres!$A$1:$I$89,5,0)</f>
        <v>1.8089849618263545E-13</v>
      </c>
      <c r="BF203" s="14">
        <f t="shared" si="167"/>
        <v>2.536422473342444E-12</v>
      </c>
      <c r="BG203" s="22">
        <f t="shared" si="168"/>
        <v>4.7326673552561798E-12</v>
      </c>
      <c r="BH203" s="62">
        <f t="shared" si="194"/>
        <v>293.33333333333803</v>
      </c>
      <c r="BI203" s="62">
        <f ca="1">AVERAGE(OFFSET($BH$3,0,0,'Données projet'!$E$11+1,1))-AVERAGE(OFFSET($H$3,0,0,'Données projet'!$E$11+1,1))</f>
        <v>219.61164494001008</v>
      </c>
      <c r="BJ203" s="62">
        <f t="shared" si="206"/>
        <v>219.59799863414111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8.8675733422860506E-14</v>
      </c>
      <c r="CA203" s="14">
        <f t="shared" si="170"/>
        <v>1.3509285393066301E-12</v>
      </c>
      <c r="CB203" s="22">
        <f t="shared" si="171"/>
        <v>2.5073107750038623E-12</v>
      </c>
      <c r="CC203" s="62">
        <f t="shared" si="195"/>
        <v>293.33333333333582</v>
      </c>
      <c r="CD203" s="62">
        <f ca="1">AVERAGE(OFFSET($CC$3,0,0,'Données projet'!$E$12+1,1))-AVERAGE(OFFSET($H$3,0,0,'Données projet'!$E$12+1,1))</f>
        <v>220.70608186257931</v>
      </c>
      <c r="CE203" s="62">
        <f t="shared" si="207"/>
        <v>208.79744153433245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293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293</v>
      </c>
      <c r="BA204" s="86" t="s">
        <v>293</v>
      </c>
      <c r="BV204" s="86" t="s">
        <v>293</v>
      </c>
      <c r="CQ204" s="86" t="s">
        <v>293</v>
      </c>
      <c r="DL204" s="86" t="s">
        <v>293</v>
      </c>
      <c r="EG204" s="86" t="s">
        <v>293</v>
      </c>
      <c r="FB204" s="86" t="s">
        <v>293</v>
      </c>
      <c r="FW204" s="86" t="s">
        <v>293</v>
      </c>
      <c r="GR204" s="86" t="s">
        <v>293</v>
      </c>
    </row>
    <row r="205" spans="1:218" ht="15" thickBot="1" x14ac:dyDescent="0.3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1.289976715395158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1.2997069632623315</v>
      </c>
      <c r="BA205" s="87">
        <f>EXP(LN('Données projet'!B88)/'Données projet'!A88)</f>
        <v>1.2721747796233518</v>
      </c>
      <c r="BV205" s="87">
        <f>EXP(LN('Données projet'!B114)/'Données projet'!A114)</f>
        <v>1.2788040393997409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3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6" t="s">
        <v>238</v>
      </c>
      <c r="P2" s="129">
        <v>0</v>
      </c>
    </row>
    <row r="3" spans="1:16" ht="15" thickBot="1" x14ac:dyDescent="0.35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7"/>
      <c r="P3" s="136">
        <v>0.2</v>
      </c>
    </row>
    <row r="4" spans="1:16" ht="15" thickBot="1" x14ac:dyDescent="0.35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3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6" t="s">
        <v>237</v>
      </c>
      <c r="P5" s="129">
        <v>0</v>
      </c>
    </row>
    <row r="6" spans="1:16" x14ac:dyDescent="0.3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18"/>
      <c r="P6" s="137">
        <v>0.05</v>
      </c>
    </row>
    <row r="7" spans="1:16" x14ac:dyDescent="0.3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18"/>
      <c r="P7" s="137">
        <v>0.1</v>
      </c>
    </row>
    <row r="8" spans="1:16" ht="15" thickBot="1" x14ac:dyDescent="0.35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7"/>
      <c r="P8" s="136">
        <v>0.15</v>
      </c>
    </row>
    <row r="9" spans="1:16" ht="15" thickBot="1" x14ac:dyDescent="0.35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3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6" t="s">
        <v>236</v>
      </c>
      <c r="P10" s="129">
        <v>0</v>
      </c>
    </row>
    <row r="11" spans="1:16" ht="15" thickBot="1" x14ac:dyDescent="0.35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7"/>
      <c r="P11" s="136">
        <v>0.1</v>
      </c>
    </row>
    <row r="12" spans="1:16" x14ac:dyDescent="0.3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3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3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3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3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3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3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3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3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3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3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3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3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3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3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3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3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3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3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3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3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3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3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3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3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3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3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3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3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3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3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3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3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3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3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3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3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3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3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3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3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3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3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3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3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3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3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3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3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3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3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3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3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3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3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3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3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3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3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3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3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3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3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3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3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3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3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3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3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3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3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3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3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3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3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3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99"/>
      <c r="K87" s="99"/>
      <c r="L87" s="99"/>
      <c r="M87" s="99"/>
      <c r="N87" s="99"/>
    </row>
    <row r="88" spans="1:14" x14ac:dyDescent="0.3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" thickBot="1" x14ac:dyDescent="0.35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3">
      <c r="A93" s="130" t="s">
        <v>208</v>
      </c>
    </row>
    <row r="94" spans="1:14" x14ac:dyDescent="0.3">
      <c r="A94" s="130" t="s">
        <v>209</v>
      </c>
    </row>
    <row r="95" spans="1:14" x14ac:dyDescent="0.3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A9" sqref="A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3" t="str">
        <f>IF('Données projet'!$B$9="","",'Données projet'!$B$9)</f>
        <v>Douglas</v>
      </c>
      <c r="B6" s="154">
        <f>'Données projet'!D9</f>
        <v>2.98</v>
      </c>
      <c r="C6" s="155">
        <f ca="1">IF(OR('Données projet'!B9="",'Données projet'!C9="",'Données projet'!C9=0%),0,Calculateur!S3)</f>
        <v>302.20483575440988</v>
      </c>
      <c r="D6" s="155">
        <f>IF(OR('Données projet'!B9="",'Données projet'!C9="",'Données projet'!C9=0%),0,Calculateur!T3)</f>
        <v>275.32862097158687</v>
      </c>
      <c r="E6" s="155">
        <f ca="1">MIN(C6,D6)</f>
        <v>275.32862097158687</v>
      </c>
      <c r="F6" s="155">
        <f ca="1">E6*B6</f>
        <v>820.47929049532888</v>
      </c>
      <c r="G6" s="155">
        <f ca="1">F6*(100%-'Données projet'!$C$24)*(100%-'Données projet'!$C$25)*(100%-'Données projet'!$C$26)*(100%-'Données projet'!$C$27)</f>
        <v>631.35881403615565</v>
      </c>
      <c r="H6" s="156">
        <f>IF(OR('Données projet'!B9="",'Données projet'!C9="",'Données projet'!C9=0%),0,AVERAGE(Calculateur!$AC$3:$AC$33)*B6)</f>
        <v>25.176377714907453</v>
      </c>
      <c r="I6" s="157">
        <f>H6*(100%-'Données projet'!$C$24)*(100%-'Données projet'!$C$25)*(100%-'Données projet'!$C$26)*(100%-'Données projet'!$C$27)</f>
        <v>19.373222651621283</v>
      </c>
      <c r="J6" s="158">
        <f>IF(OR('Données projet'!B9="",'Données projet'!C9="",'Données projet'!C9=0%),0,SUM(Calculateur!$V$3:$V$33)*VLOOKUP('Données projet'!$B$9,Paramètres!$A$1:$I$89,9,0)*B6)</f>
        <v>162.73779999999999</v>
      </c>
      <c r="K6" s="159">
        <f>J6*(100%-'Données projet'!$C$24)*(100%-'Données projet'!$C$25)*(100%-'Données projet'!$C$26)*(100%-'Données projet'!$C$27)</f>
        <v>125.22673709999999</v>
      </c>
      <c r="L6" s="160">
        <f ca="1">G6+I6+K6</f>
        <v>775.95877378777698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1" t="str">
        <f>IF('Données projet'!$B$10="","",'Données projet'!$B$10)</f>
        <v>Mélèze d'Europe</v>
      </c>
      <c r="B7" s="162">
        <f>'Données projet'!D10</f>
        <v>1.1919999999999999</v>
      </c>
      <c r="C7" s="155">
        <f ca="1">IF(OR('Données projet'!B10="",'Données projet'!C10="",'Données projet'!C10=0%),0,Calculateur!AN3)</f>
        <v>180.20749454145079</v>
      </c>
      <c r="D7" s="155">
        <f>IF(OR('Données projet'!B10="",'Données projet'!C10="",'Données projet'!C10=0%),0,Calculateur!AO3)</f>
        <v>307.23455947678775</v>
      </c>
      <c r="E7" s="155">
        <f t="shared" ref="E7:E15" ca="1" si="0">MIN(C7,D7)</f>
        <v>180.20749454145079</v>
      </c>
      <c r="F7" s="155">
        <f t="shared" ref="F7:F15" ca="1" si="1">E7*B7</f>
        <v>214.80733349340932</v>
      </c>
      <c r="G7" s="155">
        <f ca="1">F7*(100%-'Données projet'!$C$24)*(100%-'Données projet'!$C$25)*(100%-'Données projet'!$C$26)*(100%-'Données projet'!$C$27)</f>
        <v>165.29424312317846</v>
      </c>
      <c r="H7" s="163">
        <f>IF(OR('Données projet'!B10="",'Données projet'!C10="",'Données projet'!C10=0%),0,AVERAGE(Calculateur!$AX$3:$AX$33)*B7)</f>
        <v>7.8346063950249656</v>
      </c>
      <c r="I7" s="157">
        <f>H7*(100%-'Données projet'!$C$24)*(100%-'Données projet'!$C$25)*(100%-'Données projet'!$C$26)*(100%-'Données projet'!$C$27)</f>
        <v>6.0287296209717116</v>
      </c>
      <c r="J7" s="158">
        <f>IF(OR('Données projet'!B10="",'Données projet'!C10="",'Données projet'!C10=0%),0,SUM(Calculateur!$AQ$3:$AQ$33)*VLOOKUP('Données projet'!$B$10,Paramètres!$A$1:$I$89,9,0)*B7)</f>
        <v>65.607680000000002</v>
      </c>
      <c r="K7" s="159">
        <f>J7*(100%-'Données projet'!$C$24)*(100%-'Données projet'!$C$25)*(100%-'Données projet'!$C$26)*(100%-'Données projet'!$C$27)</f>
        <v>50.485109760000007</v>
      </c>
      <c r="L7" s="160">
        <f t="shared" ref="L7:L15" ca="1" si="2">G7+I7+K7</f>
        <v>221.80808250415018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1" t="str">
        <f>IF('Données projet'!$B$11="","",'Données projet'!$B$11)</f>
        <v>Erable plane</v>
      </c>
      <c r="B8" s="162">
        <f>'Données projet'!D11</f>
        <v>0.89400000000000002</v>
      </c>
      <c r="C8" s="155">
        <f ca="1">IF(OR('Données projet'!B11="",'Données projet'!C11="",'Données projet'!C11=0%),0,Calculateur!BI3)</f>
        <v>219.61164494001008</v>
      </c>
      <c r="D8" s="155">
        <f>IF(OR('Données projet'!B11="",'Données projet'!C11="",'Données projet'!C11=0%),0,Calculateur!BJ3)</f>
        <v>219.59799863414111</v>
      </c>
      <c r="E8" s="155">
        <f t="shared" ca="1" si="0"/>
        <v>219.59799863414111</v>
      </c>
      <c r="F8" s="155">
        <f t="shared" ca="1" si="1"/>
        <v>196.32061077892214</v>
      </c>
      <c r="G8" s="155">
        <f ca="1">F8*(100%-'Données projet'!$C$24)*(100%-'Données projet'!$C$25)*(100%-'Données projet'!$C$26)*(100%-'Données projet'!$C$27)</f>
        <v>151.06870999438058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22.1265</v>
      </c>
      <c r="K8" s="159">
        <f>J8*(100%-'Données projet'!$C$24)*(100%-'Données projet'!$C$25)*(100%-'Données projet'!$C$26)*(100%-'Données projet'!$C$27)</f>
        <v>17.02634175</v>
      </c>
      <c r="L8" s="160">
        <f t="shared" ca="1" si="2"/>
        <v>168.09505174438058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1" t="str">
        <f>IF('Données projet'!$B$12="","",'Données projet'!$B$12)</f>
        <v>Merisier</v>
      </c>
      <c r="B9" s="162">
        <f>'Données projet'!D12</f>
        <v>0.44700000000000001</v>
      </c>
      <c r="C9" s="155">
        <f ca="1">IF(OR('Données projet'!B12="",'Données projet'!C12="",'Données projet'!C12=0%),0,Calculateur!CD3)</f>
        <v>220.70608186257931</v>
      </c>
      <c r="D9" s="155">
        <f>IF(OR('Données projet'!B12="",'Données projet'!C12="",'Données projet'!C12=0%),0,Calculateur!CE3)</f>
        <v>208.79744153433245</v>
      </c>
      <c r="E9" s="155">
        <f t="shared" ca="1" si="0"/>
        <v>208.79744153433245</v>
      </c>
      <c r="F9" s="155">
        <f t="shared" ca="1" si="1"/>
        <v>93.33245636584661</v>
      </c>
      <c r="G9" s="155">
        <f ca="1">F9*(100%-'Données projet'!$C$24)*(100%-'Données projet'!$C$25)*(100%-'Données projet'!$C$26)*(100%-'Données projet'!$C$27)</f>
        <v>71.819325173518962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6.1462500000000002</v>
      </c>
      <c r="K9" s="159">
        <f>J9*(100%-'Données projet'!$C$24)*(100%-'Données projet'!$C$25)*(100%-'Données projet'!$C$26)*(100%-'Données projet'!$C$27)</f>
        <v>4.7295393749999999</v>
      </c>
      <c r="L9" s="160">
        <f t="shared" ca="1" si="2"/>
        <v>76.548864548518964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1" t="str">
        <f>IF('Données projet'!$B$13="","",'Données projet'!$B$13)</f>
        <v/>
      </c>
      <c r="B10" s="162">
        <f>'Données projet'!D13</f>
        <v>0</v>
      </c>
      <c r="C10" s="155">
        <f>IF(OR('Données projet'!B13="",'Données projet'!C13="",'Données projet'!C13=0%),0,Calculateur!CY3)</f>
        <v>0</v>
      </c>
      <c r="D10" s="155">
        <f>IF(OR('Données projet'!B13="",'Données projet'!C13="",'Données projet'!C13=0%),0,Calculateur!CZ3)</f>
        <v>0</v>
      </c>
      <c r="E10" s="155">
        <f t="shared" si="0"/>
        <v>0</v>
      </c>
      <c r="F10" s="155">
        <f t="shared" si="1"/>
        <v>0</v>
      </c>
      <c r="G10" s="155">
        <f>F10*(100%-'Données projet'!$C$24)*(100%-'Données projet'!$C$25)*(100%-'Données projet'!$C$26)*(100%-'Données projet'!$C$27)</f>
        <v>0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0</v>
      </c>
      <c r="K10" s="159">
        <f>J10*(100%-'Données projet'!$C$24)*(100%-'Données projet'!$C$25)*(100%-'Données projet'!$C$26)*(100%-'Données projet'!$C$27)</f>
        <v>0</v>
      </c>
      <c r="L10" s="160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1" t="str">
        <f>IF('Données projet'!$B$14="","",'Données projet'!$B$14)</f>
        <v/>
      </c>
      <c r="B11" s="162">
        <f>'Données projet'!D14</f>
        <v>0</v>
      </c>
      <c r="C11" s="155">
        <f>IF(OR('Données projet'!B14="",'Données projet'!C14="",'Données projet'!C14=0%),0,Calculateur!DT3)</f>
        <v>0</v>
      </c>
      <c r="D11" s="155">
        <f>IF(OR('Données projet'!B14="",'Données projet'!C14="",'Données projet'!C14=0%),0,Calculateur!DU3)</f>
        <v>0</v>
      </c>
      <c r="E11" s="155">
        <f t="shared" si="0"/>
        <v>0</v>
      </c>
      <c r="F11" s="155">
        <f t="shared" si="1"/>
        <v>0</v>
      </c>
      <c r="G11" s="155">
        <f>F11*(100%-'Données projet'!$C$24)*(100%-'Données projet'!$C$25)*(100%-'Données projet'!$C$26)*(100%-'Données projet'!$C$27)</f>
        <v>0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0</v>
      </c>
      <c r="K11" s="159">
        <f>J11*(100%-'Données projet'!$C$24)*(100%-'Données projet'!$C$25)*(100%-'Données projet'!$C$26)*(100%-'Données projet'!$C$27)</f>
        <v>0</v>
      </c>
      <c r="L11" s="160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1" t="str">
        <f>IF('Données projet'!$B$15="","",'Données projet'!$B$15)</f>
        <v/>
      </c>
      <c r="B12" s="162">
        <f>'Données projet'!D15</f>
        <v>0</v>
      </c>
      <c r="C12" s="155">
        <f>IF(OR('Données projet'!B15="",'Données projet'!C15="",'Données projet'!C15=0%),0,Calculateur!EO3)</f>
        <v>0</v>
      </c>
      <c r="D12" s="155">
        <f>IF(OR('Données projet'!B15="",'Données projet'!C15="",'Données projet'!C15=0%),0,Calculateur!EP3)</f>
        <v>0</v>
      </c>
      <c r="E12" s="155">
        <f t="shared" si="0"/>
        <v>0</v>
      </c>
      <c r="F12" s="155">
        <f t="shared" si="1"/>
        <v>0</v>
      </c>
      <c r="G12" s="155">
        <f>F12*(100%-'Données projet'!$C$24)*(100%-'Données projet'!$C$25)*(100%-'Données projet'!$C$26)*(100%-'Données projet'!$C$27)</f>
        <v>0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0</v>
      </c>
      <c r="K12" s="159">
        <f>J12*(100%-'Données projet'!$C$24)*(100%-'Données projet'!$C$25)*(100%-'Données projet'!$C$26)*(100%-'Données projet'!$C$27)</f>
        <v>0</v>
      </c>
      <c r="L12" s="160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1" t="str">
        <f>IF('Données projet'!$B$16="","",'Données projet'!$B$16)</f>
        <v/>
      </c>
      <c r="B13" s="162">
        <f>'Données projet'!D16</f>
        <v>0</v>
      </c>
      <c r="C13" s="155">
        <f>IF(OR('Données projet'!B16="",'Données projet'!C16="",'Données projet'!C16=0%),0,Calculateur!FJ3)</f>
        <v>0</v>
      </c>
      <c r="D13" s="155">
        <f>IF(OR('Données projet'!B16="",'Données projet'!C16="",'Données projet'!C16=0%),0,Calculateur!FK3)</f>
        <v>0</v>
      </c>
      <c r="E13" s="155">
        <f t="shared" si="0"/>
        <v>0</v>
      </c>
      <c r="F13" s="155">
        <f t="shared" si="1"/>
        <v>0</v>
      </c>
      <c r="G13" s="155">
        <f>F13*(100%-'Données projet'!$C$24)*(100%-'Données projet'!$C$25)*(100%-'Données projet'!$C$26)*(100%-'Données projet'!$C$27)</f>
        <v>0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1" t="str">
        <f>IF('Données projet'!$B$17="","",'Données projet'!$B$17)</f>
        <v/>
      </c>
      <c r="B14" s="162">
        <f>'Données projet'!D17</f>
        <v>0</v>
      </c>
      <c r="C14" s="155">
        <f>IF(OR('Données projet'!B17="",'Données projet'!C17="",'Données projet'!C17=0%),0,Calculateur!GE3)</f>
        <v>0</v>
      </c>
      <c r="D14" s="155">
        <f>IF(OR('Données projet'!B17="",'Données projet'!C17="",'Données projet'!C17=0%),0,Calculateur!GF3)</f>
        <v>0</v>
      </c>
      <c r="E14" s="155">
        <f t="shared" si="0"/>
        <v>0</v>
      </c>
      <c r="F14" s="155">
        <f t="shared" si="1"/>
        <v>0</v>
      </c>
      <c r="G14" s="155">
        <f>F14*(100%-'Données projet'!$C$24)*(100%-'Données projet'!$C$25)*(100%-'Données projet'!$C$26)*(100%-'Données projet'!$C$27)</f>
        <v>0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</v>
      </c>
      <c r="K14" s="159">
        <f>J14*(100%-'Données projet'!$C$24)*(100%-'Données projet'!$C$25)*(100%-'Données projet'!$C$26)*(100%-'Données projet'!$C$27)</f>
        <v>0</v>
      </c>
      <c r="L14" s="160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3">
        <f t="shared" ref="F16:L16" ca="1" si="3">SUM(F6:F15)</f>
        <v>1324.939691133507</v>
      </c>
      <c r="G16" s="174">
        <f t="shared" ca="1" si="3"/>
        <v>1019.5410923272336</v>
      </c>
      <c r="H16" s="175">
        <f t="shared" si="3"/>
        <v>33.010984109932416</v>
      </c>
      <c r="I16" s="175">
        <f t="shared" si="3"/>
        <v>25.401952272592993</v>
      </c>
      <c r="J16" s="176">
        <f t="shared" si="3"/>
        <v>256.61822999999998</v>
      </c>
      <c r="K16" s="176">
        <f t="shared" si="3"/>
        <v>197.46772798500001</v>
      </c>
      <c r="L16" s="177">
        <f t="shared" ca="1" si="3"/>
        <v>1242.4107725848266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8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8" t="str">
        <f>A7</f>
        <v>Mélèze d'Europe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8" t="str">
        <f>A8</f>
        <v>Erable plane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8" t="str">
        <f>A9</f>
        <v>Merisier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8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8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8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8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8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B91" zoomScale="70" zoomScaleNormal="70" workbookViewId="0">
      <selection activeCell="E93" sqref="E9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3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3">
      <c r="A4" s="98"/>
      <c r="B4" s="98"/>
      <c r="C4" s="98"/>
      <c r="D4" s="98"/>
      <c r="E4" s="98"/>
      <c r="G4" s="179"/>
      <c r="H4" s="325" t="s">
        <v>315</v>
      </c>
      <c r="I4" s="325"/>
      <c r="K4" s="322" t="s">
        <v>253</v>
      </c>
      <c r="L4" s="323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3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" thickBot="1" x14ac:dyDescent="0.35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Douglas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4964.4912929764032</v>
      </c>
      <c r="U10" s="189">
        <f>'Données projet'!D9</f>
        <v>2.98</v>
      </c>
      <c r="V10" s="188">
        <f>U10*T10</f>
        <v>14794.184053069681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Mélèze d'Europe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3398.7471853123679</v>
      </c>
      <c r="U11" s="189">
        <f>'Données projet'!D10</f>
        <v>1.1919999999999999</v>
      </c>
      <c r="V11" s="188">
        <f t="shared" ref="V11" si="0">U11*T11</f>
        <v>4051.3066448923423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Erable plane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1166.4310210618873</v>
      </c>
      <c r="U12" s="189">
        <f>'Données projet'!D11</f>
        <v>0.89400000000000002</v>
      </c>
      <c r="V12" s="188">
        <f t="shared" ref="V12:V19" si="1">U12*T12</f>
        <v>1042.7893328293273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Merisier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3089.9985773232406</v>
      </c>
      <c r="U13" s="189">
        <f>'Données projet'!D12</f>
        <v>0.44700000000000001</v>
      </c>
      <c r="V13" s="188">
        <f t="shared" si="1"/>
        <v>1381.2293640634887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5" t="str">
        <f>IF('Données projet'!$B$9="","",'Données projet'!$B$9)</f>
        <v>Douglas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9">
        <f>'Données projet'!D13</f>
        <v>0</v>
      </c>
      <c r="V14" s="188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26" t="s">
        <v>318</v>
      </c>
      <c r="H15" s="202"/>
      <c r="I15" s="203"/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9">
        <f>'Données projet'!D14</f>
        <v>0</v>
      </c>
      <c r="V15" s="188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2"/>
      <c r="I16" s="203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4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</v>
      </c>
      <c r="V16" s="188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5"/>
      <c r="F17" s="260"/>
      <c r="G17" s="326"/>
      <c r="J17" s="215"/>
      <c r="K17" s="224"/>
      <c r="L17" s="293" t="s">
        <v>289</v>
      </c>
      <c r="M17" s="295"/>
      <c r="N17" s="186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4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26"/>
      <c r="J18" s="215"/>
      <c r="K18" s="224"/>
      <c r="L18" s="293" t="s">
        <v>255</v>
      </c>
      <c r="M18" s="295"/>
      <c r="N18" s="204"/>
      <c r="O18" s="25"/>
      <c r="P18" s="25"/>
      <c r="Q18" s="264"/>
      <c r="R18" s="25"/>
      <c r="S18" s="184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26"/>
      <c r="H19" s="231" t="s">
        <v>178</v>
      </c>
      <c r="I19" s="231" t="s">
        <v>287</v>
      </c>
      <c r="J19" s="259"/>
      <c r="K19" s="182"/>
      <c r="L19" s="322" t="s">
        <v>288</v>
      </c>
      <c r="M19" s="323"/>
      <c r="N19" s="190">
        <f>N17*N18</f>
        <v>0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26"/>
      <c r="H20" s="202">
        <v>0</v>
      </c>
      <c r="I20" s="203">
        <v>7000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/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/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1">
        <f>'Données projet'!A36</f>
        <v>21</v>
      </c>
      <c r="B23" s="192">
        <f>'Données projet'!D36</f>
        <v>63</v>
      </c>
      <c r="C23" s="203">
        <v>15</v>
      </c>
      <c r="D23" s="193">
        <f>B23*C23</f>
        <v>945</v>
      </c>
      <c r="E23" s="205"/>
      <c r="F23" s="260"/>
      <c r="H23" s="202"/>
      <c r="I23" s="203"/>
      <c r="K23" s="224"/>
      <c r="L23" s="324" t="s">
        <v>260</v>
      </c>
      <c r="M23" s="324"/>
      <c r="N23" s="324"/>
      <c r="O23" s="25"/>
      <c r="P23" s="25"/>
      <c r="Q23" s="264"/>
      <c r="R23" s="25"/>
      <c r="S23" s="184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-20450.490605145158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1">
        <f>'Données projet'!A37</f>
        <v>28</v>
      </c>
      <c r="B24" s="192">
        <f>'Données projet'!D37</f>
        <v>64</v>
      </c>
      <c r="C24" s="203">
        <v>20</v>
      </c>
      <c r="D24" s="193">
        <f t="shared" ref="D24:D42" si="2">B24*C24</f>
        <v>1280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1">
        <f>'Données projet'!A38</f>
        <v>35</v>
      </c>
      <c r="B25" s="192">
        <f>'Données projet'!D38</f>
        <v>73</v>
      </c>
      <c r="C25" s="203">
        <v>30</v>
      </c>
      <c r="D25" s="193">
        <f t="shared" si="2"/>
        <v>2190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/>
      <c r="Q25" s="264"/>
      <c r="R25" s="25"/>
      <c r="S25" s="197" t="s">
        <v>266</v>
      </c>
      <c r="T25" s="340">
        <f ca="1">T23-T24</f>
        <v>-20450.490605145158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1">
        <f>'Données projet'!A39</f>
        <v>42</v>
      </c>
      <c r="B26" s="192">
        <f>'Données projet'!D39</f>
        <v>77</v>
      </c>
      <c r="C26" s="203">
        <v>35</v>
      </c>
      <c r="D26" s="193">
        <f t="shared" si="2"/>
        <v>2695</v>
      </c>
      <c r="E26" s="205"/>
      <c r="F26" s="263"/>
      <c r="G26" s="258"/>
      <c r="H26" s="202"/>
      <c r="I26" s="203"/>
      <c r="K26" s="224"/>
      <c r="L26" s="327" t="s">
        <v>258</v>
      </c>
      <c r="M26" s="328"/>
      <c r="N26" s="328"/>
      <c r="O26" s="328"/>
      <c r="P26" s="329"/>
      <c r="Q26" s="264"/>
      <c r="R26" s="25"/>
      <c r="S26" s="197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1">
        <f>'Données projet'!A40</f>
        <v>49</v>
      </c>
      <c r="B27" s="192">
        <f>'Données projet'!D40</f>
        <v>80</v>
      </c>
      <c r="C27" s="203">
        <v>40</v>
      </c>
      <c r="D27" s="193">
        <f t="shared" si="2"/>
        <v>3200</v>
      </c>
      <c r="E27" s="205"/>
      <c r="F27" s="263"/>
      <c r="G27" s="258"/>
      <c r="H27" s="202"/>
      <c r="I27" s="203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1">
        <f>'Données projet'!A41</f>
        <v>56</v>
      </c>
      <c r="B28" s="192">
        <f>'Données projet'!D41</f>
        <v>85</v>
      </c>
      <c r="C28" s="203">
        <v>50</v>
      </c>
      <c r="D28" s="193">
        <f t="shared" si="2"/>
        <v>4250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1">
        <f>'Données projet'!A42</f>
        <v>63</v>
      </c>
      <c r="B29" s="192">
        <f>'Données projet'!D42</f>
        <v>84</v>
      </c>
      <c r="C29" s="203">
        <v>60</v>
      </c>
      <c r="D29" s="193">
        <f t="shared" si="2"/>
        <v>5040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1">
        <f>'Données projet'!A43</f>
        <v>70</v>
      </c>
      <c r="B30" s="192">
        <f>'Données projet'!D43</f>
        <v>551</v>
      </c>
      <c r="C30" s="203">
        <v>90</v>
      </c>
      <c r="D30" s="193">
        <f t="shared" si="2"/>
        <v>49590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1">
        <f>'Données projet'!A44</f>
        <v>0</v>
      </c>
      <c r="B31" s="192">
        <f>'Données projet'!D44</f>
        <v>0</v>
      </c>
      <c r="C31" s="205"/>
      <c r="D31" s="193">
        <f t="shared" si="2"/>
        <v>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1">
        <f>'Données projet'!A45</f>
        <v>0</v>
      </c>
      <c r="B32" s="192">
        <f>'Données projet'!D45</f>
        <v>0</v>
      </c>
      <c r="C32" s="205"/>
      <c r="D32" s="193">
        <f t="shared" si="2"/>
        <v>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1">
        <f>'Données projet'!A46</f>
        <v>0</v>
      </c>
      <c r="B33" s="192">
        <f>'Données projet'!D46</f>
        <v>0</v>
      </c>
      <c r="C33" s="205"/>
      <c r="D33" s="193">
        <f t="shared" si="2"/>
        <v>0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1">
        <f>'Données projet'!A47</f>
        <v>0</v>
      </c>
      <c r="B34" s="192">
        <f>'Données projet'!D47</f>
        <v>0</v>
      </c>
      <c r="C34" s="205"/>
      <c r="D34" s="193">
        <f t="shared" si="2"/>
        <v>0</v>
      </c>
      <c r="E34" s="205"/>
      <c r="F34" s="263"/>
      <c r="G34" s="217"/>
      <c r="H34" s="202"/>
      <c r="I34" s="203"/>
      <c r="K34" s="182"/>
      <c r="L34" s="283"/>
      <c r="M34" s="283"/>
      <c r="N34" s="284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1">
        <f>'Données projet'!A48</f>
        <v>0</v>
      </c>
      <c r="B35" s="192">
        <f>'Données projet'!D48</f>
        <v>0</v>
      </c>
      <c r="C35" s="205"/>
      <c r="D35" s="193">
        <f t="shared" si="2"/>
        <v>0</v>
      </c>
      <c r="E35" s="205"/>
      <c r="F35" s="263"/>
      <c r="G35" s="217"/>
      <c r="H35" s="202"/>
      <c r="I35" s="203"/>
      <c r="K35" s="182"/>
      <c r="L35" s="283"/>
      <c r="M35" s="283"/>
      <c r="N35" s="284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1">
        <f>'Données projet'!A49</f>
        <v>0</v>
      </c>
      <c r="B36" s="192">
        <f>'Données projet'!D49</f>
        <v>0</v>
      </c>
      <c r="C36" s="205"/>
      <c r="D36" s="193">
        <f t="shared" si="2"/>
        <v>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1">
        <f>'Données projet'!A50</f>
        <v>0</v>
      </c>
      <c r="B37" s="192">
        <f>'Données projet'!D50</f>
        <v>0</v>
      </c>
      <c r="C37" s="205"/>
      <c r="D37" s="193">
        <f t="shared" si="2"/>
        <v>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1">
        <f>'Données projet'!A51</f>
        <v>0</v>
      </c>
      <c r="B38" s="192">
        <f>'Données projet'!D51</f>
        <v>0</v>
      </c>
      <c r="C38" s="205"/>
      <c r="D38" s="193">
        <f t="shared" si="2"/>
        <v>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1">
        <f>'Données projet'!A52</f>
        <v>0</v>
      </c>
      <c r="B39" s="192">
        <f>'Données projet'!D52</f>
        <v>0</v>
      </c>
      <c r="C39" s="205"/>
      <c r="D39" s="193">
        <f t="shared" si="2"/>
        <v>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1">
        <f>'Données projet'!A53</f>
        <v>0</v>
      </c>
      <c r="B40" s="192">
        <f>'Données projet'!D53</f>
        <v>0</v>
      </c>
      <c r="C40" s="205"/>
      <c r="D40" s="193">
        <f t="shared" si="2"/>
        <v>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1">
        <f>'Données projet'!A54</f>
        <v>0</v>
      </c>
      <c r="B41" s="192">
        <f>'Données projet'!D54</f>
        <v>0</v>
      </c>
      <c r="C41" s="205"/>
      <c r="D41" s="193">
        <f t="shared" si="2"/>
        <v>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1">
        <f>'Données projet'!A55</f>
        <v>0</v>
      </c>
      <c r="B42" s="192">
        <f>'Données projet'!D55</f>
        <v>0</v>
      </c>
      <c r="C42" s="205"/>
      <c r="D42" s="193">
        <f t="shared" si="2"/>
        <v>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5" t="str">
        <f>IF('Données projet'!$B$10="","",'Données projet'!$B$10)</f>
        <v>Mélèze d'Europe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5"/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1">
        <f>'Données projet'!A62</f>
        <v>18</v>
      </c>
      <c r="B54" s="192">
        <f>'Données projet'!D62</f>
        <v>0</v>
      </c>
      <c r="C54" s="205"/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1">
        <f>'Données projet'!A63</f>
        <v>21</v>
      </c>
      <c r="B55" s="192">
        <f>'Données projet'!D63</f>
        <v>46</v>
      </c>
      <c r="C55" s="205">
        <v>10</v>
      </c>
      <c r="D55" s="190">
        <f t="shared" ref="D55:D73" si="4">B55*C55</f>
        <v>460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1">
        <f>'Données projet'!A64</f>
        <v>24</v>
      </c>
      <c r="B56" s="192">
        <f>'Données projet'!D64</f>
        <v>0</v>
      </c>
      <c r="C56" s="205"/>
      <c r="D56" s="190">
        <f t="shared" si="4"/>
        <v>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1">
        <f>'Données projet'!A65</f>
        <v>30</v>
      </c>
      <c r="B57" s="192">
        <f>'Données projet'!D65</f>
        <v>82</v>
      </c>
      <c r="C57" s="205">
        <v>20</v>
      </c>
      <c r="D57" s="190">
        <f t="shared" si="4"/>
        <v>1640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1">
        <f>'Données projet'!A66</f>
        <v>36</v>
      </c>
      <c r="B58" s="192">
        <f>'Données projet'!D66</f>
        <v>62</v>
      </c>
      <c r="C58" s="205">
        <v>35</v>
      </c>
      <c r="D58" s="190">
        <f t="shared" si="4"/>
        <v>2170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1">
        <f>'Données projet'!A67</f>
        <v>42</v>
      </c>
      <c r="B59" s="192">
        <f>'Données projet'!D67</f>
        <v>67</v>
      </c>
      <c r="C59" s="205">
        <v>50</v>
      </c>
      <c r="D59" s="190">
        <f t="shared" si="4"/>
        <v>3350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1">
        <f>'Données projet'!A68</f>
        <v>48</v>
      </c>
      <c r="B60" s="192">
        <f>'Données projet'!D68</f>
        <v>65</v>
      </c>
      <c r="C60" s="205">
        <v>60</v>
      </c>
      <c r="D60" s="190">
        <f t="shared" si="4"/>
        <v>3900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1">
        <f>'Données projet'!A69</f>
        <v>60</v>
      </c>
      <c r="B61" s="192">
        <f>'Données projet'!D69</f>
        <v>304</v>
      </c>
      <c r="C61" s="205">
        <v>70</v>
      </c>
      <c r="D61" s="190">
        <f t="shared" si="4"/>
        <v>21280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1">
        <f>'Données projet'!A70</f>
        <v>0</v>
      </c>
      <c r="B62" s="192">
        <f>'Données projet'!D70</f>
        <v>0</v>
      </c>
      <c r="C62" s="203"/>
      <c r="D62" s="190">
        <f t="shared" si="4"/>
        <v>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1">
        <f>'Données projet'!A71</f>
        <v>0</v>
      </c>
      <c r="B63" s="192">
        <f>'Données projet'!D71</f>
        <v>0</v>
      </c>
      <c r="C63" s="203"/>
      <c r="D63" s="190">
        <f t="shared" si="4"/>
        <v>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1">
        <f>'Données projet'!A72</f>
        <v>0</v>
      </c>
      <c r="B64" s="192">
        <f>'Données projet'!D72</f>
        <v>0</v>
      </c>
      <c r="C64" s="203"/>
      <c r="D64" s="190">
        <f t="shared" si="4"/>
        <v>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1">
        <f>'Données projet'!A73</f>
        <v>0</v>
      </c>
      <c r="B65" s="192">
        <f>'Données projet'!D73</f>
        <v>0</v>
      </c>
      <c r="C65" s="203"/>
      <c r="D65" s="190">
        <f t="shared" si="4"/>
        <v>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1">
        <f>'Données projet'!A74</f>
        <v>0</v>
      </c>
      <c r="B66" s="192">
        <f>'Données projet'!D74</f>
        <v>0</v>
      </c>
      <c r="C66" s="203"/>
      <c r="D66" s="190">
        <f t="shared" si="4"/>
        <v>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1">
        <f>'Données projet'!A75</f>
        <v>0</v>
      </c>
      <c r="B67" s="192">
        <f>'Données projet'!D75</f>
        <v>0</v>
      </c>
      <c r="C67" s="203"/>
      <c r="D67" s="190">
        <f t="shared" si="4"/>
        <v>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1">
        <f>'Données projet'!A76</f>
        <v>0</v>
      </c>
      <c r="B68" s="192">
        <f>'Données projet'!D76</f>
        <v>0</v>
      </c>
      <c r="C68" s="203"/>
      <c r="D68" s="190">
        <f t="shared" si="4"/>
        <v>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1">
        <f>'Données projet'!A77</f>
        <v>0</v>
      </c>
      <c r="B69" s="192">
        <f>'Données projet'!D77</f>
        <v>0</v>
      </c>
      <c r="C69" s="203"/>
      <c r="D69" s="190">
        <f t="shared" si="4"/>
        <v>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1">
        <f>'Données projet'!A78</f>
        <v>0</v>
      </c>
      <c r="B70" s="192">
        <f>'Données projet'!D78</f>
        <v>0</v>
      </c>
      <c r="C70" s="203"/>
      <c r="D70" s="190">
        <f t="shared" si="4"/>
        <v>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1">
        <f>'Données projet'!A79</f>
        <v>0</v>
      </c>
      <c r="B71" s="192">
        <f>'Données projet'!D79</f>
        <v>0</v>
      </c>
      <c r="C71" s="203"/>
      <c r="D71" s="190">
        <f t="shared" si="4"/>
        <v>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1">
        <f>'Données projet'!A80</f>
        <v>0</v>
      </c>
      <c r="B72" s="192">
        <f>'Données projet'!D80</f>
        <v>0</v>
      </c>
      <c r="C72" s="203"/>
      <c r="D72" s="190">
        <f t="shared" si="4"/>
        <v>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1">
        <f>'Données projet'!A81</f>
        <v>0</v>
      </c>
      <c r="B73" s="192">
        <f>'Données projet'!D81</f>
        <v>0</v>
      </c>
      <c r="C73" s="203"/>
      <c r="D73" s="190">
        <f t="shared" si="4"/>
        <v>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5" t="str">
        <f>IF('Données projet'!B11="","",'Données projet'!B11)</f>
        <v>Erable plane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1">
        <f>'Données projet'!A88</f>
        <v>15</v>
      </c>
      <c r="B85" s="192">
        <f>'Données projet'!D88</f>
        <v>0</v>
      </c>
      <c r="C85" s="205"/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1">
        <f>'Données projet'!A89</f>
        <v>20</v>
      </c>
      <c r="B86" s="192">
        <f>'Données projet'!D89</f>
        <v>43</v>
      </c>
      <c r="C86" s="203">
        <v>10</v>
      </c>
      <c r="D86" s="190">
        <f t="shared" ref="D86:D104" si="6">B86*C86</f>
        <v>430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1">
        <f>'Données projet'!A90</f>
        <v>25</v>
      </c>
      <c r="B87" s="192">
        <f>'Données projet'!D90</f>
        <v>0</v>
      </c>
      <c r="C87" s="203"/>
      <c r="D87" s="190">
        <f t="shared" si="6"/>
        <v>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1">
        <f>'Données projet'!A91</f>
        <v>30</v>
      </c>
      <c r="B88" s="192">
        <f>'Données projet'!D91</f>
        <v>56</v>
      </c>
      <c r="C88" s="203">
        <v>10</v>
      </c>
      <c r="D88" s="190">
        <f t="shared" si="6"/>
        <v>560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1">
        <f>'Données projet'!A92</f>
        <v>35</v>
      </c>
      <c r="B89" s="192">
        <f>'Données projet'!D92</f>
        <v>0</v>
      </c>
      <c r="C89" s="203"/>
      <c r="D89" s="190">
        <f t="shared" si="6"/>
        <v>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>
        <f>IF(O88+1&lt;=MIN('Données projet'!$E$9:$E$18),O88+1,"STOP")</f>
        <v>56</v>
      </c>
      <c r="P89" s="196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1">
        <f>'Données projet'!A93</f>
        <v>40</v>
      </c>
      <c r="B90" s="192">
        <f>'Données projet'!D93</f>
        <v>56</v>
      </c>
      <c r="C90" s="203">
        <v>20</v>
      </c>
      <c r="D90" s="190">
        <f t="shared" si="6"/>
        <v>1120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>
        <f>IF(O89+1&lt;=MIN('Données projet'!$E$9:$E$18),O89+1,"STOP")</f>
        <v>57</v>
      </c>
      <c r="P90" s="196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1">
        <f>'Données projet'!A94</f>
        <v>45</v>
      </c>
      <c r="B91" s="192">
        <f>'Données projet'!D94</f>
        <v>0</v>
      </c>
      <c r="C91" s="203"/>
      <c r="D91" s="190">
        <f t="shared" si="6"/>
        <v>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>
        <f>IF(O90+1&lt;=MIN('Données projet'!$E$9:$E$18),O90+1,"STOP")</f>
        <v>58</v>
      </c>
      <c r="P91" s="196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1">
        <f>'Données projet'!A95</f>
        <v>50</v>
      </c>
      <c r="B92" s="192">
        <f>'Données projet'!D95</f>
        <v>39</v>
      </c>
      <c r="C92" s="203">
        <v>30</v>
      </c>
      <c r="D92" s="190">
        <f t="shared" si="6"/>
        <v>1170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>
        <f>IF(O91+1&lt;=MIN('Données projet'!$E$9:$E$18),O91+1,"STOP")</f>
        <v>59</v>
      </c>
      <c r="P92" s="196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1">
        <f>'Données projet'!A96</f>
        <v>55</v>
      </c>
      <c r="B93" s="192">
        <f>'Données projet'!D96</f>
        <v>0</v>
      </c>
      <c r="C93" s="203"/>
      <c r="D93" s="190">
        <f t="shared" si="6"/>
        <v>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>
        <f>IF(O92+1&lt;=MIN('Données projet'!$E$9:$E$18),O92+1,"STOP")</f>
        <v>60</v>
      </c>
      <c r="P93" s="196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1">
        <f>'Données projet'!A97</f>
        <v>60</v>
      </c>
      <c r="B94" s="192">
        <f>'Données projet'!D97</f>
        <v>25</v>
      </c>
      <c r="C94" s="203">
        <v>30</v>
      </c>
      <c r="D94" s="190">
        <f t="shared" si="6"/>
        <v>750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 t="str">
        <f>IF(O93+1&lt;=MIN('Données projet'!$E$9:$E$18),O93+1,"STOP")</f>
        <v>STOP</v>
      </c>
      <c r="P94" s="196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1">
        <f>'Données projet'!A98</f>
        <v>65</v>
      </c>
      <c r="B95" s="192">
        <f>'Données projet'!D98</f>
        <v>0</v>
      </c>
      <c r="C95" s="203"/>
      <c r="D95" s="190">
        <f t="shared" si="6"/>
        <v>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 t="e">
        <f>IF(O94+1&lt;=MIN('Données projet'!$E$9:$E$18),O94+1,"STOP")</f>
        <v>#VALUE!</v>
      </c>
      <c r="P95" s="196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1">
        <f>'Données projet'!A99</f>
        <v>70</v>
      </c>
      <c r="B96" s="192">
        <f>'Données projet'!D99</f>
        <v>21</v>
      </c>
      <c r="C96" s="203">
        <v>40</v>
      </c>
      <c r="D96" s="190">
        <f t="shared" si="6"/>
        <v>840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 t="e">
        <f>IF(O95+1&lt;=MIN('Données projet'!$E$9:$E$18),O95+1,"STOP")</f>
        <v>#VALUE!</v>
      </c>
      <c r="P96" s="196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1">
        <f>'Données projet'!A100</f>
        <v>75</v>
      </c>
      <c r="B97" s="192">
        <f>'Données projet'!D100</f>
        <v>9</v>
      </c>
      <c r="C97" s="203">
        <v>50</v>
      </c>
      <c r="D97" s="190">
        <f t="shared" si="6"/>
        <v>450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 t="e">
        <f>IF(O96+1&lt;=MIN('Données projet'!$E$9:$E$18),O96+1,"STOP")</f>
        <v>#VALUE!</v>
      </c>
      <c r="P97" s="196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1">
        <f>'Données projet'!A101</f>
        <v>80</v>
      </c>
      <c r="B98" s="192">
        <f>'Données projet'!D101</f>
        <v>276</v>
      </c>
      <c r="C98" s="203">
        <v>50</v>
      </c>
      <c r="D98" s="190">
        <f t="shared" si="6"/>
        <v>13800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 t="e">
        <f>IF(O97+1&lt;=MIN('Données projet'!$E$9:$E$18),O97+1,"STOP")</f>
        <v>#VALUE!</v>
      </c>
      <c r="P98" s="196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1">
        <f>'Données projet'!A102</f>
        <v>0</v>
      </c>
      <c r="B99" s="192">
        <f>'Données projet'!D102</f>
        <v>0</v>
      </c>
      <c r="C99" s="205">
        <v>50</v>
      </c>
      <c r="D99" s="190">
        <f t="shared" si="6"/>
        <v>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 t="e">
        <f>IF(O98+1&lt;=MIN('Données projet'!$E$9:$E$18),O98+1,"STOP")</f>
        <v>#VALUE!</v>
      </c>
      <c r="P99" s="196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1">
        <f>'Données projet'!A103</f>
        <v>0</v>
      </c>
      <c r="B100" s="192">
        <f>'Données projet'!D103</f>
        <v>0</v>
      </c>
      <c r="C100" s="203"/>
      <c r="D100" s="190">
        <f t="shared" si="6"/>
        <v>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 t="e">
        <f>IF(O99+1&lt;=MIN('Données projet'!$E$9:$E$18),O99+1,"STOP")</f>
        <v>#VALUE!</v>
      </c>
      <c r="P100" s="196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1">
        <f>'Données projet'!A104</f>
        <v>0</v>
      </c>
      <c r="B101" s="192">
        <f>'Données projet'!D104</f>
        <v>0</v>
      </c>
      <c r="C101" s="203"/>
      <c r="D101" s="190">
        <f t="shared" si="6"/>
        <v>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 t="e">
        <f>IF(O100+1&lt;=MIN('Données projet'!$E$9:$E$18),O100+1,"STOP")</f>
        <v>#VALUE!</v>
      </c>
      <c r="P101" s="196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1">
        <f>'Données projet'!A105</f>
        <v>0</v>
      </c>
      <c r="B102" s="192">
        <f>'Données projet'!D105</f>
        <v>0</v>
      </c>
      <c r="C102" s="203"/>
      <c r="D102" s="190">
        <f t="shared" si="6"/>
        <v>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 t="e">
        <f>IF(O101+1&lt;=MIN('Données projet'!$E$9:$E$18),O101+1,"STOP")</f>
        <v>#VALUE!</v>
      </c>
      <c r="P102" s="196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1">
        <f>'Données projet'!A106</f>
        <v>0</v>
      </c>
      <c r="B103" s="192">
        <f>'Données projet'!D106</f>
        <v>0</v>
      </c>
      <c r="C103" s="203"/>
      <c r="D103" s="190">
        <f t="shared" si="6"/>
        <v>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e">
        <f>IF(O102+1&lt;=MIN('Données projet'!$E$9:$E$18),O102+1,"STOP")</f>
        <v>#VALUE!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1">
        <f>'Données projet'!A107</f>
        <v>0</v>
      </c>
      <c r="B104" s="192">
        <f>'Données projet'!D107</f>
        <v>0</v>
      </c>
      <c r="C104" s="203"/>
      <c r="D104" s="190">
        <f t="shared" si="6"/>
        <v>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5" t="str">
        <f>IF('Données projet'!B12="","",'Données projet'!B12)</f>
        <v>Merisier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1">
        <f>'Données projet'!A114</f>
        <v>15</v>
      </c>
      <c r="B116" s="192">
        <f>'Données projet'!D114</f>
        <v>0</v>
      </c>
      <c r="C116" s="203"/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1">
        <f>'Données projet'!A115</f>
        <v>20</v>
      </c>
      <c r="B117" s="192">
        <f>'Données projet'!D115</f>
        <v>0</v>
      </c>
      <c r="C117" s="203"/>
      <c r="D117" s="190">
        <f t="shared" ref="D117:D135" si="8">B117*C117</f>
        <v>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1">
        <f>'Données projet'!A116</f>
        <v>25</v>
      </c>
      <c r="B118" s="192">
        <f>'Données projet'!D116</f>
        <v>55</v>
      </c>
      <c r="C118" s="203">
        <v>10</v>
      </c>
      <c r="D118" s="190">
        <f t="shared" si="8"/>
        <v>550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1">
        <f>'Données projet'!A117</f>
        <v>31</v>
      </c>
      <c r="B119" s="192">
        <f>'Données projet'!D117</f>
        <v>36</v>
      </c>
      <c r="C119" s="203">
        <v>15</v>
      </c>
      <c r="D119" s="190">
        <f t="shared" si="8"/>
        <v>540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1">
        <f>'Données projet'!A118</f>
        <v>37</v>
      </c>
      <c r="B120" s="192">
        <f>'Données projet'!D118</f>
        <v>36</v>
      </c>
      <c r="C120" s="203">
        <v>30</v>
      </c>
      <c r="D120" s="190">
        <f t="shared" si="8"/>
        <v>1080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1">
        <f>'Données projet'!A119</f>
        <v>44</v>
      </c>
      <c r="B121" s="192">
        <f>'Données projet'!D119</f>
        <v>43</v>
      </c>
      <c r="C121" s="203">
        <v>40</v>
      </c>
      <c r="D121" s="190">
        <f t="shared" si="8"/>
        <v>1720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1">
        <f>'Données projet'!A120</f>
        <v>52</v>
      </c>
      <c r="B122" s="192">
        <f>'Données projet'!D120</f>
        <v>48</v>
      </c>
      <c r="C122" s="203">
        <v>50</v>
      </c>
      <c r="D122" s="190">
        <f t="shared" si="8"/>
        <v>2400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1">
        <f>'Données projet'!A121</f>
        <v>60</v>
      </c>
      <c r="B123" s="192">
        <f>'Données projet'!D121</f>
        <v>47</v>
      </c>
      <c r="C123" s="203">
        <v>100</v>
      </c>
      <c r="D123" s="190">
        <f t="shared" si="8"/>
        <v>4700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1">
        <f>'Données projet'!A122</f>
        <v>69</v>
      </c>
      <c r="B124" s="192">
        <f>'Données projet'!D122</f>
        <v>328</v>
      </c>
      <c r="C124" s="203">
        <v>110</v>
      </c>
      <c r="D124" s="190">
        <f t="shared" si="8"/>
        <v>36080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1">
        <f>'Données projet'!A123</f>
        <v>0</v>
      </c>
      <c r="B125" s="192">
        <f>'Données projet'!D123</f>
        <v>0</v>
      </c>
      <c r="C125" s="203"/>
      <c r="D125" s="190">
        <f t="shared" si="8"/>
        <v>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1">
        <f>'Données projet'!A124</f>
        <v>0</v>
      </c>
      <c r="B126" s="192">
        <f>'Données projet'!D124</f>
        <v>0</v>
      </c>
      <c r="C126" s="203"/>
      <c r="D126" s="190">
        <f t="shared" si="8"/>
        <v>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1">
        <f>'Données projet'!A125</f>
        <v>0</v>
      </c>
      <c r="B127" s="192">
        <f>'Données projet'!D125</f>
        <v>0</v>
      </c>
      <c r="C127" s="203"/>
      <c r="D127" s="190">
        <f t="shared" si="8"/>
        <v>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1">
        <f>'Données projet'!A126</f>
        <v>0</v>
      </c>
      <c r="B128" s="192">
        <f>'Données projet'!D126</f>
        <v>0</v>
      </c>
      <c r="C128" s="203"/>
      <c r="D128" s="190">
        <f t="shared" si="8"/>
        <v>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1">
        <f>'Données projet'!A127</f>
        <v>0</v>
      </c>
      <c r="B129" s="192">
        <f>'Données projet'!D127</f>
        <v>0</v>
      </c>
      <c r="C129" s="203"/>
      <c r="D129" s="190">
        <f t="shared" si="8"/>
        <v>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1">
        <f>'Données projet'!A128</f>
        <v>0</v>
      </c>
      <c r="B130" s="192">
        <f>'Données projet'!D128</f>
        <v>0</v>
      </c>
      <c r="C130" s="203"/>
      <c r="D130" s="190">
        <f t="shared" si="8"/>
        <v>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1">
        <f>'Données projet'!A129</f>
        <v>0</v>
      </c>
      <c r="B131" s="192">
        <f>'Données projet'!D129</f>
        <v>0</v>
      </c>
      <c r="C131" s="203"/>
      <c r="D131" s="190">
        <f t="shared" si="8"/>
        <v>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1">
        <f>'Données projet'!A130</f>
        <v>0</v>
      </c>
      <c r="B132" s="192">
        <f>'Données projet'!D130</f>
        <v>0</v>
      </c>
      <c r="C132" s="203"/>
      <c r="D132" s="190">
        <f t="shared" si="8"/>
        <v>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1">
        <f>'Données projet'!A131</f>
        <v>0</v>
      </c>
      <c r="B133" s="192">
        <f>'Données projet'!D131</f>
        <v>0</v>
      </c>
      <c r="C133" s="203"/>
      <c r="D133" s="190">
        <f t="shared" si="8"/>
        <v>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1">
        <f>'Données projet'!A132</f>
        <v>0</v>
      </c>
      <c r="B134" s="192">
        <f>'Données projet'!D132</f>
        <v>0</v>
      </c>
      <c r="C134" s="203"/>
      <c r="D134" s="190">
        <f t="shared" si="8"/>
        <v>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1">
        <f>'Données projet'!A133</f>
        <v>0</v>
      </c>
      <c r="B135" s="192">
        <f>'Données projet'!D133</f>
        <v>0</v>
      </c>
      <c r="C135" s="203"/>
      <c r="D135" s="190">
        <f t="shared" si="8"/>
        <v>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5" t="str">
        <f>IF('Données projet'!B13="","",'Données projet'!B13)</f>
        <v/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6">
        <f>'Données projet'!D141</f>
        <v>0</v>
      </c>
      <c r="C148" s="203"/>
      <c r="D148" s="193">
        <f t="shared" ref="D148:D166" si="10">B148*C148</f>
        <v>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6">
        <f>'Données projet'!D142</f>
        <v>0</v>
      </c>
      <c r="C149" s="203"/>
      <c r="D149" s="193">
        <f t="shared" si="10"/>
        <v>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6">
        <f>'Données projet'!D143</f>
        <v>0</v>
      </c>
      <c r="C150" s="203"/>
      <c r="D150" s="193">
        <f t="shared" si="10"/>
        <v>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6">
        <f>'Données projet'!D144</f>
        <v>0</v>
      </c>
      <c r="C151" s="203"/>
      <c r="D151" s="193">
        <f t="shared" si="10"/>
        <v>0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6">
        <f>'Données projet'!D145</f>
        <v>0</v>
      </c>
      <c r="C152" s="203"/>
      <c r="D152" s="193">
        <f t="shared" si="10"/>
        <v>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6">
        <f>'Données projet'!D146</f>
        <v>0</v>
      </c>
      <c r="C153" s="203"/>
      <c r="D153" s="193">
        <f t="shared" si="10"/>
        <v>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6">
        <f>'Données projet'!D147</f>
        <v>0</v>
      </c>
      <c r="C154" s="203"/>
      <c r="D154" s="193">
        <f t="shared" si="10"/>
        <v>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6">
        <f>'Données projet'!D148</f>
        <v>0</v>
      </c>
      <c r="C155" s="203"/>
      <c r="D155" s="193">
        <f t="shared" si="10"/>
        <v>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6">
        <f>'Données projet'!D150</f>
        <v>0</v>
      </c>
      <c r="C157" s="203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5" t="str">
        <f>IF('Données projet'!B14="","",'Données projet'!B14)</f>
        <v/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1">
        <f>'Données projet'!A166</f>
        <v>0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1">
        <f>'Données projet'!A167</f>
        <v>0</v>
      </c>
      <c r="B179" s="192">
        <f>'Données projet'!D167</f>
        <v>0</v>
      </c>
      <c r="C179" s="205"/>
      <c r="D179" s="190">
        <f t="shared" ref="D179:D197" si="11">B179*C179</f>
        <v>0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1">
        <f>'Données projet'!A168</f>
        <v>0</v>
      </c>
      <c r="B180" s="192">
        <f>'Données projet'!D168</f>
        <v>0</v>
      </c>
      <c r="C180" s="205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1">
        <f>'Données projet'!A169</f>
        <v>0</v>
      </c>
      <c r="B181" s="192">
        <f>'Données projet'!D169</f>
        <v>0</v>
      </c>
      <c r="C181" s="205"/>
      <c r="D181" s="190">
        <f t="shared" si="11"/>
        <v>0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1">
        <f>'Données projet'!A170</f>
        <v>0</v>
      </c>
      <c r="B182" s="192">
        <f>'Données projet'!D170</f>
        <v>0</v>
      </c>
      <c r="C182" s="205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1">
        <f>'Données projet'!A171</f>
        <v>0</v>
      </c>
      <c r="B183" s="192">
        <f>'Données projet'!D171</f>
        <v>0</v>
      </c>
      <c r="C183" s="205"/>
      <c r="D183" s="190">
        <f t="shared" si="11"/>
        <v>0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1">
        <f>'Données projet'!A172</f>
        <v>0</v>
      </c>
      <c r="B184" s="192">
        <f>'Données projet'!D172</f>
        <v>0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1">
        <f>'Données projet'!A173</f>
        <v>0</v>
      </c>
      <c r="B185" s="192">
        <f>'Données projet'!D173</f>
        <v>0</v>
      </c>
      <c r="C185" s="205"/>
      <c r="D185" s="190">
        <f t="shared" si="11"/>
        <v>0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1">
        <f>'Données projet'!A174</f>
        <v>0</v>
      </c>
      <c r="B186" s="192">
        <f>'Données projet'!D174</f>
        <v>0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1">
        <f>'Données projet'!A175</f>
        <v>0</v>
      </c>
      <c r="B187" s="192">
        <f>'Données projet'!D175</f>
        <v>0</v>
      </c>
      <c r="C187" s="205"/>
      <c r="D187" s="190">
        <f t="shared" si="11"/>
        <v>0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1">
        <f>'Données projet'!A176</f>
        <v>0</v>
      </c>
      <c r="B188" s="192">
        <f>'Données projet'!D176</f>
        <v>0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1">
        <f>'Données projet'!A177</f>
        <v>0</v>
      </c>
      <c r="B189" s="192">
        <f>'Données projet'!D177</f>
        <v>0</v>
      </c>
      <c r="C189" s="205"/>
      <c r="D189" s="190">
        <f t="shared" si="11"/>
        <v>0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1">
        <f>'Données projet'!A178</f>
        <v>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1">
        <f>'Données projet'!A179</f>
        <v>0</v>
      </c>
      <c r="B191" s="192">
        <f>'Données projet'!D179</f>
        <v>0</v>
      </c>
      <c r="C191" s="205"/>
      <c r="D191" s="190">
        <f t="shared" si="11"/>
        <v>0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1">
        <f>'Données projet'!A180</f>
        <v>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1">
        <f>'Données projet'!A181</f>
        <v>0</v>
      </c>
      <c r="B193" s="192">
        <f>'Données projet'!D181</f>
        <v>0</v>
      </c>
      <c r="C193" s="205"/>
      <c r="D193" s="190">
        <f t="shared" si="11"/>
        <v>0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1">
        <f>'Données projet'!A182</f>
        <v>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1">
        <f>'Données projet'!A183</f>
        <v>0</v>
      </c>
      <c r="B195" s="192">
        <f>'Données projet'!D183</f>
        <v>0</v>
      </c>
      <c r="C195" s="205"/>
      <c r="D195" s="190">
        <f t="shared" si="11"/>
        <v>0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1">
        <f>'Données projet'!A184</f>
        <v>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1">
        <f>'Données projet'!A185</f>
        <v>0</v>
      </c>
      <c r="B197" s="192">
        <f>'Données projet'!D185</f>
        <v>0</v>
      </c>
      <c r="C197" s="205"/>
      <c r="D197" s="190">
        <f t="shared" si="11"/>
        <v>0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5" t="str">
        <f>IF('Données projet'!$B$15="","",'Données projet'!$B$15)</f>
        <v/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1">
        <f>'Données projet'!A192</f>
        <v>0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1">
        <f>'Données projet'!A193</f>
        <v>0</v>
      </c>
      <c r="B210" s="192">
        <f>'Données projet'!D193</f>
        <v>0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1">
        <f>'Données projet'!A194</f>
        <v>0</v>
      </c>
      <c r="B211" s="192">
        <f>'Données projet'!D194</f>
        <v>0</v>
      </c>
      <c r="C211" s="205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1">
        <f>'Données projet'!A195</f>
        <v>0</v>
      </c>
      <c r="B212" s="192">
        <f>'Données projet'!D195</f>
        <v>0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1">
        <f>'Données projet'!A196</f>
        <v>0</v>
      </c>
      <c r="B213" s="192">
        <f>'Données projet'!D196</f>
        <v>0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5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1">
        <f>'Données projet'!A218</f>
        <v>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1">
        <f>'Données projet'!A219</f>
        <v>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1">
        <f>'Données projet'!A220</f>
        <v>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1">
        <f>'Données projet'!A221</f>
        <v>0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1">
        <f>'Données projet'!A222</f>
        <v>0</v>
      </c>
      <c r="B244" s="192">
        <f>'Données projet'!D222</f>
        <v>0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5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1">
        <f>'Données projet'!A244</f>
        <v>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1">
        <f>'Données projet'!A245</f>
        <v>0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1">
        <f>'Données projet'!A246</f>
        <v>0</v>
      </c>
      <c r="B273" s="192">
        <f>'Données projet'!D246</f>
        <v>0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1">
        <f>'Données projet'!A247</f>
        <v>0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1">
        <f>'Données projet'!A248</f>
        <v>0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0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0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0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0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0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0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0"/>
      <c r="G396" s="70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0"/>
      <c r="G397" s="70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0"/>
      <c r="G398" s="70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0"/>
      <c r="G399" s="70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0"/>
      <c r="G400" s="70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0"/>
      <c r="G401" s="70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0"/>
      <c r="G402" s="70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0"/>
      <c r="G403" s="70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0"/>
      <c r="G404" s="70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0"/>
      <c r="G405" s="70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0"/>
      <c r="G406" s="70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0"/>
      <c r="G407" s="70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0"/>
      <c r="G408" s="70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0"/>
      <c r="G409" s="70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0"/>
      <c r="G410" s="70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0"/>
      <c r="G411" s="70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0"/>
      <c r="G412" s="70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0"/>
      <c r="G413" s="70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0"/>
      <c r="G414" s="70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0"/>
      <c r="G415" s="70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0"/>
      <c r="G416" s="70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0"/>
      <c r="G417" s="70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0"/>
      <c r="G418" s="70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0"/>
      <c r="G419" s="70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0"/>
      <c r="G420" s="70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0"/>
      <c r="G421" s="70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0"/>
      <c r="G422" s="70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0"/>
      <c r="G423" s="70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0"/>
      <c r="G424" s="70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0"/>
      <c r="G425" s="70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0"/>
      <c r="G426" s="70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0"/>
      <c r="G427" s="70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0"/>
      <c r="G428" s="70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0"/>
      <c r="G429" s="70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0"/>
      <c r="G430" s="70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0"/>
      <c r="G431" s="70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0"/>
      <c r="G432" s="70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0"/>
      <c r="G433" s="70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0"/>
      <c r="G434" s="70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0"/>
      <c r="G435" s="70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0"/>
      <c r="G436" s="70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0"/>
      <c r="G437" s="70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0"/>
      <c r="G438" s="70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0"/>
      <c r="G439" s="70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0"/>
      <c r="G440" s="70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0"/>
      <c r="G441" s="70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2023-09-15T11:55:51Z</dcterms:modified>
</cp:coreProperties>
</file>