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Forestarn\TEILLET (81) Mme Nicole GASC - SWC-AXA\Dossier déposé le 08 06 2023\"/>
    </mc:Choice>
  </mc:AlternateContent>
  <xr:revisionPtr revIDLastSave="0" documentId="13_ncr:1_{DC402637-A018-46BE-AF78-805DE3F23E24}" xr6:coauthVersionLast="36" xr6:coauthVersionMax="36" xr10:uidLastSave="{00000000-0000-0000-0000-000000000000}"/>
  <bookViews>
    <workbookView xWindow="0" yWindow="0" windowWidth="28800" windowHeight="11625" tabRatio="866" firstSheet="1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B157" i="2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HJ202" i="2"/>
  <c r="EY202" i="2"/>
  <c r="AX200" i="2"/>
  <c r="BC83" i="2" l="1" a="1"/>
  <c r="BC83" i="2" s="1"/>
  <c r="BC192" i="2" a="1"/>
  <c r="BC192" i="2" s="1"/>
  <c r="BC31" i="2" a="1"/>
  <c r="BC31" i="2" s="1"/>
  <c r="BC84" i="2" a="1"/>
  <c r="BC84" i="2" s="1"/>
  <c r="BC32" i="2" a="1"/>
  <c r="BC32" i="2" s="1"/>
  <c r="BC55" i="2" a="1"/>
  <c r="BC55" i="2" s="1"/>
  <c r="BC18" i="2" a="1"/>
  <c r="BC18" i="2" s="1"/>
  <c r="BC38" i="2" a="1"/>
  <c r="BC38" i="2" s="1"/>
  <c r="BC164" i="2" a="1"/>
  <c r="BC164" i="2" s="1"/>
  <c r="BC151" i="2" a="1"/>
  <c r="BC151" i="2" s="1"/>
  <c r="BC7" i="2" a="1"/>
  <c r="BC7" i="2" s="1"/>
  <c r="BD7" i="2" s="1"/>
  <c r="BC185" i="2" a="1"/>
  <c r="BC185" i="2" s="1"/>
  <c r="BC143" i="2" a="1"/>
  <c r="BC143" i="2" s="1"/>
  <c r="BC117" i="2" a="1"/>
  <c r="BC117" i="2" s="1"/>
  <c r="BC181" i="2" a="1"/>
  <c r="BC181" i="2" s="1"/>
  <c r="BC65" i="2" a="1"/>
  <c r="BC65" i="2" s="1"/>
  <c r="BC114" i="2" a="1"/>
  <c r="BC114" i="2" s="1"/>
  <c r="BC126" i="2" a="1"/>
  <c r="BC126" i="2" s="1"/>
  <c r="BC82" i="2" a="1"/>
  <c r="BC82" i="2" s="1"/>
  <c r="BC130" i="2" a="1"/>
  <c r="BC130" i="2" s="1"/>
  <c r="AH19" i="2" a="1"/>
  <c r="AH19" i="2" s="1"/>
  <c r="AH90" i="2" a="1"/>
  <c r="AH90" i="2" s="1"/>
  <c r="BC47" i="2" a="1"/>
  <c r="BC47" i="2" s="1"/>
  <c r="BX107" i="2" a="1"/>
  <c r="BX107" i="2" s="1"/>
  <c r="BC68" i="2" a="1"/>
  <c r="BC68" i="2" s="1"/>
  <c r="BC58" i="2" a="1"/>
  <c r="BC58" i="2" s="1"/>
  <c r="BC34" i="2" a="1"/>
  <c r="BC34" i="2" s="1"/>
  <c r="AH151" i="2" a="1"/>
  <c r="AH151" i="2" s="1"/>
  <c r="AH163" i="2" a="1"/>
  <c r="AH163" i="2" s="1"/>
  <c r="AH62" i="2" a="1"/>
  <c r="AH62" i="2" s="1"/>
  <c r="AH199" i="2" a="1"/>
  <c r="AH199" i="2" s="1"/>
  <c r="AH166" i="2" a="1"/>
  <c r="AH166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N203" i="2" s="1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M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I162" i="2" l="1"/>
  <c r="BI126" i="2"/>
  <c r="BI28" i="2"/>
  <c r="BI47" i="2"/>
  <c r="BI199" i="2"/>
  <c r="BI13" i="2"/>
  <c r="BI57" i="2"/>
  <c r="BI19" i="2"/>
  <c r="BI20" i="2"/>
  <c r="BI102" i="2"/>
  <c r="BI120" i="2"/>
  <c r="BI111" i="2"/>
  <c r="BI30" i="2"/>
  <c r="BI108" i="2"/>
  <c r="BI105" i="2"/>
  <c r="BI53" i="2"/>
  <c r="BI157" i="2"/>
  <c r="BI101" i="2"/>
  <c r="BI15" i="2"/>
  <c r="BI90" i="2"/>
  <c r="BI155" i="2"/>
  <c r="BI26" i="2"/>
  <c r="BI150" i="2"/>
  <c r="BI71" i="2"/>
  <c r="BI79" i="2"/>
  <c r="BI56" i="2"/>
  <c r="BI35" i="2"/>
  <c r="BI54" i="2"/>
  <c r="BI104" i="2"/>
  <c r="BI59" i="2"/>
  <c r="BI193" i="2"/>
  <c r="BI172" i="2"/>
  <c r="BI169" i="2"/>
  <c r="BI123" i="2"/>
  <c r="BI137" i="2"/>
  <c r="BI103" i="2"/>
  <c r="BI112" i="2"/>
  <c r="BI143" i="2"/>
  <c r="BI41" i="2"/>
  <c r="BI63" i="2"/>
  <c r="BI31" i="2"/>
  <c r="BI81" i="2"/>
  <c r="BI39" i="2"/>
  <c r="BI23" i="2"/>
  <c r="BI61" i="2"/>
  <c r="BI177" i="2"/>
  <c r="BI21" i="2"/>
  <c r="BI141" i="2"/>
  <c r="BI168" i="2"/>
  <c r="BI142" i="2"/>
  <c r="BI197" i="2"/>
  <c r="BI65" i="2"/>
  <c r="BI33" i="2"/>
  <c r="BI4" i="2"/>
  <c r="BI182" i="2"/>
  <c r="BI147" i="2"/>
  <c r="BI52" i="2"/>
  <c r="BI78" i="2"/>
  <c r="BI191" i="2"/>
  <c r="BI42" i="2"/>
  <c r="BI5" i="2"/>
  <c r="BI190" i="2"/>
  <c r="BI36" i="2"/>
  <c r="BI179" i="2"/>
  <c r="BI131" i="2"/>
  <c r="BI10" i="2"/>
  <c r="BI45" i="2"/>
  <c r="BI202" i="2"/>
  <c r="BI163" i="2"/>
  <c r="BI156" i="2"/>
  <c r="BI22" i="2"/>
  <c r="BI58" i="2"/>
  <c r="BI106" i="2"/>
  <c r="BI88" i="2"/>
  <c r="BI149" i="2"/>
  <c r="BI140" i="2"/>
  <c r="BI85" i="2"/>
  <c r="BI116" i="2"/>
  <c r="BI176" i="2"/>
  <c r="BI166" i="2"/>
  <c r="BI181" i="2"/>
  <c r="BI76" i="2"/>
  <c r="BI14" i="2"/>
  <c r="BI180" i="2"/>
  <c r="BI68" i="2"/>
  <c r="BI32" i="2"/>
  <c r="BI29" i="2"/>
  <c r="BI48" i="2"/>
  <c r="BI7" i="2"/>
  <c r="BI125" i="2"/>
  <c r="BI109" i="2"/>
  <c r="BI9" i="2"/>
  <c r="BI95" i="2"/>
  <c r="BI43" i="2"/>
  <c r="BI37" i="2"/>
  <c r="BI151" i="2"/>
  <c r="BI138" i="2"/>
  <c r="BI127" i="2"/>
  <c r="BI73" i="2"/>
  <c r="BI175" i="2"/>
  <c r="BI187" i="2"/>
  <c r="BI3" i="2"/>
  <c r="C8" i="4" s="1"/>
  <c r="E8" i="4" s="1"/>
  <c r="F8" i="4" s="1"/>
  <c r="G8" i="4" s="1"/>
  <c r="L8" i="4" s="1"/>
  <c r="M8" i="4" s="1"/>
  <c r="BI75" i="2"/>
  <c r="BI12" i="2"/>
  <c r="BI139" i="2"/>
  <c r="BI185" i="2"/>
  <c r="BI74" i="2"/>
  <c r="BI124" i="2"/>
  <c r="BI188" i="2"/>
  <c r="BI160" i="2"/>
  <c r="BI99" i="2"/>
  <c r="BI51" i="2"/>
  <c r="BI130" i="2"/>
  <c r="BI92" i="2"/>
  <c r="BI18" i="2"/>
  <c r="BI200" i="2"/>
  <c r="BI77" i="2"/>
  <c r="BI159" i="2"/>
  <c r="BI82" i="2"/>
  <c r="BI146" i="2"/>
  <c r="BI70" i="2"/>
  <c r="BI84" i="2"/>
  <c r="BI119" i="2"/>
  <c r="BI178" i="2"/>
  <c r="BI86" i="2"/>
  <c r="BI195" i="2"/>
  <c r="BI152" i="2"/>
  <c r="BI186" i="2"/>
  <c r="BI170" i="2"/>
  <c r="BI122" i="2"/>
  <c r="BI89" i="2"/>
  <c r="BI100" i="2"/>
  <c r="BI129" i="2"/>
  <c r="BI72" i="2"/>
  <c r="BI11" i="2"/>
  <c r="BI174" i="2"/>
  <c r="BI69" i="2"/>
  <c r="BI97" i="2"/>
  <c r="BI144" i="2"/>
  <c r="BI107" i="2"/>
  <c r="BI196" i="2"/>
  <c r="BI94" i="2"/>
  <c r="BI46" i="2"/>
  <c r="BI145" i="2"/>
  <c r="BI161" i="2"/>
  <c r="BI189" i="2"/>
  <c r="BI34" i="2"/>
  <c r="BI154" i="2"/>
  <c r="BI173" i="2"/>
  <c r="BI67" i="2"/>
  <c r="BI128" i="2"/>
  <c r="BI16" i="2"/>
  <c r="BI158" i="2"/>
  <c r="BI64" i="2"/>
  <c r="BI117" i="2"/>
  <c r="BI113" i="2"/>
  <c r="BI192" i="2"/>
  <c r="BI164" i="2"/>
  <c r="BI93" i="2"/>
  <c r="BI8" i="2"/>
  <c r="BI24" i="2"/>
  <c r="BI83" i="2"/>
  <c r="BI198" i="2"/>
  <c r="BI80" i="2"/>
  <c r="BI136" i="2"/>
  <c r="BI44" i="2"/>
  <c r="BI96" i="2"/>
  <c r="BI55" i="2"/>
  <c r="BI40" i="2"/>
  <c r="BI27" i="2"/>
  <c r="BI135" i="2"/>
  <c r="BI148" i="2"/>
  <c r="BI6" i="2"/>
  <c r="BI17" i="2"/>
  <c r="BI114" i="2"/>
  <c r="BI91" i="2"/>
  <c r="BI49" i="2"/>
  <c r="BI118" i="2"/>
  <c r="BI171" i="2"/>
  <c r="BI134" i="2"/>
  <c r="BI115" i="2"/>
  <c r="BI153" i="2"/>
  <c r="BI194" i="2"/>
  <c r="BI62" i="2"/>
  <c r="BI50" i="2"/>
  <c r="BI66" i="2"/>
  <c r="BI38" i="2"/>
  <c r="BI60" i="2"/>
  <c r="BI167" i="2"/>
  <c r="BI121" i="2"/>
  <c r="BI203" i="2"/>
  <c r="BI132" i="2"/>
  <c r="BI133" i="2"/>
  <c r="BI201" i="2"/>
  <c r="BI98" i="2"/>
  <c r="BI165" i="2"/>
  <c r="BI183" i="2"/>
  <c r="BI110" i="2"/>
  <c r="BI25" i="2"/>
  <c r="BI87" i="2"/>
  <c r="BI184" i="2"/>
  <c r="BF124" i="2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M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<sst xmlns="http://schemas.openxmlformats.org/spreadsheetml/2006/main" count="1169" uniqueCount="324">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</sst>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1.5630855774068424</c:v>
                </c:pt>
                <c:pt idx="2">
                  <c:v>1.9941405754104276</c:v>
                </c:pt>
                <c:pt idx="3">
                  <c:v>2.5445505069102112</c:v>
                </c:pt>
                <c:pt idx="4">
                  <c:v>3.2474898112455457</c:v>
                </c:pt>
                <c:pt idx="5">
                  <c:v>4.1453866021713255</c:v>
                </c:pt>
                <c:pt idx="6">
                  <c:v>5.292512436219778</c:v>
                </c:pt>
                <c:pt idx="7">
                  <c:v>6.7582990763748976</c:v>
                </c:pt>
                <c:pt idx="8">
                  <c:v>8.631586902833817</c:v>
                </c:pt>
                <c:pt idx="9">
                  <c:v>11.026067379669733</c:v>
                </c:pt>
                <c:pt idx="10">
                  <c:v>14.087256081165423</c:v>
                </c:pt>
                <c:pt idx="11">
                  <c:v>18.001427845645381</c:v>
                </c:pt>
                <c:pt idx="12">
                  <c:v>23.00706760422047</c:v>
                </c:pt>
                <c:pt idx="13">
                  <c:v>29.409546962764335</c:v>
                </c:pt>
                <c:pt idx="14">
                  <c:v>37.599937503570509</c:v>
                </c:pt>
                <c:pt idx="15">
                  <c:v>48.079129612237985</c:v>
                </c:pt>
                <c:pt idx="16">
                  <c:v>61.488756600822086</c:v>
                </c:pt>
                <c:pt idx="17">
                  <c:v>78.650848767435647</c:v>
                </c:pt>
                <c:pt idx="18">
                  <c:v>100.61868749558056</c:v>
                </c:pt>
                <c:pt idx="19">
                  <c:v>128.7420298420451</c:v>
                </c:pt>
                <c:pt idx="20">
                  <c:v>164.75077334312192</c:v>
                </c:pt>
                <c:pt idx="21">
                  <c:v>174.09395685591758</c:v>
                </c:pt>
                <c:pt idx="22">
                  <c:v>183.42535972935536</c:v>
                </c:pt>
                <c:pt idx="23">
                  <c:v>192.7456664489298</c:v>
                </c:pt>
                <c:pt idx="24">
                  <c:v>202.05548980820535</c:v>
                </c:pt>
                <c:pt idx="25">
                  <c:v>211.35538144796087</c:v>
                </c:pt>
                <c:pt idx="26">
                  <c:v>220.64584044043249</c:v>
                </c:pt>
                <c:pt idx="27">
                  <c:v>229.92732035004965</c:v>
                </c:pt>
                <c:pt idx="28">
                  <c:v>239.20023509293392</c:v>
                </c:pt>
                <c:pt idx="29">
                  <c:v>248.46496383915073</c:v>
                </c:pt>
                <c:pt idx="30">
                  <c:v>257.72185514470976</c:v>
                </c:pt>
                <c:pt idx="31">
                  <c:v>267.77517870928619</c:v>
                </c:pt>
                <c:pt idx="32">
                  <c:v>277.82000253977026</c:v>
                </c:pt>
                <c:pt idx="33">
                  <c:v>287.85667749117096</c:v>
                </c:pt>
                <c:pt idx="34">
                  <c:v>297.8855279367562</c:v>
                </c:pt>
                <c:pt idx="35">
                  <c:v>307.90685461043853</c:v>
                </c:pt>
                <c:pt idx="36">
                  <c:v>317.92093705953039</c:v>
                </c:pt>
                <c:pt idx="37">
                  <c:v>327.9280357721243</c:v>
                </c:pt>
                <c:pt idx="38">
                  <c:v>337.92839403108059</c:v>
                </c:pt>
                <c:pt idx="39">
                  <c:v>347.92223953697516</c:v>
                </c:pt>
                <c:pt idx="40">
                  <c:v>357.90978583474572</c:v>
                </c:pt>
                <c:pt idx="41">
                  <c:v>281.33374857482306</c:v>
                </c:pt>
                <c:pt idx="42">
                  <c:v>292.87206145774769</c:v>
                </c:pt>
                <c:pt idx="43">
                  <c:v>304.4002281922775</c:v>
                </c:pt>
                <c:pt idx="44">
                  <c:v>315.91868734548348</c:v>
                </c:pt>
                <c:pt idx="45">
                  <c:v>327.42784287888759</c:v>
                </c:pt>
                <c:pt idx="46">
                  <c:v>338.92806802551439</c:v>
                </c:pt>
                <c:pt idx="47">
                  <c:v>350.41970861300121</c:v>
                </c:pt>
                <c:pt idx="48">
                  <c:v>361.90308592785351</c:v>
                </c:pt>
                <c:pt idx="49">
                  <c:v>373.37849919705508</c:v>
                </c:pt>
                <c:pt idx="50">
                  <c:v>384.84622774857962</c:v>
                </c:pt>
                <c:pt idx="51">
                  <c:v>398.29889002851684</c:v>
                </c:pt>
                <c:pt idx="52">
                  <c:v>411.74171584285909</c:v>
                </c:pt>
                <c:pt idx="53">
                  <c:v>425.17507157110907</c:v>
                </c:pt>
                <c:pt idx="54">
                  <c:v>438.59929855364607</c:v>
                </c:pt>
                <c:pt idx="55">
                  <c:v>452.01471553305851</c:v>
                </c:pt>
                <c:pt idx="56">
                  <c:v>465.4216207905576</c:v>
                </c:pt>
                <c:pt idx="57">
                  <c:v>478.82029402342147</c:v>
                </c:pt>
                <c:pt idx="58">
                  <c:v>492.21099800137659</c:v>
                </c:pt>
                <c:pt idx="59">
                  <c:v>505.59398003337168</c:v>
                </c:pt>
                <c:pt idx="60">
                  <c:v>518.96947327099531</c:v>
                </c:pt>
                <c:pt idx="61">
                  <c:v>433.13125009429888</c:v>
                </c:pt>
                <c:pt idx="62">
                  <c:v>448.53747345882579</c:v>
                </c:pt>
                <c:pt idx="63">
                  <c:v>463.93237613431779</c:v>
                </c:pt>
                <c:pt idx="64">
                  <c:v>479.31638656594299</c:v>
                </c:pt>
                <c:pt idx="65">
                  <c:v>494.68990346234278</c:v>
                </c:pt>
                <c:pt idx="66">
                  <c:v>510.05329873866975</c:v>
                </c:pt>
                <c:pt idx="67">
                  <c:v>525.40692008667054</c:v>
                </c:pt>
                <c:pt idx="68">
                  <c:v>540.7510932288169</c:v>
                </c:pt>
                <c:pt idx="69">
                  <c:v>556.08612390336521</c:v>
                </c:pt>
                <c:pt idx="70">
                  <c:v>571.41229961914621</c:v>
                </c:pt>
                <c:pt idx="71">
                  <c:v>476.33966710128726</c:v>
                </c:pt>
                <c:pt idx="72">
                  <c:v>493.20259187340275</c:v>
                </c:pt>
                <c:pt idx="73">
                  <c:v>510.05329873866975</c:v>
                </c:pt>
                <c:pt idx="74">
                  <c:v>526.89224796595784</c:v>
                </c:pt>
                <c:pt idx="75">
                  <c:v>543.71986802143499</c:v>
                </c:pt>
                <c:pt idx="76">
                  <c:v>560.53655870248667</c:v>
                </c:pt>
                <c:pt idx="77">
                  <c:v>577.34269387615848</c:v>
                </c:pt>
                <c:pt idx="78">
                  <c:v>594.13862388231712</c:v>
                </c:pt>
                <c:pt idx="79">
                  <c:v>610.92467765108313</c:v>
                </c:pt>
                <c:pt idx="80">
                  <c:v>627.7011645755814</c:v>
                </c:pt>
                <c:pt idx="81">
                  <c:v>522.43599863349357</c:v>
                </c:pt>
                <c:pt idx="82">
                  <c:v>539.76142564164627</c:v>
                </c:pt>
                <c:pt idx="83">
                  <c:v>557.07517366526417</c:v>
                </c:pt>
                <c:pt idx="84">
                  <c:v>574.37765656188185</c:v>
                </c:pt>
                <c:pt idx="85">
                  <c:v>591.66926123844598</c:v>
                </c:pt>
                <c:pt idx="86">
                  <c:v>608.9503501588116</c:v>
                </c:pt>
                <c:pt idx="87">
                  <c:v>626.22126355197076</c:v>
                </c:pt>
                <c:pt idx="88">
                  <c:v>643.48232136416652</c:v>
                </c:pt>
                <c:pt idx="89">
                  <c:v>660.73382499079833</c:v>
                </c:pt>
                <c:pt idx="90">
                  <c:v>677.97605881818208</c:v>
                </c:pt>
                <c:pt idx="91">
                  <c:v>563.00870251947458</c:v>
                </c:pt>
                <c:pt idx="92">
                  <c:v>581.29558299844405</c:v>
                </c:pt>
                <c:pt idx="93">
                  <c:v>599.57047141581245</c:v>
                </c:pt>
                <c:pt idx="94">
                  <c:v>617.83378446799827</c:v>
                </c:pt>
                <c:pt idx="95">
                  <c:v>636.08591222734628</c:v>
                </c:pt>
                <c:pt idx="96">
                  <c:v>654.32722057391766</c:v>
                </c:pt>
                <c:pt idx="97">
                  <c:v>672.55805334220952</c:v>
                </c:pt>
                <c:pt idx="98">
                  <c:v>690.77873422319624</c:v>
                </c:pt>
                <c:pt idx="99">
                  <c:v>708.98956845542261</c:v>
                </c:pt>
                <c:pt idx="100">
                  <c:v>727.19084433347155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1.9951072854316962</c:v>
                </c:pt>
                <c:pt idx="2">
                  <c:v>2.5667422007919742</c:v>
                </c:pt>
                <c:pt idx="3">
                  <c:v>3.3028222138236161</c:v>
                </c:pt>
                <c:pt idx="4">
                  <c:v>4.2508335717683972</c:v>
                </c:pt>
                <c:pt idx="5">
                  <c:v>5.4720234962282985</c:v>
                </c:pt>
                <c:pt idx="6">
                  <c:v>7.0454010302000478</c:v>
                </c:pt>
                <c:pt idx="7">
                  <c:v>9.0729045949774356</c:v>
                </c:pt>
                <c:pt idx="8">
                  <c:v>11.686077426646891</c:v>
                </c:pt>
                <c:pt idx="9">
                  <c:v>15.054692077283761</c:v>
                </c:pt>
                <c:pt idx="10">
                  <c:v>19.397894567888933</c:v>
                </c:pt>
                <c:pt idx="11">
                  <c:v>24.998606220625785</c:v>
                </c:pt>
                <c:pt idx="12">
                  <c:v>32.222137881090447</c:v>
                </c:pt>
                <c:pt idx="13">
                  <c:v>41.54025167725414</c:v>
                </c:pt>
                <c:pt idx="14">
                  <c:v>53.56226844352517</c:v>
                </c:pt>
                <c:pt idx="15">
                  <c:v>69.075288808613962</c:v>
                </c:pt>
                <c:pt idx="16">
                  <c:v>89.096204237561849</c:v>
                </c:pt>
                <c:pt idx="17">
                  <c:v>114.93896188205872</c:v>
                </c:pt>
                <c:pt idx="18">
                  <c:v>148.30156685454077</c:v>
                </c:pt>
                <c:pt idx="19">
                  <c:v>130.91926315364825</c:v>
                </c:pt>
                <c:pt idx="20">
                  <c:v>148.73547386114751</c:v>
                </c:pt>
                <c:pt idx="21">
                  <c:v>166.50072957530213</c:v>
                </c:pt>
                <c:pt idx="22">
                  <c:v>184.22123662819629</c:v>
                </c:pt>
                <c:pt idx="23">
                  <c:v>201.90190730491364</c:v>
                </c:pt>
                <c:pt idx="24">
                  <c:v>219.54672196983498</c:v>
                </c:pt>
                <c:pt idx="25">
                  <c:v>187.0268148001596</c:v>
                </c:pt>
                <c:pt idx="26">
                  <c:v>203.62487343629971</c:v>
                </c:pt>
                <c:pt idx="27">
                  <c:v>220.19162819449528</c:v>
                </c:pt>
                <c:pt idx="28">
                  <c:v>236.72976621924911</c:v>
                </c:pt>
                <c:pt idx="29">
                  <c:v>253.24156826986064</c:v>
                </c:pt>
                <c:pt idx="30">
                  <c:v>269.72899324208112</c:v>
                </c:pt>
                <c:pt idx="31">
                  <c:v>223.02870207461862</c:v>
                </c:pt>
                <c:pt idx="32">
                  <c:v>236.81560804160608</c:v>
                </c:pt>
                <c:pt idx="33">
                  <c:v>250.58421937612471</c:v>
                </c:pt>
                <c:pt idx="34">
                  <c:v>264.33568316091396</c:v>
                </c:pt>
                <c:pt idx="35">
                  <c:v>278.0710173254069</c:v>
                </c:pt>
                <c:pt idx="36">
                  <c:v>291.79113098496725</c:v>
                </c:pt>
                <c:pt idx="37">
                  <c:v>305.49684075132535</c:v>
                </c:pt>
                <c:pt idx="38">
                  <c:v>319.18888396087686</c:v>
                </c:pt>
                <c:pt idx="39">
                  <c:v>332.86792951319143</c:v>
                </c:pt>
                <c:pt idx="40">
                  <c:v>346.53458683392802</c:v>
                </c:pt>
                <c:pt idx="41">
                  <c:v>292.68819813988773</c:v>
                </c:pt>
                <c:pt idx="42">
                  <c:v>302.80803515574286</c:v>
                </c:pt>
                <c:pt idx="43">
                  <c:v>312.92034803081702</c:v>
                </c:pt>
                <c:pt idx="44">
                  <c:v>323.02541433745813</c:v>
                </c:pt>
                <c:pt idx="45">
                  <c:v>333.12349285380191</c:v>
                </c:pt>
                <c:pt idx="46">
                  <c:v>343.21482537977403</c:v>
                </c:pt>
                <c:pt idx="47">
                  <c:v>353.29963832825234</c:v>
                </c:pt>
                <c:pt idx="48">
                  <c:v>363.37814412498386</c:v>
                </c:pt>
                <c:pt idx="49">
                  <c:v>373.45054244501836</c:v>
                </c:pt>
                <c:pt idx="50">
                  <c:v>383.51702130873815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2.7230187432202917</c:v>
                </c:pt>
                <c:pt idx="2">
                  <c:v>3.209337976607936</c:v>
                </c:pt>
                <c:pt idx="3">
                  <c:v>3.7828300891783795</c:v>
                </c:pt>
                <c:pt idx="4">
                  <c:v>4.459174737767909</c:v>
                </c:pt>
                <c:pt idx="5">
                  <c:v>5.2568809438883566</c:v>
                </c:pt>
                <c:pt idx="6">
                  <c:v>6.1977991746015464</c:v>
                </c:pt>
                <c:pt idx="7">
                  <c:v>7.3077263597114817</c:v>
                </c:pt>
                <c:pt idx="8">
                  <c:v>8.6171207547947688</c:v>
                </c:pt>
                <c:pt idx="9">
                  <c:v>10.161946643350502</c:v>
                </c:pt>
                <c:pt idx="10">
                  <c:v>11.984672518674538</c:v>
                </c:pt>
                <c:pt idx="11">
                  <c:v>14.135450700137341</c:v>
                </c:pt>
                <c:pt idx="12">
                  <c:v>16.673511441484454</c:v>
                </c:pt>
                <c:pt idx="13">
                  <c:v>19.668810625100239</c:v>
                </c:pt>
                <c:pt idx="14">
                  <c:v>23.203977276915577</c:v>
                </c:pt>
                <c:pt idx="15">
                  <c:v>27.376615584226887</c:v>
                </c:pt>
                <c:pt idx="16">
                  <c:v>32.302026092718499</c:v>
                </c:pt>
                <c:pt idx="17">
                  <c:v>38.11642258302998</c:v>
                </c:pt>
                <c:pt idx="18">
                  <c:v>44.980735116955863</c:v>
                </c:pt>
                <c:pt idx="19">
                  <c:v>53.085106296146058</c:v>
                </c:pt>
                <c:pt idx="20">
                  <c:v>62.654207362334567</c:v>
                </c:pt>
                <c:pt idx="21">
                  <c:v>73.953523944453949</c:v>
                </c:pt>
                <c:pt idx="22">
                  <c:v>87.2967886836296</c:v>
                </c:pt>
                <c:pt idx="23">
                  <c:v>103.0547704223186</c:v>
                </c:pt>
                <c:pt idx="24">
                  <c:v>121.66566805259345</c:v>
                </c:pt>
                <c:pt idx="25">
                  <c:v>143.6474025745157</c:v>
                </c:pt>
                <c:pt idx="26">
                  <c:v>141.67594470663133</c:v>
                </c:pt>
                <c:pt idx="27">
                  <c:v>155.46288225618903</c:v>
                </c:pt>
                <c:pt idx="28">
                  <c:v>169.22076873606747</c:v>
                </c:pt>
                <c:pt idx="29">
                  <c:v>182.95230030612535</c:v>
                </c:pt>
                <c:pt idx="30">
                  <c:v>196.65973476943884</c:v>
                </c:pt>
                <c:pt idx="31">
                  <c:v>170.79137460696458</c:v>
                </c:pt>
                <c:pt idx="32">
                  <c:v>186.08747857758416</c:v>
                </c:pt>
                <c:pt idx="33">
                  <c:v>201.35423252127552</c:v>
                </c:pt>
                <c:pt idx="34">
                  <c:v>216.59417586765153</c:v>
                </c:pt>
                <c:pt idx="35">
                  <c:v>231.8094611658297</c:v>
                </c:pt>
                <c:pt idx="36">
                  <c:v>207.21879690654114</c:v>
                </c:pt>
                <c:pt idx="37">
                  <c:v>223.61956111075634</c:v>
                </c:pt>
                <c:pt idx="38">
                  <c:v>239.99275146392384</c:v>
                </c:pt>
                <c:pt idx="39">
                  <c:v>256.34051411178768</c:v>
                </c:pt>
                <c:pt idx="40">
                  <c:v>272.6646989766358</c:v>
                </c:pt>
                <c:pt idx="41">
                  <c:v>248.16968942779488</c:v>
                </c:pt>
                <c:pt idx="42">
                  <c:v>264.50544806917611</c:v>
                </c:pt>
                <c:pt idx="43">
                  <c:v>280.81846105391611</c:v>
                </c:pt>
                <c:pt idx="44">
                  <c:v>297.11023564036316</c:v>
                </c:pt>
                <c:pt idx="45">
                  <c:v>313.38210026249641</c:v>
                </c:pt>
                <c:pt idx="46">
                  <c:v>288.96691630985219</c:v>
                </c:pt>
                <c:pt idx="47">
                  <c:v>305.24857979967953</c:v>
                </c:pt>
                <c:pt idx="48">
                  <c:v>321.51093999187805</c:v>
                </c:pt>
                <c:pt idx="49">
                  <c:v>337.75511058999291</c:v>
                </c:pt>
                <c:pt idx="50">
                  <c:v>353.9820894286774</c:v>
                </c:pt>
                <c:pt idx="51">
                  <c:v>328.86168411801799</c:v>
                </c:pt>
                <c:pt idx="52">
                  <c:v>344.32519168762178</c:v>
                </c:pt>
                <c:pt idx="53">
                  <c:v>359.77344653568485</c:v>
                </c:pt>
                <c:pt idx="54">
                  <c:v>375.2071957314734</c:v>
                </c:pt>
                <c:pt idx="55">
                  <c:v>390.62711987432004</c:v>
                </c:pt>
                <c:pt idx="56">
                  <c:v>364.79097187788199</c:v>
                </c:pt>
                <c:pt idx="57">
                  <c:v>379.44902568382531</c:v>
                </c:pt>
                <c:pt idx="58">
                  <c:v>394.09476222315919</c:v>
                </c:pt>
                <c:pt idx="59">
                  <c:v>408.72870365690943</c:v>
                </c:pt>
                <c:pt idx="60">
                  <c:v>423.35133170920335</c:v>
                </c:pt>
                <c:pt idx="61">
                  <c:v>396.40615590256044</c:v>
                </c:pt>
                <c:pt idx="62">
                  <c:v>409.88352694182049</c:v>
                </c:pt>
                <c:pt idx="63">
                  <c:v>423.35133170920335</c:v>
                </c:pt>
                <c:pt idx="64">
                  <c:v>436.8099173851615</c:v>
                </c:pt>
                <c:pt idx="65">
                  <c:v>450.25960801246742</c:v>
                </c:pt>
                <c:pt idx="66">
                  <c:v>422.96666682108616</c:v>
                </c:pt>
                <c:pt idx="67">
                  <c:v>436.04109794385869</c:v>
                </c:pt>
                <c:pt idx="68">
                  <c:v>449.10711821530089</c:v>
                </c:pt>
                <c:pt idx="69">
                  <c:v>462.16500679362139</c:v>
                </c:pt>
                <c:pt idx="70">
                  <c:v>475.21502577729046</c:v>
                </c:pt>
                <c:pt idx="71">
                  <c:v>447.18616113243934</c:v>
                </c:pt>
                <c:pt idx="72">
                  <c:v>459.47726966137287</c:v>
                </c:pt>
                <c:pt idx="73">
                  <c:v>471.76136070205121</c:v>
                </c:pt>
                <c:pt idx="74">
                  <c:v>484.03864272240349</c:v>
                </c:pt>
                <c:pt idx="75">
                  <c:v>496.30931275327725</c:v>
                </c:pt>
                <c:pt idx="76">
                  <c:v>475.59873329316855</c:v>
                </c:pt>
                <c:pt idx="77">
                  <c:v>495.1592132101195</c:v>
                </c:pt>
                <c:pt idx="78">
                  <c:v>514.70332559574524</c:v>
                </c:pt>
                <c:pt idx="79">
                  <c:v>534.23177896582104</c:v>
                </c:pt>
                <c:pt idx="80">
                  <c:v>553.74522585166335</c:v>
                </c:pt>
                <c:pt idx="81">
                  <c:v>524.2780117454289</c:v>
                </c:pt>
                <c:pt idx="82">
                  <c:v>534.99729079736971</c:v>
                </c:pt>
                <c:pt idx="83">
                  <c:v>545.71205481970969</c:v>
                </c:pt>
                <c:pt idx="84">
                  <c:v>556.42240495340059</c:v>
                </c:pt>
                <c:pt idx="85">
                  <c:v>567.12843812854408</c:v>
                </c:pt>
                <c:pt idx="86">
                  <c:v>537.29368823845255</c:v>
                </c:pt>
                <c:pt idx="87">
                  <c:v>547.62493821970611</c:v>
                </c:pt>
                <c:pt idx="88">
                  <c:v>557.95210035753485</c:v>
                </c:pt>
                <c:pt idx="89">
                  <c:v>568.27526097606221</c:v>
                </c:pt>
                <c:pt idx="90">
                  <c:v>578.59450300758806</c:v>
                </c:pt>
                <c:pt idx="91">
                  <c:v>548.00749806060503</c:v>
                </c:pt>
                <c:pt idx="92">
                  <c:v>557.56968475025803</c:v>
                </c:pt>
                <c:pt idx="93">
                  <c:v>567.12843812854396</c:v>
                </c:pt>
                <c:pt idx="94">
                  <c:v>576.68382422111188</c:v>
                </c:pt>
                <c:pt idx="95">
                  <c:v>586.2359066871885</c:v>
                </c:pt>
                <c:pt idx="96">
                  <c:v>555.27507560336085</c:v>
                </c:pt>
                <c:pt idx="97">
                  <c:v>564.45232939981622</c:v>
                </c:pt>
                <c:pt idx="98">
                  <c:v>573.62646310732669</c:v>
                </c:pt>
                <c:pt idx="99">
                  <c:v>582.79753366275293</c:v>
                </c:pt>
                <c:pt idx="100">
                  <c:v>591.96559606486528</c:v>
                </c:pt>
                <c:pt idx="101">
                  <c:v>560.24647888927916</c:v>
                </c:pt>
                <c:pt idx="102">
                  <c:v>568.65752450320417</c:v>
                </c:pt>
                <c:pt idx="103">
                  <c:v>577.06597053344137</c:v>
                </c:pt>
                <c:pt idx="104">
                  <c:v>585.47186020306481</c:v>
                </c:pt>
                <c:pt idx="105">
                  <c:v>593.87523539269284</c:v>
                </c:pt>
                <c:pt idx="106">
                  <c:v>563.68767821983909</c:v>
                </c:pt>
                <c:pt idx="107">
                  <c:v>571.71543971696565</c:v>
                </c:pt>
                <c:pt idx="108">
                  <c:v>579.74084706072097</c:v>
                </c:pt>
                <c:pt idx="109">
                  <c:v>587.76393743921199</c:v>
                </c:pt>
                <c:pt idx="110">
                  <c:v>595.7847469423931</c:v>
                </c:pt>
                <c:pt idx="111">
                  <c:v>566.7461530768777</c:v>
                </c:pt>
                <c:pt idx="112">
                  <c:v>574.00865181610436</c:v>
                </c:pt>
                <c:pt idx="113">
                  <c:v>581.26923226505437</c:v>
                </c:pt>
                <c:pt idx="114">
                  <c:v>588.52792176870946</c:v>
                </c:pt>
                <c:pt idx="115">
                  <c:v>595.7847469423931</c:v>
                </c:pt>
                <c:pt idx="116">
                  <c:v>568.27526097606199</c:v>
                </c:pt>
                <c:pt idx="117">
                  <c:v>575.15518607669253</c:v>
                </c:pt>
                <c:pt idx="118">
                  <c:v>582.03339342401432</c:v>
                </c:pt>
                <c:pt idx="119">
                  <c:v>588.90990618526166</c:v>
                </c:pt>
                <c:pt idx="120">
                  <c:v>595.78474694239333</c:v>
                </c:pt>
                <c:pt idx="121">
                  <c:v>2.8617333882306215E-12</c:v>
                </c:pt>
                <c:pt idx="122">
                  <c:v>2.8617333882306215E-12</c:v>
                </c:pt>
                <c:pt idx="123">
                  <c:v>2.8617333882306215E-12</c:v>
                </c:pt>
                <c:pt idx="124">
                  <c:v>2.8617333882306215E-12</c:v>
                </c:pt>
                <c:pt idx="125">
                  <c:v>2.8617333882306215E-12</c:v>
                </c:pt>
                <c:pt idx="126">
                  <c:v>2.8617333882306215E-12</c:v>
                </c:pt>
                <c:pt idx="127">
                  <c:v>2.8617333882306215E-12</c:v>
                </c:pt>
                <c:pt idx="128">
                  <c:v>2.8617333882306215E-12</c:v>
                </c:pt>
                <c:pt idx="129">
                  <c:v>2.8617333882306215E-12</c:v>
                </c:pt>
                <c:pt idx="130">
                  <c:v>2.8617333882306215E-12</c:v>
                </c:pt>
                <c:pt idx="131">
                  <c:v>2.8617333882306215E-12</c:v>
                </c:pt>
                <c:pt idx="132">
                  <c:v>2.8617333882306215E-12</c:v>
                </c:pt>
                <c:pt idx="133">
                  <c:v>2.8617333882306215E-12</c:v>
                </c:pt>
                <c:pt idx="134">
                  <c:v>2.8617333882306215E-12</c:v>
                </c:pt>
                <c:pt idx="135">
                  <c:v>2.8617333882306215E-12</c:v>
                </c:pt>
                <c:pt idx="136">
                  <c:v>2.8617333882306215E-12</c:v>
                </c:pt>
                <c:pt idx="137">
                  <c:v>2.8617333882306215E-12</c:v>
                </c:pt>
                <c:pt idx="138">
                  <c:v>2.8617333882306215E-12</c:v>
                </c:pt>
                <c:pt idx="139">
                  <c:v>2.8617333882306215E-12</c:v>
                </c:pt>
                <c:pt idx="140">
                  <c:v>2.8617333882306215E-12</c:v>
                </c:pt>
                <c:pt idx="141">
                  <c:v>2.8617333882306215E-12</c:v>
                </c:pt>
                <c:pt idx="142">
                  <c:v>2.8617333882306215E-12</c:v>
                </c:pt>
                <c:pt idx="143">
                  <c:v>2.8617333882306215E-12</c:v>
                </c:pt>
                <c:pt idx="144">
                  <c:v>2.8617333882306215E-12</c:v>
                </c:pt>
                <c:pt idx="145">
                  <c:v>2.8617333882306215E-12</c:v>
                </c:pt>
                <c:pt idx="146">
                  <c:v>2.8617333882306215E-12</c:v>
                </c:pt>
                <c:pt idx="147">
                  <c:v>2.8617333882306215E-12</c:v>
                </c:pt>
                <c:pt idx="148">
                  <c:v>2.8617333882306215E-12</c:v>
                </c:pt>
                <c:pt idx="149">
                  <c:v>2.8617333882306215E-12</c:v>
                </c:pt>
                <c:pt idx="150">
                  <c:v>2.8617333882306215E-12</c:v>
                </c:pt>
                <c:pt idx="151">
                  <c:v>2.8617333882306215E-12</c:v>
                </c:pt>
                <c:pt idx="152">
                  <c:v>2.8617333882306215E-12</c:v>
                </c:pt>
                <c:pt idx="153">
                  <c:v>2.8617333882306215E-12</c:v>
                </c:pt>
                <c:pt idx="154">
                  <c:v>2.8617333882306215E-12</c:v>
                </c:pt>
                <c:pt idx="155">
                  <c:v>2.8617333882306215E-12</c:v>
                </c:pt>
                <c:pt idx="156">
                  <c:v>2.8617333882306215E-12</c:v>
                </c:pt>
                <c:pt idx="157">
                  <c:v>2.8617333882306215E-12</c:v>
                </c:pt>
                <c:pt idx="158">
                  <c:v>2.8617333882306215E-12</c:v>
                </c:pt>
                <c:pt idx="159">
                  <c:v>2.8617333882306215E-12</c:v>
                </c:pt>
                <c:pt idx="160">
                  <c:v>2.8617333882306215E-12</c:v>
                </c:pt>
                <c:pt idx="161">
                  <c:v>2.8617333882306215E-12</c:v>
                </c:pt>
                <c:pt idx="162">
                  <c:v>2.8617333882306215E-12</c:v>
                </c:pt>
                <c:pt idx="163">
                  <c:v>2.8617333882306215E-12</c:v>
                </c:pt>
                <c:pt idx="164">
                  <c:v>2.8617333882306215E-12</c:v>
                </c:pt>
                <c:pt idx="165">
                  <c:v>2.8617333882306215E-12</c:v>
                </c:pt>
                <c:pt idx="166">
                  <c:v>2.8617333882306215E-12</c:v>
                </c:pt>
                <c:pt idx="167">
                  <c:v>2.8617333882306215E-12</c:v>
                </c:pt>
                <c:pt idx="168">
                  <c:v>2.8617333882306215E-12</c:v>
                </c:pt>
                <c:pt idx="169">
                  <c:v>2.8617333882306215E-12</c:v>
                </c:pt>
                <c:pt idx="170">
                  <c:v>2.8617333882306215E-12</c:v>
                </c:pt>
                <c:pt idx="171">
                  <c:v>2.8617333882306215E-12</c:v>
                </c:pt>
                <c:pt idx="172">
                  <c:v>2.8617333882306215E-12</c:v>
                </c:pt>
                <c:pt idx="173">
                  <c:v>2.8617333882306215E-12</c:v>
                </c:pt>
                <c:pt idx="174">
                  <c:v>2.8617333882306215E-12</c:v>
                </c:pt>
                <c:pt idx="175">
                  <c:v>2.8617333882306215E-12</c:v>
                </c:pt>
                <c:pt idx="176">
                  <c:v>2.8617333882306215E-12</c:v>
                </c:pt>
                <c:pt idx="177">
                  <c:v>2.8617333882306215E-12</c:v>
                </c:pt>
                <c:pt idx="178">
                  <c:v>2.8617333882306215E-12</c:v>
                </c:pt>
                <c:pt idx="179">
                  <c:v>2.8617333882306215E-12</c:v>
                </c:pt>
                <c:pt idx="180">
                  <c:v>2.8617333882306215E-12</c:v>
                </c:pt>
                <c:pt idx="181">
                  <c:v>2.8617333882306215E-12</c:v>
                </c:pt>
                <c:pt idx="182">
                  <c:v>2.8617333882306215E-12</c:v>
                </c:pt>
                <c:pt idx="183">
                  <c:v>2.8617333882306215E-12</c:v>
                </c:pt>
                <c:pt idx="184">
                  <c:v>2.8617333882306215E-12</c:v>
                </c:pt>
                <c:pt idx="185">
                  <c:v>2.8617333882306215E-12</c:v>
                </c:pt>
                <c:pt idx="186">
                  <c:v>2.8617333882306215E-12</c:v>
                </c:pt>
                <c:pt idx="187">
                  <c:v>2.8617333882306215E-12</c:v>
                </c:pt>
                <c:pt idx="188">
                  <c:v>2.8617333882306215E-12</c:v>
                </c:pt>
                <c:pt idx="189">
                  <c:v>2.8617333882306215E-12</c:v>
                </c:pt>
                <c:pt idx="190">
                  <c:v>2.8617333882306215E-12</c:v>
                </c:pt>
                <c:pt idx="191">
                  <c:v>2.8617333882306215E-12</c:v>
                </c:pt>
                <c:pt idx="192">
                  <c:v>2.8617333882306215E-12</c:v>
                </c:pt>
                <c:pt idx="193">
                  <c:v>2.8617333882306215E-12</c:v>
                </c:pt>
                <c:pt idx="194">
                  <c:v>2.8617333882306215E-12</c:v>
                </c:pt>
                <c:pt idx="195">
                  <c:v>2.8617333882306215E-12</c:v>
                </c:pt>
                <c:pt idx="196">
                  <c:v>2.8617333882306215E-12</c:v>
                </c:pt>
                <c:pt idx="197">
                  <c:v>2.8617333882306215E-12</c:v>
                </c:pt>
                <c:pt idx="198">
                  <c:v>2.8617333882306215E-12</c:v>
                </c:pt>
                <c:pt idx="199">
                  <c:v>2.8617333882306215E-12</c:v>
                </c:pt>
                <c:pt idx="200">
                  <c:v>2.8617333882306215E-12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topLeftCell="A28" zoomScale="90" zoomScaleNormal="90" workbookViewId="0">
      <selection activeCell="F100" sqref="F100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4.8499999999999996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164</v>
      </c>
      <c r="C9" s="35">
        <v>0.64</v>
      </c>
      <c r="D9" s="36">
        <f t="shared" ref="D9:D18" si="0">C9*$C$5</f>
        <v>3.1039999999999996</v>
      </c>
      <c r="E9" s="37">
        <v>100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36</v>
      </c>
      <c r="C10" s="35">
        <v>0.31</v>
      </c>
      <c r="D10" s="36">
        <f t="shared" si="0"/>
        <v>1.5034999999999998</v>
      </c>
      <c r="E10" s="37">
        <v>50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14</v>
      </c>
      <c r="C11" s="35">
        <v>0.05</v>
      </c>
      <c r="D11" s="36">
        <f t="shared" si="0"/>
        <v>0.24249999999999999</v>
      </c>
      <c r="E11" s="37">
        <v>120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4.8499999999999996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Cèdre de l'Atlas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20</v>
      </c>
      <c r="B36" s="63">
        <v>158</v>
      </c>
      <c r="C36" s="63">
        <v>1</v>
      </c>
      <c r="D36" s="63">
        <v>0</v>
      </c>
      <c r="E36" s="54"/>
      <c r="F36" s="54"/>
      <c r="G36" s="54"/>
      <c r="H36" s="54"/>
      <c r="I36" s="52">
        <f>IFERROR(B36/A36,"")</f>
        <v>7.9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30</v>
      </c>
      <c r="B37" s="63">
        <v>250</v>
      </c>
      <c r="C37" s="63">
        <v>2</v>
      </c>
      <c r="D37" s="63">
        <v>0</v>
      </c>
      <c r="E37" s="54"/>
      <c r="F37" s="54"/>
      <c r="G37" s="54"/>
      <c r="H37" s="54"/>
      <c r="I37" s="56">
        <f t="shared" ref="I37:I55" si="1">IF(A37&lt;&gt;0,(B37-(B36-D36))/(A37-A36),"")</f>
        <v>9.1999999999999993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40</v>
      </c>
      <c r="B38" s="63">
        <v>350</v>
      </c>
      <c r="C38" s="63">
        <v>3</v>
      </c>
      <c r="D38" s="63">
        <v>88</v>
      </c>
      <c r="E38" s="54"/>
      <c r="F38" s="54"/>
      <c r="G38" s="54"/>
      <c r="H38" s="54"/>
      <c r="I38" s="56">
        <f t="shared" si="1"/>
        <v>10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50</v>
      </c>
      <c r="B39" s="63">
        <v>377</v>
      </c>
      <c r="C39" s="63">
        <v>4</v>
      </c>
      <c r="D39" s="63">
        <v>0</v>
      </c>
      <c r="E39" s="54"/>
      <c r="F39" s="54"/>
      <c r="G39" s="54"/>
      <c r="H39" s="54"/>
      <c r="I39" s="52">
        <f t="shared" si="1"/>
        <v>11.5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60</v>
      </c>
      <c r="B40" s="63">
        <v>512</v>
      </c>
      <c r="C40" s="63">
        <v>5</v>
      </c>
      <c r="D40" s="63">
        <v>102</v>
      </c>
      <c r="E40" s="54"/>
      <c r="F40" s="54"/>
      <c r="G40" s="54"/>
      <c r="H40" s="54"/>
      <c r="I40" s="52">
        <f t="shared" si="1"/>
        <v>13.5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70</v>
      </c>
      <c r="B41" s="63">
        <v>565</v>
      </c>
      <c r="C41" s="63">
        <v>6</v>
      </c>
      <c r="D41" s="63">
        <v>113</v>
      </c>
      <c r="E41" s="54"/>
      <c r="F41" s="54"/>
      <c r="G41" s="54"/>
      <c r="H41" s="54"/>
      <c r="I41" s="56">
        <f t="shared" si="1"/>
        <v>15.5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80</v>
      </c>
      <c r="B42" s="63">
        <v>622</v>
      </c>
      <c r="C42" s="63">
        <v>7</v>
      </c>
      <c r="D42" s="63">
        <v>124</v>
      </c>
      <c r="E42" s="54"/>
      <c r="F42" s="54"/>
      <c r="G42" s="54"/>
      <c r="H42" s="54"/>
      <c r="I42" s="56">
        <f t="shared" si="1"/>
        <v>17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>
        <v>90</v>
      </c>
      <c r="B43" s="63">
        <v>673</v>
      </c>
      <c r="C43" s="63">
        <v>8</v>
      </c>
      <c r="D43" s="63">
        <v>135</v>
      </c>
      <c r="E43" s="54"/>
      <c r="F43" s="54"/>
      <c r="G43" s="54"/>
      <c r="H43" s="54"/>
      <c r="I43" s="52">
        <f t="shared" si="1"/>
        <v>17.5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>
        <v>100</v>
      </c>
      <c r="B44" s="63">
        <v>723</v>
      </c>
      <c r="C44" s="63">
        <v>9</v>
      </c>
      <c r="D44" s="63">
        <v>723</v>
      </c>
      <c r="E44" s="54"/>
      <c r="F44" s="54"/>
      <c r="G44" s="54"/>
      <c r="H44" s="54"/>
      <c r="I44" s="52">
        <f t="shared" si="1"/>
        <v>18.5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Pin maritime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18</v>
      </c>
      <c r="B62" s="63">
        <v>111</v>
      </c>
      <c r="C62" s="63">
        <v>1</v>
      </c>
      <c r="D62" s="63">
        <v>27</v>
      </c>
      <c r="E62" s="54"/>
      <c r="F62" s="54"/>
      <c r="G62" s="54">
        <v>1</v>
      </c>
      <c r="H62" s="54"/>
      <c r="I62" s="56">
        <f>IFERROR(B62/A62,"")</f>
        <v>6.166666666666667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24</v>
      </c>
      <c r="B63" s="63">
        <v>166</v>
      </c>
      <c r="C63" s="63">
        <v>2</v>
      </c>
      <c r="D63" s="63">
        <v>38</v>
      </c>
      <c r="E63" s="54">
        <v>0.4</v>
      </c>
      <c r="F63" s="54"/>
      <c r="G63" s="54">
        <v>0.6</v>
      </c>
      <c r="H63" s="54"/>
      <c r="I63" s="52">
        <f>IF(A63&lt;&gt;0,(B63-(B62-D62))/(A63-A62),"")</f>
        <v>13.666666666666666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30</v>
      </c>
      <c r="B64" s="63">
        <v>205</v>
      </c>
      <c r="C64" s="63">
        <v>3</v>
      </c>
      <c r="D64" s="63">
        <v>47</v>
      </c>
      <c r="E64" s="54">
        <v>0.5</v>
      </c>
      <c r="F64" s="54">
        <v>0.3</v>
      </c>
      <c r="G64" s="54">
        <v>0.2</v>
      </c>
      <c r="H64" s="54"/>
      <c r="I64" s="52">
        <f>IF(A64&lt;&gt;0,(B64-(B63-D63))/(A64-A63),"")</f>
        <v>12.833333333333334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40</v>
      </c>
      <c r="B65" s="63">
        <v>265</v>
      </c>
      <c r="C65" s="63">
        <v>4</v>
      </c>
      <c r="D65" s="63">
        <v>50</v>
      </c>
      <c r="E65" s="54">
        <v>0.8</v>
      </c>
      <c r="F65" s="54"/>
      <c r="G65" s="54">
        <v>0.2</v>
      </c>
      <c r="H65" s="54"/>
      <c r="I65" s="52">
        <f>IF(A65&lt;&gt;0,(B65-(B64-D64))/(A65-A64),"")</f>
        <v>10.7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50</v>
      </c>
      <c r="B66" s="63">
        <v>294</v>
      </c>
      <c r="C66" s="63">
        <v>5</v>
      </c>
      <c r="D66" s="63">
        <v>294</v>
      </c>
      <c r="E66" s="54">
        <v>0.8</v>
      </c>
      <c r="F66" s="54"/>
      <c r="G66" s="54">
        <v>0.2</v>
      </c>
      <c r="H66" s="54"/>
      <c r="I66" s="52">
        <f t="shared" ref="I66:I81" si="2">IF(A66&lt;&gt;0,(B66-(B65-D65))/(A66-A65),"")</f>
        <v>7.9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Chêne sessile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25</v>
      </c>
      <c r="B88" s="63">
        <v>71</v>
      </c>
      <c r="C88" s="63">
        <v>1</v>
      </c>
      <c r="D88" s="63">
        <v>8</v>
      </c>
      <c r="E88" s="54"/>
      <c r="F88" s="54"/>
      <c r="G88" s="54"/>
      <c r="H88" s="93">
        <v>1</v>
      </c>
      <c r="I88" s="56">
        <f>IFERROR(B88/A88,"")</f>
        <v>2.84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30</v>
      </c>
      <c r="B89" s="63">
        <v>98</v>
      </c>
      <c r="C89" s="63">
        <v>2</v>
      </c>
      <c r="D89" s="63">
        <v>21</v>
      </c>
      <c r="E89" s="54"/>
      <c r="F89" s="54"/>
      <c r="G89" s="54"/>
      <c r="H89" s="93">
        <v>1</v>
      </c>
      <c r="I89" s="56">
        <f t="shared" ref="I89:I107" si="3">IF(A89&lt;&gt;0,(B89-(B88-D88))/(A89-A88),"")</f>
        <v>7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35</v>
      </c>
      <c r="B90" s="63">
        <v>116</v>
      </c>
      <c r="C90" s="63">
        <v>3</v>
      </c>
      <c r="D90" s="63">
        <v>21</v>
      </c>
      <c r="E90" s="93"/>
      <c r="F90" s="93"/>
      <c r="G90" s="93"/>
      <c r="H90" s="93"/>
      <c r="I90" s="56">
        <f t="shared" si="3"/>
        <v>7.8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40</v>
      </c>
      <c r="B91" s="63">
        <v>137</v>
      </c>
      <c r="C91" s="63">
        <v>4</v>
      </c>
      <c r="D91" s="63">
        <v>21</v>
      </c>
      <c r="E91" s="93"/>
      <c r="F91" s="93"/>
      <c r="G91" s="93"/>
      <c r="H91" s="93"/>
      <c r="I91" s="56">
        <f t="shared" si="3"/>
        <v>8.4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45</v>
      </c>
      <c r="B92" s="63">
        <v>158</v>
      </c>
      <c r="C92" s="63">
        <v>5</v>
      </c>
      <c r="D92" s="63">
        <v>21</v>
      </c>
      <c r="E92" s="93"/>
      <c r="F92" s="93"/>
      <c r="G92" s="93"/>
      <c r="H92" s="93"/>
      <c r="I92" s="56">
        <f t="shared" si="3"/>
        <v>8.4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>
        <v>50</v>
      </c>
      <c r="B93" s="63">
        <v>179</v>
      </c>
      <c r="C93" s="63">
        <v>6</v>
      </c>
      <c r="D93" s="63">
        <v>21</v>
      </c>
      <c r="E93" s="93"/>
      <c r="F93" s="93"/>
      <c r="G93" s="93"/>
      <c r="H93" s="93"/>
      <c r="I93" s="56">
        <f t="shared" si="3"/>
        <v>8.4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>
        <v>55</v>
      </c>
      <c r="B94" s="63">
        <v>198</v>
      </c>
      <c r="C94" s="63">
        <v>7</v>
      </c>
      <c r="D94" s="63">
        <v>21</v>
      </c>
      <c r="E94" s="93"/>
      <c r="F94" s="93"/>
      <c r="G94" s="93"/>
      <c r="H94" s="93"/>
      <c r="I94" s="56">
        <f t="shared" si="3"/>
        <v>8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>
        <v>60</v>
      </c>
      <c r="B95" s="63">
        <v>215</v>
      </c>
      <c r="C95" s="63">
        <v>8</v>
      </c>
      <c r="D95" s="63">
        <v>21</v>
      </c>
      <c r="E95" s="93"/>
      <c r="F95" s="93"/>
      <c r="G95" s="93"/>
      <c r="H95" s="93"/>
      <c r="I95" s="56">
        <f t="shared" si="3"/>
        <v>7.6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>
        <v>65</v>
      </c>
      <c r="B96" s="63">
        <v>229</v>
      </c>
      <c r="C96" s="63">
        <v>9</v>
      </c>
      <c r="D96" s="63">
        <v>21</v>
      </c>
      <c r="E96" s="93"/>
      <c r="F96" s="93"/>
      <c r="G96" s="93"/>
      <c r="H96" s="93"/>
      <c r="I96" s="56">
        <f t="shared" si="3"/>
        <v>7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>
        <v>70</v>
      </c>
      <c r="B97" s="63">
        <v>242</v>
      </c>
      <c r="C97" s="63">
        <v>10</v>
      </c>
      <c r="D97" s="63">
        <v>21</v>
      </c>
      <c r="E97" s="93"/>
      <c r="F97" s="93"/>
      <c r="G97" s="93"/>
      <c r="H97" s="93"/>
      <c r="I97" s="56">
        <f t="shared" si="3"/>
        <v>6.8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>
        <v>75</v>
      </c>
      <c r="B98" s="63">
        <v>253</v>
      </c>
      <c r="C98" s="63">
        <v>11</v>
      </c>
      <c r="D98" s="63">
        <v>21</v>
      </c>
      <c r="E98" s="93"/>
      <c r="F98" s="93"/>
      <c r="G98" s="93"/>
      <c r="H98" s="93"/>
      <c r="I98" s="56">
        <f t="shared" si="3"/>
        <v>6.4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>
        <v>80</v>
      </c>
      <c r="B99" s="63">
        <v>283</v>
      </c>
      <c r="C99" s="63">
        <v>12</v>
      </c>
      <c r="D99" s="63">
        <v>21</v>
      </c>
      <c r="E99" s="93"/>
      <c r="F99" s="93"/>
      <c r="G99" s="93"/>
      <c r="H99" s="93"/>
      <c r="I99" s="56">
        <f t="shared" si="3"/>
        <v>10.199999999999999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>
        <v>85</v>
      </c>
      <c r="B100" s="63">
        <v>290</v>
      </c>
      <c r="C100" s="63">
        <v>13</v>
      </c>
      <c r="D100" s="63">
        <v>21</v>
      </c>
      <c r="E100" s="68"/>
      <c r="F100" s="68"/>
      <c r="G100" s="68"/>
      <c r="H100" s="68"/>
      <c r="I100" s="56">
        <f t="shared" si="3"/>
        <v>5.6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>
        <v>90</v>
      </c>
      <c r="B101" s="63">
        <v>296</v>
      </c>
      <c r="C101" s="63">
        <v>14</v>
      </c>
      <c r="D101" s="63">
        <v>21</v>
      </c>
      <c r="E101" s="68"/>
      <c r="F101" s="68"/>
      <c r="G101" s="68"/>
      <c r="H101" s="68"/>
      <c r="I101" s="56">
        <f t="shared" si="3"/>
        <v>5.4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>
        <v>95</v>
      </c>
      <c r="B102" s="53">
        <v>300</v>
      </c>
      <c r="C102" s="63">
        <v>15</v>
      </c>
      <c r="D102" s="53">
        <v>21</v>
      </c>
      <c r="E102" s="57"/>
      <c r="F102" s="57"/>
      <c r="G102" s="57"/>
      <c r="H102" s="57"/>
      <c r="I102" s="56">
        <f t="shared" si="3"/>
        <v>5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>
        <v>100</v>
      </c>
      <c r="B103" s="53">
        <v>303</v>
      </c>
      <c r="C103" s="63">
        <v>16</v>
      </c>
      <c r="D103" s="53">
        <v>21</v>
      </c>
      <c r="E103" s="57"/>
      <c r="F103" s="57"/>
      <c r="G103" s="57"/>
      <c r="H103" s="57"/>
      <c r="I103" s="56">
        <f t="shared" si="3"/>
        <v>4.8</v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>
        <v>105</v>
      </c>
      <c r="B104" s="53">
        <v>304</v>
      </c>
      <c r="C104" s="63">
        <v>17</v>
      </c>
      <c r="D104" s="53">
        <v>20</v>
      </c>
      <c r="E104" s="57"/>
      <c r="F104" s="57"/>
      <c r="G104" s="57"/>
      <c r="H104" s="57"/>
      <c r="I104" s="56">
        <f t="shared" si="3"/>
        <v>4.4000000000000004</v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>
        <v>110</v>
      </c>
      <c r="B105" s="53">
        <v>305</v>
      </c>
      <c r="C105" s="53">
        <v>18</v>
      </c>
      <c r="D105" s="53">
        <v>19</v>
      </c>
      <c r="E105" s="57"/>
      <c r="F105" s="57"/>
      <c r="G105" s="57"/>
      <c r="H105" s="57"/>
      <c r="I105" s="56">
        <f t="shared" si="3"/>
        <v>4.2</v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>
        <v>115</v>
      </c>
      <c r="B106" s="53">
        <v>305</v>
      </c>
      <c r="C106" s="53">
        <v>19</v>
      </c>
      <c r="D106" s="53">
        <v>18</v>
      </c>
      <c r="E106" s="57"/>
      <c r="F106" s="57"/>
      <c r="G106" s="57"/>
      <c r="H106" s="57"/>
      <c r="I106" s="56">
        <f t="shared" si="3"/>
        <v>3.8</v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>
        <v>120</v>
      </c>
      <c r="B107" s="53">
        <v>305</v>
      </c>
      <c r="C107" s="53">
        <v>20</v>
      </c>
      <c r="D107" s="53">
        <v>305</v>
      </c>
      <c r="E107" s="57"/>
      <c r="F107" s="57"/>
      <c r="G107" s="57"/>
      <c r="H107" s="57"/>
      <c r="I107" s="56">
        <f t="shared" si="3"/>
        <v>3.6</v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15" sqref="G15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Cèdre de l'Atlas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Pin maritime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>Chêne sessile</v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302.30714066618623</v>
      </c>
      <c r="T3" s="62">
        <f>IF('Données projet'!E9&gt;30,$R$33-$H$33,LOOKUP('Données projet'!$E$9,$A$3:$A$203,R3:R203)-LOOKUP('Données projet'!$E$9,$A$3:$A$203,$H$3:$H$203))</f>
        <v>218.81984836501334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293.33333333333331</v>
      </c>
      <c r="AN3" s="62">
        <f ca="1">AVERAGE(OFFSET($AM$3,0,0,'Données projet'!$E$10+1,1))-AVERAGE(OFFSET($H$3,0,0,'Données projet'!$E$10+1,1))</f>
        <v>150.05970318721711</v>
      </c>
      <c r="AO3" s="62">
        <f>IF('Données projet'!E10&gt;30,$AM$33-$H$33,LOOKUP('Données projet'!$E$10,$A$3:$A$203,AM3:AM203)-LOOKUP('Données projet'!$E$10,$A$3:$A$203,$H$3:$H$203))</f>
        <v>230.8269864623847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293.33333333333331</v>
      </c>
      <c r="BI3" s="62">
        <f ca="1">AVERAGE(OFFSET($BH$3,0,0,'Données projet'!$E$11+1,1))-AVERAGE(OFFSET($H$3,0,0,'Données projet'!$E$11+1,1))</f>
        <v>278.41778972502732</v>
      </c>
      <c r="BJ3" s="62">
        <f>IF('Données projet'!E11&gt;30,$BH$33-$H$33,LOOKUP('Données projet'!$E$11,$A$3:$A$203,BH3:BH203)-LOOKUP('Données projet'!$E$11,$A$3:$A$203,$H$3:$H$203))</f>
        <v>157.75772798974242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0.55900000000000005</v>
      </c>
      <c r="D4" s="12">
        <f>IFERROR(EXP(-1.0587+0.8836*LN(C4)+0.284),0)</f>
        <v>0.2756545328031752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6.4429472707613522</v>
      </c>
      <c r="H4" s="70">
        <f t="shared" ref="H4:H67" si="1">(B4+E4+F4)*44/12+(C4+D4)*0.475*44/12</f>
        <v>294.78702331129887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7.9</v>
      </c>
      <c r="N4" s="14">
        <f>IF('Données projet'!$A$36&gt;35,N3+M4-V3,IF(A4&lt;'Données projet'!$A$36,$K$205^A4,IF(A4='Données projet'!$A$36,'Données projet'!$B$36,N3+M4-V3)))</f>
        <v>1.2880503926580862</v>
      </c>
      <c r="O4" s="14">
        <f>N4*VLOOKUP('Données projet'!$B$9,Paramètres!$A$1:$I$89,3,0)*VLOOKUP('Données projet'!$B$9,Paramètres!$A$1:$I$89,5,0)</f>
        <v>0.60280758376398436</v>
      </c>
      <c r="P4" s="14">
        <f>EXP(-1.0587+0.8836*LN(O4)+0.284)</f>
        <v>0.29465781953181042</v>
      </c>
      <c r="Q4" s="22">
        <f t="shared" ref="Q4:Q34" si="2">(O4+P4)*0.475*44/12</f>
        <v>1.5630855774068424</v>
      </c>
      <c r="R4" s="62">
        <f t="shared" si="0"/>
        <v>294.89641891074018</v>
      </c>
      <c r="S4" s="62">
        <f ca="1">AVERAGE(OFFSET($R$3,0,0,'Données projet'!$E$9+1,1))-AVERAGE(OFFSET($H$3,0,0,'Données projet'!$E$9+1,1))</f>
        <v>302.30714066618623</v>
      </c>
      <c r="T4" s="62">
        <f>$T$3</f>
        <v>218.81984836501334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6.166666666666667</v>
      </c>
      <c r="AI4" s="14">
        <f>IF('Données projet'!$A$62&gt;35,AI3+AH4-AQ3,IF(A4&lt;'Données projet'!$A$62,$AF$205^A4,IF(A4='Données projet'!$A$62,'Données projet'!$B$62,AI3+AH4-AQ3)))</f>
        <v>1.2990595333015609</v>
      </c>
      <c r="AJ4" s="14">
        <f>AI4*VLOOKUP('Données projet'!$B$10,Paramètres!$A$1:$I$89,3,0)*VLOOKUP('Données projet'!$B$10,Paramètres!$A$1:$I$89,5,0)</f>
        <v>0.7768376009143334</v>
      </c>
      <c r="AK4" s="14">
        <f>EXP(-1.0587+0.8836*LN(AJ4)+0.284)</f>
        <v>0.36867854383113818</v>
      </c>
      <c r="AL4" s="22">
        <f t="shared" ref="AL4:AL67" si="4">(AJ4+AK4)*0.475*44/12</f>
        <v>1.9951072854316962</v>
      </c>
      <c r="AM4" s="62">
        <f t="shared" ref="AM4:AM67" si="5">AL4+(AD4+AE4)*44/12</f>
        <v>295.328440618765</v>
      </c>
      <c r="AN4" s="62">
        <f ca="1">AVERAGE(OFFSET($AM$3,0,0,'Données projet'!$E$10+1,1))-AVERAGE(OFFSET($H$3,0,0,'Données projet'!$E$10+1,1))</f>
        <v>150.05970318721711</v>
      </c>
      <c r="AO4" s="62">
        <f>$AO$3</f>
        <v>230.8269864623847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2.84</v>
      </c>
      <c r="BD4" s="13">
        <f>IF('Données projet'!$A$88&gt;35,BD3+BC4-BL3,IF(A4&lt;'Données projet'!$A$88,$BA$205^A4,IF(A4='Données projet'!$A$88,'Données projet'!$B$88,BD3+BC4-BL3)))</f>
        <v>1.185906184594963</v>
      </c>
      <c r="BE4" s="14">
        <f>BD4*VLOOKUP('Données projet'!$B$11,Paramètres!$A$1:$I$89,3,0)*VLOOKUP('Données projet'!$B$11,Paramètres!$A$1:$I$89,5,0)</f>
        <v>1.0730079158215224</v>
      </c>
      <c r="BF4" s="14">
        <f>EXP(-1.0587+0.8836*LN(BE4)+0.284)</f>
        <v>0.49044782191261621</v>
      </c>
      <c r="BG4" s="22">
        <f t="shared" ref="BG4:BG67" si="7">(BE4+BF4)*0.475*44/12</f>
        <v>2.7230187432202917</v>
      </c>
      <c r="BH4" s="62">
        <f t="shared" ref="BH4:BH67" si="8">BG4+(AY4+AZ4)*44/12</f>
        <v>296.05635207655359</v>
      </c>
      <c r="BI4" s="62">
        <f ca="1">AVERAGE(OFFSET($BH$3,0,0,'Données projet'!$E$11+1,1))-AVERAGE(OFFSET($H$3,0,0,'Données projet'!$E$11+1,1))</f>
        <v>278.41778972502732</v>
      </c>
      <c r="BJ4" s="62">
        <f>$BJ$3</f>
        <v>157.75772798974242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1.1180000000000001</v>
      </c>
      <c r="D5" s="12">
        <f t="shared" ref="D5:D68" si="32">IFERROR(EXP(-1.0587+0.8836*LN(C5)+0.284),0)</f>
        <v>0.50857527486356202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12.556019665613462</v>
      </c>
      <c r="H5" s="70">
        <f t="shared" si="1"/>
        <v>296.16628527038733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7.9</v>
      </c>
      <c r="N5" s="14">
        <f>IF('Données projet'!$A$36&gt;35,N4+M5-V4,IF(A5&lt;'Données projet'!$A$36,$K$205^A5,IF(A5='Données projet'!$A$36,'Données projet'!$B$36,N4+M5-V4)))</f>
        <v>1.6590738140266501</v>
      </c>
      <c r="O5" s="14">
        <f>N5*VLOOKUP('Données projet'!$B$9,Paramètres!$A$1:$I$89,3,0)*VLOOKUP('Données projet'!$B$9,Paramètres!$A$1:$I$89,5,0)</f>
        <v>0.77644654496447219</v>
      </c>
      <c r="P5" s="14">
        <f t="shared" ref="P5:P68" si="33">EXP(-1.0587+0.8836*LN(O5)+0.284)</f>
        <v>0.36851455096495994</v>
      </c>
      <c r="Q5" s="22">
        <f t="shared" si="2"/>
        <v>1.9941405754104276</v>
      </c>
      <c r="R5" s="62">
        <f t="shared" si="0"/>
        <v>295.32747390874374</v>
      </c>
      <c r="S5" s="62">
        <f ca="1">AVERAGE(OFFSET($R$3,0,0,'Données projet'!$E$9+1,1))-AVERAGE(OFFSET($H$3,0,0,'Données projet'!$E$9+1,1))</f>
        <v>302.30714066618623</v>
      </c>
      <c r="T5" s="62">
        <f t="shared" ref="T5:T68" si="34">$T$3</f>
        <v>218.81984836501334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6.166666666666667</v>
      </c>
      <c r="AI5" s="14">
        <f>IF('Données projet'!$A$62&gt;35,AI4+AH5-AQ4,IF(A5&lt;'Données projet'!$A$62,$AF$205^A5,IF(A5='Données projet'!$A$62,'Données projet'!$B$62,AI4+AH5-AQ4)))</f>
        <v>1.6875556710616693</v>
      </c>
      <c r="AJ5" s="14">
        <f>AI5*VLOOKUP('Données projet'!$B$10,Paramètres!$A$1:$I$89,3,0)*VLOOKUP('Données projet'!$B$10,Paramètres!$A$1:$I$89,5,0)</f>
        <v>1.0091582912948782</v>
      </c>
      <c r="AK5" s="14">
        <f t="shared" ref="AK5:AK68" si="35">EXP(-1.0587+0.8836*LN(AJ5)+0.284)</f>
        <v>0.46456928810721226</v>
      </c>
      <c r="AL5" s="22">
        <f t="shared" si="4"/>
        <v>2.5667422007919742</v>
      </c>
      <c r="AM5" s="62">
        <f t="shared" si="5"/>
        <v>295.90007553412528</v>
      </c>
      <c r="AN5" s="62">
        <f ca="1">AVERAGE(OFFSET($AM$3,0,0,'Données projet'!$E$10+1,1))-AVERAGE(OFFSET($H$3,0,0,'Données projet'!$E$10+1,1))</f>
        <v>150.05970318721711</v>
      </c>
      <c r="AO5" s="62">
        <f t="shared" ref="AO5:AO68" si="36">$AO$3</f>
        <v>230.8269864623847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2.84</v>
      </c>
      <c r="BD5" s="13">
        <f>IF('Données projet'!$A$88&gt;35,BD4+BC5-BL4,IF(A5&lt;'Données projet'!$A$88,$BA$205^A5,IF(A5='Données projet'!$A$88,'Données projet'!$B$88,BD4+BC5-BL4)))</f>
        <v>1.4063734786605824</v>
      </c>
      <c r="BE5" s="14">
        <f>BD5*VLOOKUP('Données projet'!$B$11,Paramètres!$A$1:$I$89,3,0)*VLOOKUP('Données projet'!$B$11,Paramètres!$A$1:$I$89,5,0)</f>
        <v>1.2724867234920949</v>
      </c>
      <c r="BF5" s="14">
        <f t="shared" ref="BF5:BF68" si="37">EXP(-1.0587+0.8836*LN(BE5)+0.284)</f>
        <v>0.570195368340213</v>
      </c>
      <c r="BG5" s="22">
        <f t="shared" si="7"/>
        <v>3.209337976607936</v>
      </c>
      <c r="BH5" s="62">
        <f t="shared" si="8"/>
        <v>296.54267130994123</v>
      </c>
      <c r="BI5" s="62">
        <f ca="1">AVERAGE(OFFSET($BH$3,0,0,'Données projet'!$E$11+1,1))-AVERAGE(OFFSET($H$3,0,0,'Données projet'!$E$11+1,1))</f>
        <v>278.41778972502732</v>
      </c>
      <c r="BJ5" s="62">
        <f t="shared" ref="BJ5:BJ68" si="38">$BJ$3</f>
        <v>157.75772798974242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1.677</v>
      </c>
      <c r="D6" s="12">
        <f t="shared" si="32"/>
        <v>0.72769514761613419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18.56255903422981</v>
      </c>
      <c r="H6" s="70">
        <f t="shared" si="1"/>
        <v>297.52151071543142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7.9</v>
      </c>
      <c r="N6" s="14">
        <f>IF('Données projet'!$A$36&gt;35,N5+M6-V5,IF(A6&lt;'Données projet'!$A$36,$K$205^A6,IF(A6='Données projet'!$A$36,'Données projet'!$B$36,N5+M6-V5)))</f>
        <v>2.1369706776057753</v>
      </c>
      <c r="O6" s="14">
        <f>N6*VLOOKUP('Données projet'!$B$9,Paramètres!$A$1:$I$89,3,0)*VLOOKUP('Données projet'!$B$9,Paramètres!$A$1:$I$89,5,0)</f>
        <v>1.0001022771195029</v>
      </c>
      <c r="P6" s="14">
        <f t="shared" si="33"/>
        <v>0.46088365986243646</v>
      </c>
      <c r="Q6" s="22">
        <f t="shared" si="2"/>
        <v>2.5445505069102112</v>
      </c>
      <c r="R6" s="62">
        <f t="shared" si="0"/>
        <v>295.8778838402435</v>
      </c>
      <c r="S6" s="62">
        <f ca="1">AVERAGE(OFFSET($R$3,0,0,'Données projet'!$E$9+1,1))-AVERAGE(OFFSET($H$3,0,0,'Données projet'!$E$9+1,1))</f>
        <v>302.30714066618623</v>
      </c>
      <c r="T6" s="62">
        <f t="shared" si="34"/>
        <v>218.81984836501334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6.166666666666667</v>
      </c>
      <c r="AI6" s="14">
        <f>IF('Données projet'!$A$62&gt;35,AI5+AH6-AQ5,IF(A6&lt;'Données projet'!$A$62,$AF$205^A6,IF(A6='Données projet'!$A$62,'Données projet'!$B$62,AI5+AH6-AQ5)))</f>
        <v>2.1922352824697744</v>
      </c>
      <c r="AJ6" s="14">
        <f>AI6*VLOOKUP('Données projet'!$B$10,Paramètres!$A$1:$I$89,3,0)*VLOOKUP('Données projet'!$B$10,Paramètres!$A$1:$I$89,5,0)</f>
        <v>1.3109566989169252</v>
      </c>
      <c r="AK6" s="14">
        <f t="shared" si="35"/>
        <v>0.58540055303921845</v>
      </c>
      <c r="AL6" s="22">
        <f t="shared" si="4"/>
        <v>3.3028222138236161</v>
      </c>
      <c r="AM6" s="62">
        <f t="shared" si="5"/>
        <v>296.63615554715693</v>
      </c>
      <c r="AN6" s="62">
        <f ca="1">AVERAGE(OFFSET($AM$3,0,0,'Données projet'!$E$10+1,1))-AVERAGE(OFFSET($H$3,0,0,'Données projet'!$E$10+1,1))</f>
        <v>150.05970318721711</v>
      </c>
      <c r="AO6" s="62">
        <f t="shared" si="36"/>
        <v>230.8269864623847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2.84</v>
      </c>
      <c r="BD6" s="13">
        <f>IF('Données projet'!$A$88&gt;35,BD5+BC6-BL5,IF(A6&lt;'Données projet'!$A$88,$BA$205^A6,IF(A6='Données projet'!$A$88,'Données projet'!$B$88,BD5+BC6-BL5)))</f>
        <v>1.6678270061939169</v>
      </c>
      <c r="BE6" s="14">
        <f>BD6*VLOOKUP('Données projet'!$B$11,Paramètres!$A$1:$I$89,3,0)*VLOOKUP('Données projet'!$B$11,Paramètres!$A$1:$I$89,5,0)</f>
        <v>1.5090498752042558</v>
      </c>
      <c r="BF6" s="14">
        <f t="shared" si="37"/>
        <v>0.66290998461108197</v>
      </c>
      <c r="BG6" s="22">
        <f t="shared" si="7"/>
        <v>3.7828300891783795</v>
      </c>
      <c r="BH6" s="62">
        <f t="shared" si="8"/>
        <v>297.1161634225117</v>
      </c>
      <c r="BI6" s="62">
        <f ca="1">AVERAGE(OFFSET($BH$3,0,0,'Données projet'!$E$11+1,1))-AVERAGE(OFFSET($H$3,0,0,'Données projet'!$E$11+1,1))</f>
        <v>278.41778972502732</v>
      </c>
      <c r="BJ6" s="62">
        <f t="shared" si="38"/>
        <v>157.75772798974242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2.2360000000000002</v>
      </c>
      <c r="D7" s="12">
        <f t="shared" si="32"/>
        <v>0.93830784341656304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24.503428966724346</v>
      </c>
      <c r="H7" s="70">
        <f t="shared" si="1"/>
        <v>298.8619194939505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7.9</v>
      </c>
      <c r="N7" s="14">
        <f>IF('Données projet'!$A$36&gt;35,N6+M7-V6,IF(A7&lt;'Données projet'!$A$36,$K$205^A7,IF(A7='Données projet'!$A$36,'Données projet'!$B$36,N6+M7-V6)))</f>
        <v>2.7525259203889356</v>
      </c>
      <c r="O7" s="14">
        <f>N7*VLOOKUP('Données projet'!$B$9,Paramètres!$A$1:$I$89,3,0)*VLOOKUP('Données projet'!$B$9,Paramètres!$A$1:$I$89,5,0)</f>
        <v>1.2881821307420218</v>
      </c>
      <c r="P7" s="14">
        <f t="shared" si="33"/>
        <v>0.57640532069082717</v>
      </c>
      <c r="Q7" s="22">
        <f t="shared" si="2"/>
        <v>3.2474898112455457</v>
      </c>
      <c r="R7" s="62">
        <f t="shared" si="0"/>
        <v>296.58082314457886</v>
      </c>
      <c r="S7" s="62">
        <f ca="1">AVERAGE(OFFSET($R$3,0,0,'Données projet'!$E$9+1,1))-AVERAGE(OFFSET($H$3,0,0,'Données projet'!$E$9+1,1))</f>
        <v>302.30714066618623</v>
      </c>
      <c r="T7" s="62">
        <f t="shared" si="34"/>
        <v>218.81984836501334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6.166666666666667</v>
      </c>
      <c r="AI7" s="14">
        <f>IF('Données projet'!$A$62&gt;35,AI6+AH7-AQ6,IF(A7&lt;'Données projet'!$A$62,$AF$205^A7,IF(A7='Données projet'!$A$62,'Données projet'!$B$62,AI6+AH7-AQ6)))</f>
        <v>2.8478441429324008</v>
      </c>
      <c r="AJ7" s="14">
        <f>AI7*VLOOKUP('Données projet'!$B$10,Paramètres!$A$1:$I$89,3,0)*VLOOKUP('Données projet'!$B$10,Paramètres!$A$1:$I$89,5,0)</f>
        <v>1.703010797473576</v>
      </c>
      <c r="AK7" s="14">
        <f t="shared" si="35"/>
        <v>0.73765919588626938</v>
      </c>
      <c r="AL7" s="22">
        <f t="shared" si="4"/>
        <v>4.2508335717683972</v>
      </c>
      <c r="AM7" s="62">
        <f t="shared" si="5"/>
        <v>297.58416690510171</v>
      </c>
      <c r="AN7" s="62">
        <f ca="1">AVERAGE(OFFSET($AM$3,0,0,'Données projet'!$E$10+1,1))-AVERAGE(OFFSET($H$3,0,0,'Données projet'!$E$10+1,1))</f>
        <v>150.05970318721711</v>
      </c>
      <c r="AO7" s="62">
        <f t="shared" si="36"/>
        <v>230.8269864623847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2.84</v>
      </c>
      <c r="BD7" s="13">
        <f>IF('Données projet'!$A$88&gt;35,BD6+BC7-BL6,IF(A7&lt;'Données projet'!$A$88,$BA$205^A7,IF(A7='Données projet'!$A$88,'Données projet'!$B$88,BD6+BC7-BL6)))</f>
        <v>1.9778863614798676</v>
      </c>
      <c r="BE7" s="14">
        <f>BD7*VLOOKUP('Données projet'!$B$11,Paramètres!$A$1:$I$89,3,0)*VLOOKUP('Données projet'!$B$11,Paramètres!$A$1:$I$89,5,0)</f>
        <v>1.7895915798669841</v>
      </c>
      <c r="BF7" s="14">
        <f t="shared" si="37"/>
        <v>0.77070013559784434</v>
      </c>
      <c r="BG7" s="22">
        <f t="shared" si="7"/>
        <v>4.459174737767909</v>
      </c>
      <c r="BH7" s="62">
        <f t="shared" si="8"/>
        <v>297.79250807110122</v>
      </c>
      <c r="BI7" s="62">
        <f ca="1">AVERAGE(OFFSET($BH$3,0,0,'Données projet'!$E$11+1,1))-AVERAGE(OFFSET($H$3,0,0,'Données projet'!$E$11+1,1))</f>
        <v>278.41778972502732</v>
      </c>
      <c r="BJ7" s="62">
        <f t="shared" si="38"/>
        <v>157.75772798974242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2.7950000000000004</v>
      </c>
      <c r="D8" s="12">
        <f t="shared" si="32"/>
        <v>1.1428126371791492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30.397150181733792</v>
      </c>
      <c r="H8" s="70">
        <f t="shared" si="1"/>
        <v>300.19169034308698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7.9</v>
      </c>
      <c r="N8" s="14">
        <f>IF('Données projet'!$A$36&gt;35,N7+M8-V7,IF(A8&lt;'Données projet'!$A$36,$K$205^A8,IF(A8='Données projet'!$A$36,'Données projet'!$B$36,N7+M8-V7)))</f>
        <v>3.5453920925585285</v>
      </c>
      <c r="O8" s="14">
        <f>N8*VLOOKUP('Données projet'!$B$9,Paramètres!$A$1:$I$89,3,0)*VLOOKUP('Données projet'!$B$9,Paramètres!$A$1:$I$89,5,0)</f>
        <v>1.6592434993173915</v>
      </c>
      <c r="P8" s="14">
        <f t="shared" si="33"/>
        <v>0.72088277944126433</v>
      </c>
      <c r="Q8" s="22">
        <f t="shared" si="2"/>
        <v>4.1453866021713255</v>
      </c>
      <c r="R8" s="62">
        <f t="shared" si="0"/>
        <v>297.47871993550461</v>
      </c>
      <c r="S8" s="62">
        <f ca="1">AVERAGE(OFFSET($R$3,0,0,'Données projet'!$E$9+1,1))-AVERAGE(OFFSET($H$3,0,0,'Données projet'!$E$9+1,1))</f>
        <v>302.30714066618623</v>
      </c>
      <c r="T8" s="62">
        <f t="shared" si="34"/>
        <v>218.81984836501334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6.166666666666667</v>
      </c>
      <c r="AI8" s="14">
        <f>IF('Données projet'!$A$62&gt;35,AI7+AH8-AQ7,IF(A8&lt;'Données projet'!$A$62,$AF$205^A8,IF(A8='Données projet'!$A$62,'Données projet'!$B$62,AI7+AH8-AQ7)))</f>
        <v>3.6995190832333482</v>
      </c>
      <c r="AJ8" s="14">
        <f>AI8*VLOOKUP('Données projet'!$B$10,Paramètres!$A$1:$I$89,3,0)*VLOOKUP('Données projet'!$B$10,Paramètres!$A$1:$I$89,5,0)</f>
        <v>2.2123124117735422</v>
      </c>
      <c r="AK8" s="14">
        <f t="shared" si="35"/>
        <v>0.92951926070203594</v>
      </c>
      <c r="AL8" s="22">
        <f t="shared" si="4"/>
        <v>5.4720234962282985</v>
      </c>
      <c r="AM8" s="62">
        <f t="shared" si="5"/>
        <v>298.80535682956162</v>
      </c>
      <c r="AN8" s="62">
        <f ca="1">AVERAGE(OFFSET($AM$3,0,0,'Données projet'!$E$10+1,1))-AVERAGE(OFFSET($H$3,0,0,'Données projet'!$E$10+1,1))</f>
        <v>150.05970318721711</v>
      </c>
      <c r="AO8" s="62">
        <f t="shared" si="36"/>
        <v>230.8269864623847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2.84</v>
      </c>
      <c r="BD8" s="13">
        <f>IF('Données projet'!$A$88&gt;35,BD7+BC8-BL7,IF(A8&lt;'Données projet'!$A$88,$BA$205^A8,IF(A8='Données projet'!$A$88,'Données projet'!$B$88,BD7+BC8-BL7)))</f>
        <v>2.3455876685050034</v>
      </c>
      <c r="BE8" s="14">
        <f>BD8*VLOOKUP('Données projet'!$B$11,Paramètres!$A$1:$I$89,3,0)*VLOOKUP('Données projet'!$B$11,Paramètres!$A$1:$I$89,5,0)</f>
        <v>2.122287722463327</v>
      </c>
      <c r="BF8" s="14">
        <f t="shared" si="37"/>
        <v>0.89601712570223679</v>
      </c>
      <c r="BG8" s="22">
        <f t="shared" si="7"/>
        <v>5.2568809438883566</v>
      </c>
      <c r="BH8" s="62">
        <f t="shared" si="8"/>
        <v>298.59021427722166</v>
      </c>
      <c r="BI8" s="62">
        <f ca="1">AVERAGE(OFFSET($BH$3,0,0,'Données projet'!$E$11+1,1))-AVERAGE(OFFSET($H$3,0,0,'Données projet'!$E$11+1,1))</f>
        <v>278.41778972502732</v>
      </c>
      <c r="BJ8" s="62">
        <f t="shared" si="38"/>
        <v>157.75772798974242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3.3540000000000005</v>
      </c>
      <c r="D9" s="12">
        <f t="shared" si="32"/>
        <v>1.3425781754875348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36.254287670430102</v>
      </c>
      <c r="H9" s="70">
        <f t="shared" si="1"/>
        <v>301.5132069889741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7.9</v>
      </c>
      <c r="N9" s="14">
        <f>IF('Données projet'!$A$36&gt;35,N8+M9-V8,IF(A9&lt;'Données projet'!$A$36,$K$205^A9,IF(A9='Données projet'!$A$36,'Données projet'!$B$36,N8+M9-V8)))</f>
        <v>4.566643676946887</v>
      </c>
      <c r="O9" s="14">
        <f>N9*VLOOKUP('Données projet'!$B$9,Paramètres!$A$1:$I$89,3,0)*VLOOKUP('Données projet'!$B$9,Paramètres!$A$1:$I$89,5,0)</f>
        <v>2.1371892408111433</v>
      </c>
      <c r="P9" s="14">
        <f t="shared" si="33"/>
        <v>0.9015738804633705</v>
      </c>
      <c r="Q9" s="22">
        <f t="shared" si="2"/>
        <v>5.292512436219778</v>
      </c>
      <c r="R9" s="62">
        <f t="shared" si="0"/>
        <v>298.62584576955311</v>
      </c>
      <c r="S9" s="62">
        <f ca="1">AVERAGE(OFFSET($R$3,0,0,'Données projet'!$E$9+1,1))-AVERAGE(OFFSET($H$3,0,0,'Données projet'!$E$9+1,1))</f>
        <v>302.30714066618623</v>
      </c>
      <c r="T9" s="62">
        <f t="shared" si="34"/>
        <v>218.81984836501334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6.166666666666667</v>
      </c>
      <c r="AI9" s="14">
        <f>IF('Données projet'!$A$62&gt;35,AI8+AH9-AQ8,IF(A9&lt;'Données projet'!$A$62,$AF$205^A9,IF(A9='Données projet'!$A$62,'Données projet'!$B$62,AI8+AH9-AQ8)))</f>
        <v>4.805895533705332</v>
      </c>
      <c r="AJ9" s="14">
        <f>AI9*VLOOKUP('Données projet'!$B$10,Paramètres!$A$1:$I$89,3,0)*VLOOKUP('Données projet'!$B$10,Paramètres!$A$1:$I$89,5,0)</f>
        <v>2.8739255291557888</v>
      </c>
      <c r="AK9" s="14">
        <f t="shared" si="35"/>
        <v>1.1712808039734253</v>
      </c>
      <c r="AL9" s="22">
        <f t="shared" si="4"/>
        <v>7.0454010302000478</v>
      </c>
      <c r="AM9" s="62">
        <f t="shared" si="5"/>
        <v>300.37873436353334</v>
      </c>
      <c r="AN9" s="62">
        <f ca="1">AVERAGE(OFFSET($AM$3,0,0,'Données projet'!$E$10+1,1))-AVERAGE(OFFSET($H$3,0,0,'Données projet'!$E$10+1,1))</f>
        <v>150.05970318721711</v>
      </c>
      <c r="AO9" s="62">
        <f t="shared" si="36"/>
        <v>230.8269864623847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2.84</v>
      </c>
      <c r="BD9" s="13">
        <f>IF('Données projet'!$A$88&gt;35,BD8+BC9-BL8,IF(A9&lt;'Données projet'!$A$88,$BA$205^A9,IF(A9='Données projet'!$A$88,'Données projet'!$B$88,BD8+BC9-BL8)))</f>
        <v>2.7816469225897635</v>
      </c>
      <c r="BE9" s="14">
        <f>BD9*VLOOKUP('Données projet'!$B$11,Paramètres!$A$1:$I$89,3,0)*VLOOKUP('Données projet'!$B$11,Paramètres!$A$1:$I$89,5,0)</f>
        <v>2.5168341355592179</v>
      </c>
      <c r="BF9" s="14">
        <f t="shared" si="37"/>
        <v>1.0417108450732491</v>
      </c>
      <c r="BG9" s="22">
        <f t="shared" si="7"/>
        <v>6.1977991746015464</v>
      </c>
      <c r="BH9" s="62">
        <f t="shared" si="8"/>
        <v>299.53113250793484</v>
      </c>
      <c r="BI9" s="62">
        <f ca="1">AVERAGE(OFFSET($BH$3,0,0,'Données projet'!$E$11+1,1))-AVERAGE(OFFSET($H$3,0,0,'Données projet'!$E$11+1,1))</f>
        <v>278.41778972502732</v>
      </c>
      <c r="BJ9" s="62">
        <f t="shared" si="38"/>
        <v>157.75772798974242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3.9130000000000007</v>
      </c>
      <c r="D10" s="12">
        <f t="shared" si="32"/>
        <v>1.5384867718747026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42.081652274120522</v>
      </c>
      <c r="H10" s="70">
        <f t="shared" si="1"/>
        <v>302.82800612768176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7.9</v>
      </c>
      <c r="N10" s="14">
        <f>IF('Données projet'!$A$36&gt;35,N9+M10-V9,IF(A10&lt;'Données projet'!$A$36,$K$205^A10,IF(A10='Données projet'!$A$36,'Données projet'!$B$36,N9+M10-V9)))</f>
        <v>5.8820671812210037</v>
      </c>
      <c r="O10" s="14">
        <f>N10*VLOOKUP('Données projet'!$B$9,Paramètres!$A$1:$I$89,3,0)*VLOOKUP('Données projet'!$B$9,Paramètres!$A$1:$I$89,5,0)</f>
        <v>2.7528074408114294</v>
      </c>
      <c r="P10" s="14">
        <f t="shared" si="33"/>
        <v>1.1275556652411438</v>
      </c>
      <c r="Q10" s="22">
        <f t="shared" si="2"/>
        <v>6.7582990763748976</v>
      </c>
      <c r="R10" s="62">
        <f t="shared" si="0"/>
        <v>300.09163240970821</v>
      </c>
      <c r="S10" s="62">
        <f ca="1">AVERAGE(OFFSET($R$3,0,0,'Données projet'!$E$9+1,1))-AVERAGE(OFFSET($H$3,0,0,'Données projet'!$E$9+1,1))</f>
        <v>302.30714066618623</v>
      </c>
      <c r="T10" s="62">
        <f t="shared" si="34"/>
        <v>218.81984836501334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6.166666666666667</v>
      </c>
      <c r="AI10" s="14">
        <f>IF('Données projet'!$A$62&gt;35,AI9+AH10-AQ9,IF(A10&lt;'Données projet'!$A$62,$AF$205^A10,IF(A10='Données projet'!$A$62,'Données projet'!$B$62,AI9+AH10-AQ9)))</f>
        <v>6.243144409111304</v>
      </c>
      <c r="AJ10" s="14">
        <f>AI10*VLOOKUP('Données projet'!$B$10,Paramètres!$A$1:$I$89,3,0)*VLOOKUP('Données projet'!$B$10,Paramètres!$A$1:$I$89,5,0)</f>
        <v>3.7334003566485601</v>
      </c>
      <c r="AK10" s="14">
        <f t="shared" si="35"/>
        <v>1.4759228557786761</v>
      </c>
      <c r="AL10" s="22">
        <f t="shared" si="4"/>
        <v>9.0729045949774356</v>
      </c>
      <c r="AM10" s="62">
        <f t="shared" si="5"/>
        <v>302.40623792831076</v>
      </c>
      <c r="AN10" s="62">
        <f ca="1">AVERAGE(OFFSET($AM$3,0,0,'Données projet'!$E$10+1,1))-AVERAGE(OFFSET($H$3,0,0,'Données projet'!$E$10+1,1))</f>
        <v>150.05970318721711</v>
      </c>
      <c r="AO10" s="62">
        <f t="shared" si="36"/>
        <v>230.8269864623847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2.84</v>
      </c>
      <c r="BD10" s="13">
        <f>IF('Données projet'!$A$88&gt;35,BD9+BC10-BL9,IF(A10&lt;'Données projet'!$A$88,$BA$205^A10,IF(A10='Données projet'!$A$88,'Données projet'!$B$88,BD9+BC10-BL9)))</f>
        <v>3.2987722888587467</v>
      </c>
      <c r="BE10" s="14">
        <f>BD10*VLOOKUP('Données projet'!$B$11,Paramètres!$A$1:$I$89,3,0)*VLOOKUP('Données projet'!$B$11,Paramètres!$A$1:$I$89,5,0)</f>
        <v>2.9847291669593941</v>
      </c>
      <c r="BF10" s="14">
        <f t="shared" si="37"/>
        <v>1.2110945802433715</v>
      </c>
      <c r="BG10" s="22">
        <f t="shared" si="7"/>
        <v>7.3077263597114817</v>
      </c>
      <c r="BH10" s="62">
        <f t="shared" si="8"/>
        <v>300.64105969304478</v>
      </c>
      <c r="BI10" s="62">
        <f ca="1">AVERAGE(OFFSET($BH$3,0,0,'Données projet'!$E$11+1,1))-AVERAGE(OFFSET($H$3,0,0,'Données projet'!$E$11+1,1))</f>
        <v>278.41778972502732</v>
      </c>
      <c r="BJ10" s="62">
        <f t="shared" si="38"/>
        <v>157.75772798974242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4.4720000000000004</v>
      </c>
      <c r="D11" s="12">
        <f t="shared" si="32"/>
        <v>1.7311529925500933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47.883988012667395</v>
      </c>
      <c r="H11" s="70">
        <f t="shared" si="1"/>
        <v>304.1371581286914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7.9</v>
      </c>
      <c r="N11" s="14">
        <f>IF('Données projet'!$A$36&gt;35,N10+M11-V10,IF(A11&lt;'Données projet'!$A$36,$K$205^A11,IF(A11='Données projet'!$A$36,'Données projet'!$B$36,N10+M11-V10)))</f>
        <v>7.5763989424129567</v>
      </c>
      <c r="O11" s="14">
        <f>N11*VLOOKUP('Données projet'!$B$9,Paramètres!$A$1:$I$89,3,0)*VLOOKUP('Données projet'!$B$9,Paramètres!$A$1:$I$89,5,0)</f>
        <v>3.5457547050492639</v>
      </c>
      <c r="P11" s="14">
        <f t="shared" si="33"/>
        <v>1.4101803587787649</v>
      </c>
      <c r="Q11" s="22">
        <f t="shared" si="2"/>
        <v>8.631586902833817</v>
      </c>
      <c r="R11" s="62">
        <f t="shared" si="0"/>
        <v>301.96492023616713</v>
      </c>
      <c r="S11" s="62">
        <f ca="1">AVERAGE(OFFSET($R$3,0,0,'Données projet'!$E$9+1,1))-AVERAGE(OFFSET($H$3,0,0,'Données projet'!$E$9+1,1))</f>
        <v>302.30714066618623</v>
      </c>
      <c r="T11" s="62">
        <f t="shared" si="34"/>
        <v>218.81984836501334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6.166666666666667</v>
      </c>
      <c r="AI11" s="14">
        <f>IF('Données projet'!$A$62&gt;35,AI10+AH11-AQ10,IF(A11&lt;'Données projet'!$A$62,$AF$205^A11,IF(A11='Données projet'!$A$62,'Données projet'!$B$62,AI10+AH11-AQ10)))</f>
        <v>8.1102162624343812</v>
      </c>
      <c r="AJ11" s="14">
        <f>AI11*VLOOKUP('Données projet'!$B$10,Paramètres!$A$1:$I$89,3,0)*VLOOKUP('Données projet'!$B$10,Paramètres!$A$1:$I$89,5,0)</f>
        <v>4.8499093249357603</v>
      </c>
      <c r="AK11" s="14">
        <f t="shared" si="35"/>
        <v>1.8598002023256139</v>
      </c>
      <c r="AL11" s="22">
        <f t="shared" si="4"/>
        <v>11.686077426646891</v>
      </c>
      <c r="AM11" s="62">
        <f t="shared" si="5"/>
        <v>305.01941075998019</v>
      </c>
      <c r="AN11" s="62">
        <f ca="1">AVERAGE(OFFSET($AM$3,0,0,'Données projet'!$E$10+1,1))-AVERAGE(OFFSET($H$3,0,0,'Données projet'!$E$10+1,1))</f>
        <v>150.05970318721711</v>
      </c>
      <c r="AO11" s="62">
        <f t="shared" si="36"/>
        <v>230.8269864623847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2.84</v>
      </c>
      <c r="BD11" s="13">
        <f>IF('Données projet'!$A$88&gt;35,BD10+BC11-BL10,IF(A11&lt;'Données projet'!$A$88,$BA$205^A11,IF(A11='Données projet'!$A$88,'Données projet'!$B$88,BD10+BC11-BL10)))</f>
        <v>3.9120344589280696</v>
      </c>
      <c r="BE11" s="14">
        <f>BD11*VLOOKUP('Données projet'!$B$11,Paramètres!$A$1:$I$89,3,0)*VLOOKUP('Données projet'!$B$11,Paramètres!$A$1:$I$89,5,0)</f>
        <v>3.5396087784381174</v>
      </c>
      <c r="BF11" s="14">
        <f t="shared" si="37"/>
        <v>1.4080203630708406</v>
      </c>
      <c r="BG11" s="22">
        <f t="shared" si="7"/>
        <v>8.6171207547947688</v>
      </c>
      <c r="BH11" s="62">
        <f t="shared" si="8"/>
        <v>301.95045408812808</v>
      </c>
      <c r="BI11" s="62">
        <f ca="1">AVERAGE(OFFSET($BH$3,0,0,'Données projet'!$E$11+1,1))-AVERAGE(OFFSET($H$3,0,0,'Données projet'!$E$11+1,1))</f>
        <v>278.41778972502732</v>
      </c>
      <c r="BJ11" s="62">
        <f t="shared" si="38"/>
        <v>157.75772798974242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5.0310000000000006</v>
      </c>
      <c r="D12" s="12">
        <f t="shared" si="32"/>
        <v>1.9210285514955543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53.664781801018329</v>
      </c>
      <c r="H12" s="70">
        <f t="shared" si="1"/>
        <v>305.44144972718806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7.9</v>
      </c>
      <c r="N12" s="14">
        <f>IF('Données projet'!$A$36&gt;35,N11+M12-V11,IF(A12&lt;'Données projet'!$A$36,$K$205^A12,IF(A12='Données projet'!$A$36,'Données projet'!$B$36,N11+M12-V11)))</f>
        <v>9.7587836327093171</v>
      </c>
      <c r="O12" s="14">
        <f>N12*VLOOKUP('Données projet'!$B$9,Paramètres!$A$1:$I$89,3,0)*VLOOKUP('Données projet'!$B$9,Paramètres!$A$1:$I$89,5,0)</f>
        <v>4.5671107401079603</v>
      </c>
      <c r="P12" s="14">
        <f t="shared" si="33"/>
        <v>1.763645650133036</v>
      </c>
      <c r="Q12" s="22">
        <f t="shared" si="2"/>
        <v>11.026067379669733</v>
      </c>
      <c r="R12" s="62">
        <f t="shared" si="0"/>
        <v>304.35940071300303</v>
      </c>
      <c r="S12" s="62">
        <f ca="1">AVERAGE(OFFSET($R$3,0,0,'Données projet'!$E$9+1,1))-AVERAGE(OFFSET($H$3,0,0,'Données projet'!$E$9+1,1))</f>
        <v>302.30714066618623</v>
      </c>
      <c r="T12" s="62">
        <f t="shared" si="34"/>
        <v>218.81984836501334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6.166666666666667</v>
      </c>
      <c r="AI12" s="14">
        <f>IF('Données projet'!$A$62&gt;35,AI11+AH12-AQ11,IF(A12&lt;'Données projet'!$A$62,$AF$205^A12,IF(A12='Données projet'!$A$62,'Données projet'!$B$62,AI11+AH12-AQ11)))</f>
        <v>10.535653752852737</v>
      </c>
      <c r="AJ12" s="14">
        <f>AI12*VLOOKUP('Données projet'!$B$10,Paramètres!$A$1:$I$89,3,0)*VLOOKUP('Données projet'!$B$10,Paramètres!$A$1:$I$89,5,0)</f>
        <v>6.3003209442059376</v>
      </c>
      <c r="AK12" s="14">
        <f t="shared" si="35"/>
        <v>2.3435213968182298</v>
      </c>
      <c r="AL12" s="22">
        <f t="shared" si="4"/>
        <v>15.054692077283761</v>
      </c>
      <c r="AM12" s="62">
        <f t="shared" si="5"/>
        <v>308.38802541061705</v>
      </c>
      <c r="AN12" s="62">
        <f ca="1">AVERAGE(OFFSET($AM$3,0,0,'Données projet'!$E$10+1,1))-AVERAGE(OFFSET($H$3,0,0,'Données projet'!$E$10+1,1))</f>
        <v>150.05970318721711</v>
      </c>
      <c r="AO12" s="62">
        <f t="shared" si="36"/>
        <v>230.8269864623847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2.84</v>
      </c>
      <c r="BD12" s="13">
        <f>IF('Données projet'!$A$88&gt;35,BD11+BC12-BL11,IF(A12&lt;'Données projet'!$A$88,$BA$205^A12,IF(A12='Données projet'!$A$88,'Données projet'!$B$88,BD11+BC12-BL11)))</f>
        <v>4.6393058591914071</v>
      </c>
      <c r="BE12" s="14">
        <f>BD12*VLOOKUP('Données projet'!$B$11,Paramètres!$A$1:$I$89,3,0)*VLOOKUP('Données projet'!$B$11,Paramètres!$A$1:$I$89,5,0)</f>
        <v>4.1976439413963851</v>
      </c>
      <c r="BF12" s="14">
        <f t="shared" si="37"/>
        <v>1.6369665715321342</v>
      </c>
      <c r="BG12" s="22">
        <f t="shared" si="7"/>
        <v>10.161946643350502</v>
      </c>
      <c r="BH12" s="62">
        <f t="shared" si="8"/>
        <v>303.49527997668383</v>
      </c>
      <c r="BI12" s="62">
        <f ca="1">AVERAGE(OFFSET($BH$3,0,0,'Données projet'!$E$11+1,1))-AVERAGE(OFFSET($H$3,0,0,'Données projet'!$E$11+1,1))</f>
        <v>278.41778972502732</v>
      </c>
      <c r="BJ12" s="62">
        <f t="shared" si="38"/>
        <v>157.75772798974242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5.5900000000000007</v>
      </c>
      <c r="D13" s="12">
        <f t="shared" si="32"/>
        <v>2.1084588929503836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59.426700226283664</v>
      </c>
      <c r="H13" s="70">
        <f t="shared" si="1"/>
        <v>306.74148257188858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7.9</v>
      </c>
      <c r="N13" s="14">
        <f>IF('Données projet'!$A$36&gt;35,N12+M13-V12,IF(A13&lt;'Données projet'!$A$36,$K$205^A13,IF(A13='Données projet'!$A$36,'Données projet'!$B$36,N12+M13-V12)))</f>
        <v>12.569805089976542</v>
      </c>
      <c r="O13" s="14">
        <f>N13*VLOOKUP('Données projet'!$B$9,Paramètres!$A$1:$I$89,3,0)*VLOOKUP('Données projet'!$B$9,Paramètres!$A$1:$I$89,5,0)</f>
        <v>5.8826687821090227</v>
      </c>
      <c r="P13" s="14">
        <f t="shared" si="33"/>
        <v>2.2057079152108381</v>
      </c>
      <c r="Q13" s="22">
        <f t="shared" si="2"/>
        <v>14.087256081165423</v>
      </c>
      <c r="R13" s="62">
        <f t="shared" si="0"/>
        <v>307.42058941449875</v>
      </c>
      <c r="S13" s="62">
        <f ca="1">AVERAGE(OFFSET($R$3,0,0,'Données projet'!$E$9+1,1))-AVERAGE(OFFSET($H$3,0,0,'Données projet'!$E$9+1,1))</f>
        <v>302.30714066618623</v>
      </c>
      <c r="T13" s="62">
        <f t="shared" si="34"/>
        <v>218.81984836501334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6.166666666666667</v>
      </c>
      <c r="AI13" s="14">
        <f>IF('Données projet'!$A$62&gt;35,AI12+AH13-AQ12,IF(A13&lt;'Données projet'!$A$62,$AF$205^A13,IF(A13='Données projet'!$A$62,'Données projet'!$B$62,AI12+AH13-AQ12)))</f>
        <v>13.686441447207715</v>
      </c>
      <c r="AJ13" s="14">
        <f>AI13*VLOOKUP('Données projet'!$B$10,Paramètres!$A$1:$I$89,3,0)*VLOOKUP('Données projet'!$B$10,Paramètres!$A$1:$I$89,5,0)</f>
        <v>8.1844919854302152</v>
      </c>
      <c r="AK13" s="14">
        <f t="shared" si="35"/>
        <v>2.9530551348887908</v>
      </c>
      <c r="AL13" s="22">
        <f t="shared" si="4"/>
        <v>19.397894567888933</v>
      </c>
      <c r="AM13" s="62">
        <f t="shared" si="5"/>
        <v>312.73122790122227</v>
      </c>
      <c r="AN13" s="62">
        <f ca="1">AVERAGE(OFFSET($AM$3,0,0,'Données projet'!$E$10+1,1))-AVERAGE(OFFSET($H$3,0,0,'Données projet'!$E$10+1,1))</f>
        <v>150.05970318721711</v>
      </c>
      <c r="AO13" s="62">
        <f t="shared" si="36"/>
        <v>230.8269864623847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2.84</v>
      </c>
      <c r="BD13" s="13">
        <f>IF('Données projet'!$A$88&gt;35,BD12+BC13-BL12,IF(A13&lt;'Données projet'!$A$88,$BA$205^A13,IF(A13='Données projet'!$A$88,'Données projet'!$B$88,BD12+BC13-BL12)))</f>
        <v>5.5017815106427381</v>
      </c>
      <c r="BE13" s="14">
        <f>BD13*VLOOKUP('Données projet'!$B$11,Paramètres!$A$1:$I$89,3,0)*VLOOKUP('Données projet'!$B$11,Paramètres!$A$1:$I$89,5,0)</f>
        <v>4.9780119108295491</v>
      </c>
      <c r="BF13" s="14">
        <f t="shared" si="37"/>
        <v>1.9031397745338225</v>
      </c>
      <c r="BG13" s="22">
        <f t="shared" si="7"/>
        <v>11.984672518674538</v>
      </c>
      <c r="BH13" s="62">
        <f t="shared" si="8"/>
        <v>305.31800585200784</v>
      </c>
      <c r="BI13" s="62">
        <f ca="1">AVERAGE(OFFSET($BH$3,0,0,'Données projet'!$E$11+1,1))-AVERAGE(OFFSET($H$3,0,0,'Données projet'!$E$11+1,1))</f>
        <v>278.41778972502732</v>
      </c>
      <c r="BJ13" s="62">
        <f t="shared" si="38"/>
        <v>157.75772798974242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6.1490000000000009</v>
      </c>
      <c r="D14" s="12">
        <f t="shared" si="32"/>
        <v>2.293716374319045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65.171845696497897</v>
      </c>
      <c r="H14" s="70">
        <f t="shared" si="1"/>
        <v>308.03773101860565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7.9</v>
      </c>
      <c r="N14" s="14">
        <f>IF('Données projet'!$A$36&gt;35,N13+M14-V13,IF(A14&lt;'Données projet'!$A$36,$K$205^A14,IF(A14='Données projet'!$A$36,'Données projet'!$B$36,N13+M14-V13)))</f>
        <v>16.190542381779895</v>
      </c>
      <c r="O14" s="14">
        <f>N14*VLOOKUP('Données projet'!$B$9,Paramètres!$A$1:$I$89,3,0)*VLOOKUP('Données projet'!$B$9,Paramètres!$A$1:$I$89,5,0)</f>
        <v>7.5771738346729904</v>
      </c>
      <c r="P14" s="14">
        <f t="shared" si="33"/>
        <v>2.7585742106736397</v>
      </c>
      <c r="Q14" s="22">
        <f t="shared" si="2"/>
        <v>18.001427845645381</v>
      </c>
      <c r="R14" s="62">
        <f t="shared" si="0"/>
        <v>311.33476117897868</v>
      </c>
      <c r="S14" s="62">
        <f ca="1">AVERAGE(OFFSET($R$3,0,0,'Données projet'!$E$9+1,1))-AVERAGE(OFFSET($H$3,0,0,'Données projet'!$E$9+1,1))</f>
        <v>302.30714066618623</v>
      </c>
      <c r="T14" s="62">
        <f t="shared" si="34"/>
        <v>218.81984836501334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6.166666666666667</v>
      </c>
      <c r="AI14" s="14">
        <f>IF('Données projet'!$A$62&gt;35,AI13+AH14-AQ13,IF(A14&lt;'Données projet'!$A$62,$AF$205^A14,IF(A14='Données projet'!$A$62,'Données projet'!$B$62,AI13+AH14-AQ13)))</f>
        <v>17.779502238968792</v>
      </c>
      <c r="AJ14" s="14">
        <f>AI14*VLOOKUP('Données projet'!$B$10,Paramètres!$A$1:$I$89,3,0)*VLOOKUP('Données projet'!$B$10,Paramètres!$A$1:$I$89,5,0)</f>
        <v>10.632142338903337</v>
      </c>
      <c r="AK14" s="14">
        <f t="shared" si="35"/>
        <v>3.7211243906425677</v>
      </c>
      <c r="AL14" s="22">
        <f t="shared" si="4"/>
        <v>24.998606220625785</v>
      </c>
      <c r="AM14" s="62">
        <f t="shared" si="5"/>
        <v>318.3319395539591</v>
      </c>
      <c r="AN14" s="62">
        <f ca="1">AVERAGE(OFFSET($AM$3,0,0,'Données projet'!$E$10+1,1))-AVERAGE(OFFSET($H$3,0,0,'Données projet'!$E$10+1,1))</f>
        <v>150.05970318721711</v>
      </c>
      <c r="AO14" s="62">
        <f t="shared" si="36"/>
        <v>230.8269864623847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2.84</v>
      </c>
      <c r="BD14" s="13">
        <f>IF('Données projet'!$A$88&gt;35,BD13+BC14-BL13,IF(A14&lt;'Données projet'!$A$88,$BA$205^A14,IF(A14='Données projet'!$A$88,'Données projet'!$B$88,BD13+BC14-BL13)))</f>
        <v>6.5245967197614414</v>
      </c>
      <c r="BE14" s="14">
        <f>BD14*VLOOKUP('Données projet'!$B$11,Paramètres!$A$1:$I$89,3,0)*VLOOKUP('Données projet'!$B$11,Paramètres!$A$1:$I$89,5,0)</f>
        <v>5.9034551120401524</v>
      </c>
      <c r="BF14" s="14">
        <f t="shared" si="37"/>
        <v>2.2125931368425316</v>
      </c>
      <c r="BG14" s="22">
        <f t="shared" si="7"/>
        <v>14.135450700137341</v>
      </c>
      <c r="BH14" s="62">
        <f t="shared" si="8"/>
        <v>307.46878403347068</v>
      </c>
      <c r="BI14" s="62">
        <f ca="1">AVERAGE(OFFSET($BH$3,0,0,'Données projet'!$E$11+1,1))-AVERAGE(OFFSET($H$3,0,0,'Données projet'!$E$11+1,1))</f>
        <v>278.41778972502732</v>
      </c>
      <c r="BJ14" s="62">
        <f t="shared" si="38"/>
        <v>157.75772798974242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6.7080000000000011</v>
      </c>
      <c r="D15" s="12">
        <f t="shared" si="32"/>
        <v>2.4770209932006879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70.901916438742163</v>
      </c>
      <c r="H15" s="70">
        <f t="shared" si="1"/>
        <v>309.33057822982454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7.9</v>
      </c>
      <c r="N15" s="14">
        <f>IF('Données projet'!$A$36&gt;35,N14+M15-V14,IF(A15&lt;'Données projet'!$A$36,$K$205^A15,IF(A15='Données projet'!$A$36,'Données projet'!$B$36,N14+M15-V14)))</f>
        <v>20.854234472198982</v>
      </c>
      <c r="O15" s="14">
        <f>N15*VLOOKUP('Données projet'!$B$9,Paramètres!$A$1:$I$89,3,0)*VLOOKUP('Données projet'!$B$9,Paramètres!$A$1:$I$89,5,0)</f>
        <v>9.7597817329891239</v>
      </c>
      <c r="P15" s="14">
        <f t="shared" si="33"/>
        <v>3.4500178483814818</v>
      </c>
      <c r="Q15" s="22">
        <f t="shared" si="2"/>
        <v>23.00706760422047</v>
      </c>
      <c r="R15" s="62">
        <f t="shared" si="0"/>
        <v>316.3404009375538</v>
      </c>
      <c r="S15" s="62">
        <f ca="1">AVERAGE(OFFSET($R$3,0,0,'Données projet'!$E$9+1,1))-AVERAGE(OFFSET($H$3,0,0,'Données projet'!$E$9+1,1))</f>
        <v>302.30714066618623</v>
      </c>
      <c r="T15" s="62">
        <f t="shared" si="34"/>
        <v>218.81984836501334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6.166666666666667</v>
      </c>
      <c r="AI15" s="14">
        <f>IF('Données projet'!$A$62&gt;35,AI14+AH15-AQ14,IF(A15&lt;'Données projet'!$A$62,$AF$205^A15,IF(A15='Données projet'!$A$62,'Données projet'!$B$62,AI14+AH15-AQ14)))</f>
        <v>23.096631880888861</v>
      </c>
      <c r="AJ15" s="14">
        <f>AI15*VLOOKUP('Données projet'!$B$10,Paramètres!$A$1:$I$89,3,0)*VLOOKUP('Données projet'!$B$10,Paramètres!$A$1:$I$89,5,0)</f>
        <v>13.811785864771538</v>
      </c>
      <c r="AK15" s="14">
        <f t="shared" si="35"/>
        <v>4.6889631578641264</v>
      </c>
      <c r="AL15" s="22">
        <f t="shared" si="4"/>
        <v>32.222137881090447</v>
      </c>
      <c r="AM15" s="62">
        <f t="shared" si="5"/>
        <v>325.55547121442373</v>
      </c>
      <c r="AN15" s="62">
        <f ca="1">AVERAGE(OFFSET($AM$3,0,0,'Données projet'!$E$10+1,1))-AVERAGE(OFFSET($H$3,0,0,'Données projet'!$E$10+1,1))</f>
        <v>150.05970318721711</v>
      </c>
      <c r="AO15" s="62">
        <f t="shared" si="36"/>
        <v>230.8269864623847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2.84</v>
      </c>
      <c r="BD15" s="13">
        <f>IF('Données projet'!$A$88&gt;35,BD14+BC15-BL14,IF(A15&lt;'Données projet'!$A$88,$BA$205^A15,IF(A15='Données projet'!$A$88,'Données projet'!$B$88,BD14+BC15-BL14)))</f>
        <v>7.7375596019531026</v>
      </c>
      <c r="BE15" s="14">
        <f>BD15*VLOOKUP('Données projet'!$B$11,Paramètres!$A$1:$I$89,3,0)*VLOOKUP('Données projet'!$B$11,Paramètres!$A$1:$I$89,5,0)</f>
        <v>7.0009439278471666</v>
      </c>
      <c r="BF15" s="14">
        <f t="shared" si="37"/>
        <v>2.5723640768329017</v>
      </c>
      <c r="BG15" s="22">
        <f t="shared" si="7"/>
        <v>16.673511441484454</v>
      </c>
      <c r="BH15" s="62">
        <f t="shared" si="8"/>
        <v>310.00684477481775</v>
      </c>
      <c r="BI15" s="62">
        <f ca="1">AVERAGE(OFFSET($BH$3,0,0,'Données projet'!$E$11+1,1))-AVERAGE(OFFSET($H$3,0,0,'Données projet'!$E$11+1,1))</f>
        <v>278.41778972502732</v>
      </c>
      <c r="BJ15" s="62">
        <f t="shared" si="38"/>
        <v>157.75772798974242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7.2670000000000012</v>
      </c>
      <c r="D16" s="12">
        <f t="shared" si="32"/>
        <v>2.6585539900627135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76.618311502238512</v>
      </c>
      <c r="H16" s="70">
        <f t="shared" si="1"/>
        <v>310.62033986602586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7.9</v>
      </c>
      <c r="N16" s="14">
        <f>IF('Données projet'!$A$36&gt;35,N15+M16-V15,IF(A16&lt;'Données projet'!$A$36,$K$205^A16,IF(A16='Données projet'!$A$36,'Données projet'!$B$36,N15+M16-V15)))</f>
        <v>26.861304900499697</v>
      </c>
      <c r="O16" s="14">
        <f>N16*VLOOKUP('Données projet'!$B$9,Paramètres!$A$1:$I$89,3,0)*VLOOKUP('Données projet'!$B$9,Paramètres!$A$1:$I$89,5,0)</f>
        <v>12.571090693433858</v>
      </c>
      <c r="P16" s="14">
        <f t="shared" si="33"/>
        <v>4.3147735914069099</v>
      </c>
      <c r="Q16" s="22">
        <f t="shared" si="2"/>
        <v>29.409546962764335</v>
      </c>
      <c r="R16" s="62">
        <f t="shared" si="0"/>
        <v>322.74288029609767</v>
      </c>
      <c r="S16" s="62">
        <f ca="1">AVERAGE(OFFSET($R$3,0,0,'Données projet'!$E$9+1,1))-AVERAGE(OFFSET($H$3,0,0,'Données projet'!$E$9+1,1))</f>
        <v>302.30714066618623</v>
      </c>
      <c r="T16" s="62">
        <f t="shared" si="34"/>
        <v>218.81984836501334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6.166666666666667</v>
      </c>
      <c r="AI16" s="14">
        <f>IF('Données projet'!$A$62&gt;35,AI15+AH16-AQ15,IF(A16&lt;'Données projet'!$A$62,$AF$205^A16,IF(A16='Données projet'!$A$62,'Données projet'!$B$62,AI15+AH16-AQ15)))</f>
        <v>30.003899832025432</v>
      </c>
      <c r="AJ16" s="14">
        <f>AI16*VLOOKUP('Données projet'!$B$10,Paramètres!$A$1:$I$89,3,0)*VLOOKUP('Données projet'!$B$10,Paramètres!$A$1:$I$89,5,0)</f>
        <v>17.942332099551209</v>
      </c>
      <c r="AK16" s="14">
        <f t="shared" si="35"/>
        <v>5.9085301074846619</v>
      </c>
      <c r="AL16" s="22">
        <f t="shared" si="4"/>
        <v>41.54025167725414</v>
      </c>
      <c r="AM16" s="62">
        <f t="shared" si="5"/>
        <v>334.87358501058748</v>
      </c>
      <c r="AN16" s="62">
        <f ca="1">AVERAGE(OFFSET($AM$3,0,0,'Données projet'!$E$10+1,1))-AVERAGE(OFFSET($H$3,0,0,'Données projet'!$E$10+1,1))</f>
        <v>150.05970318721711</v>
      </c>
      <c r="AO16" s="62">
        <f t="shared" si="36"/>
        <v>230.8269864623847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2.84</v>
      </c>
      <c r="BD16" s="13">
        <f>IF('Données projet'!$A$88&gt;35,BD15+BC16-BL15,IF(A16&lt;'Données projet'!$A$88,$BA$205^A16,IF(A16='Données projet'!$A$88,'Données projet'!$B$88,BD15+BC16-BL15)))</f>
        <v>9.1760197856283234</v>
      </c>
      <c r="BE16" s="14">
        <f>BD16*VLOOKUP('Données projet'!$B$11,Paramètres!$A$1:$I$89,3,0)*VLOOKUP('Données projet'!$B$11,Paramètres!$A$1:$I$89,5,0)</f>
        <v>8.3024627020365074</v>
      </c>
      <c r="BF16" s="14">
        <f t="shared" si="37"/>
        <v>2.9906343075904238</v>
      </c>
      <c r="BG16" s="22">
        <f t="shared" si="7"/>
        <v>19.668810625100239</v>
      </c>
      <c r="BH16" s="62">
        <f t="shared" si="8"/>
        <v>313.00214395843358</v>
      </c>
      <c r="BI16" s="62">
        <f ca="1">AVERAGE(OFFSET($BH$3,0,0,'Données projet'!$E$11+1,1))-AVERAGE(OFFSET($H$3,0,0,'Données projet'!$E$11+1,1))</f>
        <v>278.41778972502732</v>
      </c>
      <c r="BJ16" s="62">
        <f t="shared" si="38"/>
        <v>157.75772798974242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7.8260000000000014</v>
      </c>
      <c r="D17" s="12">
        <f t="shared" si="32"/>
        <v>2.8384671382814215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82.322202470944333</v>
      </c>
      <c r="H17" s="70">
        <f t="shared" si="1"/>
        <v>311.90728026584014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7.9</v>
      </c>
      <c r="N17" s="14">
        <f>IF('Données projet'!$A$36&gt;35,N16+M17-V16,IF(A17&lt;'Données projet'!$A$36,$K$205^A17,IF(A17='Données projet'!$A$36,'Données projet'!$B$36,N16+M17-V16)))</f>
        <v>34.598714324397214</v>
      </c>
      <c r="O17" s="14">
        <f>N17*VLOOKUP('Données projet'!$B$9,Paramètres!$A$1:$I$89,3,0)*VLOOKUP('Données projet'!$B$9,Paramètres!$A$1:$I$89,5,0)</f>
        <v>16.192198303817896</v>
      </c>
      <c r="P17" s="14">
        <f t="shared" si="33"/>
        <v>5.3962825594761723</v>
      </c>
      <c r="Q17" s="22">
        <f t="shared" si="2"/>
        <v>37.599937503570509</v>
      </c>
      <c r="R17" s="62">
        <f t="shared" si="0"/>
        <v>330.93327083690383</v>
      </c>
      <c r="S17" s="62">
        <f ca="1">AVERAGE(OFFSET($R$3,0,0,'Données projet'!$E$9+1,1))-AVERAGE(OFFSET($H$3,0,0,'Données projet'!$E$9+1,1))</f>
        <v>302.30714066618623</v>
      </c>
      <c r="T17" s="62">
        <f t="shared" si="34"/>
        <v>218.81984836501334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6.166666666666667</v>
      </c>
      <c r="AI17" s="14">
        <f>IF('Données projet'!$A$62&gt;35,AI16+AH17-AQ16,IF(A17&lt;'Données projet'!$A$62,$AF$205^A17,IF(A17='Données projet'!$A$62,'Données projet'!$B$62,AI16+AH17-AQ16)))</f>
        <v>38.976852113017742</v>
      </c>
      <c r="AJ17" s="14">
        <f>AI17*VLOOKUP('Données projet'!$B$10,Paramètres!$A$1:$I$89,3,0)*VLOOKUP('Données projet'!$B$10,Paramètres!$A$1:$I$89,5,0)</f>
        <v>23.308157563584611</v>
      </c>
      <c r="AK17" s="14">
        <f t="shared" si="35"/>
        <v>7.4452980020757735</v>
      </c>
      <c r="AL17" s="22">
        <f t="shared" si="4"/>
        <v>53.56226844352517</v>
      </c>
      <c r="AM17" s="62">
        <f t="shared" si="5"/>
        <v>346.89560177685848</v>
      </c>
      <c r="AN17" s="62">
        <f ca="1">AVERAGE(OFFSET($AM$3,0,0,'Données projet'!$E$10+1,1))-AVERAGE(OFFSET($H$3,0,0,'Données projet'!$E$10+1,1))</f>
        <v>150.05970318721711</v>
      </c>
      <c r="AO17" s="62">
        <f t="shared" si="36"/>
        <v>230.8269864623847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2.84</v>
      </c>
      <c r="BD17" s="13">
        <f>IF('Données projet'!$A$88&gt;35,BD16+BC17-BL16,IF(A17&lt;'Données projet'!$A$88,$BA$205^A17,IF(A17='Données projet'!$A$88,'Données projet'!$B$88,BD16+BC17-BL16)))</f>
        <v>10.881898613742376</v>
      </c>
      <c r="BE17" s="14">
        <f>BD17*VLOOKUP('Données projet'!$B$11,Paramètres!$A$1:$I$89,3,0)*VLOOKUP('Données projet'!$B$11,Paramètres!$A$1:$I$89,5,0)</f>
        <v>9.8459418657141011</v>
      </c>
      <c r="BF17" s="14">
        <f t="shared" si="37"/>
        <v>3.4769159009359916</v>
      </c>
      <c r="BG17" s="22">
        <f t="shared" si="7"/>
        <v>23.203977276915577</v>
      </c>
      <c r="BH17" s="62">
        <f t="shared" si="8"/>
        <v>316.53731061024888</v>
      </c>
      <c r="BI17" s="62">
        <f ca="1">AVERAGE(OFFSET($BH$3,0,0,'Données projet'!$E$11+1,1))-AVERAGE(OFFSET($H$3,0,0,'Données projet'!$E$11+1,1))</f>
        <v>278.41778972502732</v>
      </c>
      <c r="BJ17" s="62">
        <f t="shared" si="38"/>
        <v>157.75772798974242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8.3850000000000016</v>
      </c>
      <c r="D18" s="12">
        <f t="shared" si="32"/>
        <v>3.0168893007228847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88.014584075755593</v>
      </c>
      <c r="H18" s="70">
        <f t="shared" si="1"/>
        <v>313.1916238654257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7.9</v>
      </c>
      <c r="N18" s="14">
        <f>IF('Données projet'!$A$36&gt;35,N17+M18-V17,IF(A18&lt;'Données projet'!$A$36,$K$205^A18,IF(A18='Données projet'!$A$36,'Données projet'!$B$36,N17+M18-V17)))</f>
        <v>44.564887571004775</v>
      </c>
      <c r="O18" s="14">
        <f>N18*VLOOKUP('Données projet'!$B$9,Paramètres!$A$1:$I$89,3,0)*VLOOKUP('Données projet'!$B$9,Paramètres!$A$1:$I$89,5,0)</f>
        <v>20.856367383230236</v>
      </c>
      <c r="P18" s="14">
        <f t="shared" si="33"/>
        <v>6.7488744993944465</v>
      </c>
      <c r="Q18" s="22">
        <f t="shared" si="2"/>
        <v>48.079129612237985</v>
      </c>
      <c r="R18" s="62">
        <f t="shared" si="0"/>
        <v>341.41246294557129</v>
      </c>
      <c r="S18" s="62">
        <f ca="1">AVERAGE(OFFSET($R$3,0,0,'Données projet'!$E$9+1,1))-AVERAGE(OFFSET($H$3,0,0,'Données projet'!$E$9+1,1))</f>
        <v>302.30714066618623</v>
      </c>
      <c r="T18" s="62">
        <f t="shared" si="34"/>
        <v>218.81984836501334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6.166666666666667</v>
      </c>
      <c r="AI18" s="14">
        <f>IF('Données projet'!$A$62&gt;35,AI17+AH18-AQ17,IF(A18&lt;'Données projet'!$A$62,$AF$205^A18,IF(A18='Données projet'!$A$62,'Données projet'!$B$62,AI17+AH18-AQ17)))</f>
        <v>50.633251315500786</v>
      </c>
      <c r="AJ18" s="14">
        <f>AI18*VLOOKUP('Données projet'!$B$10,Paramètres!$A$1:$I$89,3,0)*VLOOKUP('Données projet'!$B$10,Paramètres!$A$1:$I$89,5,0)</f>
        <v>30.278684286669471</v>
      </c>
      <c r="AK18" s="14">
        <f t="shared" si="35"/>
        <v>9.3817686177978814</v>
      </c>
      <c r="AL18" s="22">
        <f t="shared" si="4"/>
        <v>69.075288808613962</v>
      </c>
      <c r="AM18" s="62">
        <f t="shared" si="5"/>
        <v>362.40862214194726</v>
      </c>
      <c r="AN18" s="62">
        <f ca="1">AVERAGE(OFFSET($AM$3,0,0,'Données projet'!$E$10+1,1))-AVERAGE(OFFSET($H$3,0,0,'Données projet'!$E$10+1,1))</f>
        <v>150.05970318721711</v>
      </c>
      <c r="AO18" s="62">
        <f t="shared" si="36"/>
        <v>230.8269864623847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2.84</v>
      </c>
      <c r="BD18" s="13">
        <f>IF('Données projet'!$A$88&gt;35,BD17+BC18-BL17,IF(A18&lt;'Données projet'!$A$88,$BA$205^A18,IF(A18='Données projet'!$A$88,'Données projet'!$B$88,BD17+BC18-BL17)))</f>
        <v>12.904910866172436</v>
      </c>
      <c r="BE18" s="14">
        <f>BD18*VLOOKUP('Données projet'!$B$11,Paramètres!$A$1:$I$89,3,0)*VLOOKUP('Données projet'!$B$11,Paramètres!$A$1:$I$89,5,0)</f>
        <v>11.676363351712819</v>
      </c>
      <c r="BF18" s="14">
        <f t="shared" si="37"/>
        <v>4.0422676057380276</v>
      </c>
      <c r="BG18" s="22">
        <f t="shared" si="7"/>
        <v>27.376615584226887</v>
      </c>
      <c r="BH18" s="62">
        <f t="shared" si="8"/>
        <v>320.70994891756021</v>
      </c>
      <c r="BI18" s="62">
        <f ca="1">AVERAGE(OFFSET($BH$3,0,0,'Données projet'!$E$11+1,1))-AVERAGE(OFFSET($H$3,0,0,'Données projet'!$E$11+1,1))</f>
        <v>278.41778972502732</v>
      </c>
      <c r="BJ18" s="62">
        <f t="shared" si="38"/>
        <v>157.75772798974242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8.9440000000000008</v>
      </c>
      <c r="D19" s="12">
        <f t="shared" si="32"/>
        <v>3.193931186488729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93.69631091324635</v>
      </c>
      <c r="H19" s="70">
        <f t="shared" si="1"/>
        <v>314.47356348313451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7.9</v>
      </c>
      <c r="N19" s="14">
        <f>IF('Données projet'!$A$36&gt;35,N18+M19-V18,IF(A19&lt;'Données projet'!$A$36,$K$205^A19,IF(A19='Données projet'!$A$36,'Données projet'!$B$36,N18+M19-V18)))</f>
        <v>57.401820934596167</v>
      </c>
      <c r="O19" s="14">
        <f>N19*VLOOKUP('Données projet'!$B$9,Paramètres!$A$1:$I$89,3,0)*VLOOKUP('Données projet'!$B$9,Paramètres!$A$1:$I$89,5,0)</f>
        <v>26.864052197391008</v>
      </c>
      <c r="P19" s="14">
        <f t="shared" si="33"/>
        <v>8.4404970471001413</v>
      </c>
      <c r="Q19" s="22">
        <f t="shared" si="2"/>
        <v>61.488756600822086</v>
      </c>
      <c r="R19" s="62">
        <f t="shared" si="0"/>
        <v>354.82208993415543</v>
      </c>
      <c r="S19" s="62">
        <f ca="1">AVERAGE(OFFSET($R$3,0,0,'Données projet'!$E$9+1,1))-AVERAGE(OFFSET($H$3,0,0,'Données projet'!$E$9+1,1))</f>
        <v>302.30714066618623</v>
      </c>
      <c r="T19" s="62">
        <f t="shared" si="34"/>
        <v>218.81984836501334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6.166666666666667</v>
      </c>
      <c r="AI19" s="14">
        <f>IF('Données projet'!$A$62&gt;35,AI18+AH19-AQ18,IF(A19&lt;'Données projet'!$A$62,$AF$205^A19,IF(A19='Données projet'!$A$62,'Données projet'!$B$62,AI18+AH19-AQ18)))</f>
        <v>65.775607823455104</v>
      </c>
      <c r="AJ19" s="14">
        <f>AI19*VLOOKUP('Données projet'!$B$10,Paramètres!$A$1:$I$89,3,0)*VLOOKUP('Données projet'!$B$10,Paramètres!$A$1:$I$89,5,0)</f>
        <v>39.333813478426158</v>
      </c>
      <c r="AK19" s="14">
        <f t="shared" si="35"/>
        <v>11.821901873283993</v>
      </c>
      <c r="AL19" s="22">
        <f t="shared" si="4"/>
        <v>89.096204237561849</v>
      </c>
      <c r="AM19" s="62">
        <f t="shared" si="5"/>
        <v>382.42953757089515</v>
      </c>
      <c r="AN19" s="62">
        <f ca="1">AVERAGE(OFFSET($AM$3,0,0,'Données projet'!$E$10+1,1))-AVERAGE(OFFSET($H$3,0,0,'Données projet'!$E$10+1,1))</f>
        <v>150.05970318721711</v>
      </c>
      <c r="AO19" s="62">
        <f t="shared" si="36"/>
        <v>230.8269864623847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2.84</v>
      </c>
      <c r="BD19" s="13">
        <f>IF('Données projet'!$A$88&gt;35,BD18+BC19-BL18,IF(A19&lt;'Données projet'!$A$88,$BA$205^A19,IF(A19='Données projet'!$A$88,'Données projet'!$B$88,BD18+BC19-BL18)))</f>
        <v>15.304013607840634</v>
      </c>
      <c r="BE19" s="14">
        <f>BD19*VLOOKUP('Données projet'!$B$11,Paramètres!$A$1:$I$89,3,0)*VLOOKUP('Données projet'!$B$11,Paramètres!$A$1:$I$89,5,0)</f>
        <v>13.847071512374203</v>
      </c>
      <c r="BF19" s="14">
        <f t="shared" si="37"/>
        <v>4.6995463399043667</v>
      </c>
      <c r="BG19" s="22">
        <f t="shared" si="7"/>
        <v>32.302026092718499</v>
      </c>
      <c r="BH19" s="62">
        <f t="shared" si="8"/>
        <v>325.63535942605182</v>
      </c>
      <c r="BI19" s="62">
        <f ca="1">AVERAGE(OFFSET($BH$3,0,0,'Données projet'!$E$11+1,1))-AVERAGE(OFFSET($H$3,0,0,'Données projet'!$E$11+1,1))</f>
        <v>278.41778972502732</v>
      </c>
      <c r="BJ19" s="62">
        <f t="shared" si="38"/>
        <v>157.75772798974242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9.5030000000000001</v>
      </c>
      <c r="D20" s="12">
        <f t="shared" si="32"/>
        <v>3.369688883880555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99.368124717674462</v>
      </c>
      <c r="H20" s="70">
        <f t="shared" si="1"/>
        <v>315.75326647275864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7.9</v>
      </c>
      <c r="N20" s="14">
        <f>IF('Données projet'!$A$36&gt;35,N19+M20-V19,IF(A20&lt;'Données projet'!$A$36,$K$205^A20,IF(A20='Données projet'!$A$36,'Données projet'!$B$36,N19+M20-V19)))</f>
        <v>73.936437994095741</v>
      </c>
      <c r="O20" s="14">
        <f>N20*VLOOKUP('Données projet'!$B$9,Paramètres!$A$1:$I$89,3,0)*VLOOKUP('Données projet'!$B$9,Paramètres!$A$1:$I$89,5,0)</f>
        <v>34.602252981236802</v>
      </c>
      <c r="P20" s="14">
        <f t="shared" si="33"/>
        <v>10.556129086190376</v>
      </c>
      <c r="Q20" s="22">
        <f t="shared" si="2"/>
        <v>78.650848767435647</v>
      </c>
      <c r="R20" s="62">
        <f t="shared" si="0"/>
        <v>371.98418210076898</v>
      </c>
      <c r="S20" s="62">
        <f ca="1">AVERAGE(OFFSET($R$3,0,0,'Données projet'!$E$9+1,1))-AVERAGE(OFFSET($H$3,0,0,'Données projet'!$E$9+1,1))</f>
        <v>302.30714066618623</v>
      </c>
      <c r="T20" s="62">
        <f t="shared" si="34"/>
        <v>218.81984836501334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6.166666666666667</v>
      </c>
      <c r="AI20" s="14">
        <f>IF('Données projet'!$A$62&gt;35,AI19+AH20-AQ19,IF(A20&lt;'Données projet'!$A$62,$AF$205^A20,IF(A20='Données projet'!$A$62,'Données projet'!$B$62,AI19+AH20-AQ19)))</f>
        <v>85.44643040176409</v>
      </c>
      <c r="AJ20" s="14">
        <f>AI20*VLOOKUP('Données projet'!$B$10,Paramètres!$A$1:$I$89,3,0)*VLOOKUP('Données projet'!$B$10,Paramètres!$A$1:$I$89,5,0)</f>
        <v>51.096965380254936</v>
      </c>
      <c r="AK20" s="14">
        <f t="shared" si="35"/>
        <v>14.896696944372083</v>
      </c>
      <c r="AL20" s="22">
        <f t="shared" si="4"/>
        <v>114.93896188205872</v>
      </c>
      <c r="AM20" s="62">
        <f t="shared" si="5"/>
        <v>408.27229521539203</v>
      </c>
      <c r="AN20" s="62">
        <f ca="1">AVERAGE(OFFSET($AM$3,0,0,'Données projet'!$E$10+1,1))-AVERAGE(OFFSET($H$3,0,0,'Données projet'!$E$10+1,1))</f>
        <v>150.05970318721711</v>
      </c>
      <c r="AO20" s="62">
        <f t="shared" si="36"/>
        <v>230.8269864623847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2.84</v>
      </c>
      <c r="BD20" s="13">
        <f>IF('Données projet'!$A$88&gt;35,BD19+BC20-BL19,IF(A20&lt;'Données projet'!$A$88,$BA$205^A20,IF(A20='Données projet'!$A$88,'Données projet'!$B$88,BD19+BC20-BL19)))</f>
        <v>18.149124386663679</v>
      </c>
      <c r="BE20" s="14">
        <f>BD20*VLOOKUP('Données projet'!$B$11,Paramètres!$A$1:$I$89,3,0)*VLOOKUP('Données projet'!$B$11,Paramètres!$A$1:$I$89,5,0)</f>
        <v>16.421327745053297</v>
      </c>
      <c r="BF20" s="14">
        <f t="shared" si="37"/>
        <v>5.4636995753466904</v>
      </c>
      <c r="BG20" s="22">
        <f t="shared" si="7"/>
        <v>38.11642258302998</v>
      </c>
      <c r="BH20" s="62">
        <f t="shared" si="8"/>
        <v>331.4497559163633</v>
      </c>
      <c r="BI20" s="62">
        <f ca="1">AVERAGE(OFFSET($BH$3,0,0,'Données projet'!$E$11+1,1))-AVERAGE(OFFSET($H$3,0,0,'Données projet'!$E$11+1,1))</f>
        <v>278.41778972502732</v>
      </c>
      <c r="BJ20" s="62">
        <f t="shared" si="38"/>
        <v>157.75772798974242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10.061999999999999</v>
      </c>
      <c r="D21" s="12">
        <f t="shared" si="32"/>
        <v>3.5442465380941046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105.03067503090188</v>
      </c>
      <c r="H21" s="70">
        <f t="shared" si="1"/>
        <v>317.03087938718056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7.9</v>
      </c>
      <c r="N21" s="14">
        <f>IF('Données projet'!$A$36&gt;35,N20+M21-V20,IF(A21&lt;'Données projet'!$A$36,$K$205^A21,IF(A21='Données projet'!$A$36,'Données projet'!$B$36,N20+M21-V20)))</f>
        <v>95.233857990035276</v>
      </c>
      <c r="O21" s="14">
        <f>N21*VLOOKUP('Données projet'!$B$9,Paramètres!$A$1:$I$89,3,0)*VLOOKUP('Données projet'!$B$9,Paramètres!$A$1:$I$89,5,0)</f>
        <v>44.569445539336513</v>
      </c>
      <c r="P21" s="14">
        <f t="shared" si="33"/>
        <v>13.202049673437019</v>
      </c>
      <c r="Q21" s="22">
        <f t="shared" si="2"/>
        <v>100.61868749558056</v>
      </c>
      <c r="R21" s="62">
        <f t="shared" si="0"/>
        <v>393.95202082891387</v>
      </c>
      <c r="S21" s="62">
        <f ca="1">AVERAGE(OFFSET($R$3,0,0,'Données projet'!$E$9+1,1))-AVERAGE(OFFSET($H$3,0,0,'Données projet'!$E$9+1,1))</f>
        <v>302.30714066618623</v>
      </c>
      <c r="T21" s="62">
        <f t="shared" si="34"/>
        <v>218.81984836501334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>
        <f>VLOOKUP(A21,'Données projet'!$A$61:$I$81,2,0)</f>
        <v>111</v>
      </c>
      <c r="AG21" s="13">
        <f>VLOOKUP(A21,'Données projet'!$A$61:$I$81,9,0)</f>
        <v>6.166666666666667</v>
      </c>
      <c r="AH21" s="13">
        <f t="array" ref="AH21">INDEX(AG:AG,MIN(IF(ISNUMBER(AG21:AG217),ROW(AG21:AG217),"")))</f>
        <v>6.166666666666667</v>
      </c>
      <c r="AI21" s="14">
        <f>IF('Données projet'!$A$62&gt;35,AI20+AH21-AQ20,IF(A21&lt;'Données projet'!$A$62,$AF$205^A21,IF(A21='Données projet'!$A$62,'Données projet'!$B$62,AI20+AH21-AQ20)))</f>
        <v>111</v>
      </c>
      <c r="AJ21" s="14">
        <f>AI21*VLOOKUP('Données projet'!$B$10,Paramètres!$A$1:$I$89,3,0)*VLOOKUP('Données projet'!$B$10,Paramètres!$A$1:$I$89,5,0)</f>
        <v>66.378</v>
      </c>
      <c r="AK21" s="14">
        <f t="shared" si="35"/>
        <v>18.771224988253085</v>
      </c>
      <c r="AL21" s="22">
        <f t="shared" si="4"/>
        <v>148.30156685454077</v>
      </c>
      <c r="AM21" s="62">
        <f t="shared" si="5"/>
        <v>441.63490018787411</v>
      </c>
      <c r="AN21" s="62">
        <f ca="1">AVERAGE(OFFSET($AM$3,0,0,'Données projet'!$E$10+1,1))-AVERAGE(OFFSET($H$3,0,0,'Données projet'!$E$10+1,1))</f>
        <v>150.05970318721711</v>
      </c>
      <c r="AO21" s="62">
        <f t="shared" si="36"/>
        <v>230.8269864623847</v>
      </c>
      <c r="AP21" s="16">
        <f>IF(ISNA(VLOOKUP(A21,'Données projet'!$A$61:$I$81,3,0)),0,VLOOKUP(A21,'Données projet'!$A$61:$I$81,3,0))</f>
        <v>1</v>
      </c>
      <c r="AQ21" s="16">
        <f>IF(ISNA(VLOOKUP(A21,'Données projet'!$A$61:$I$81,4,0)),0,VLOOKUP(A21,'Données projet'!$A$61:$I$81,4,0))</f>
        <v>27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1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18.281022675862321</v>
      </c>
      <c r="AX21" s="23">
        <f t="shared" si="6"/>
        <v>18.281022675862321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2.84</v>
      </c>
      <c r="BD21" s="13">
        <f>IF('Données projet'!$A$88&gt;35,BD20+BC21-BL20,IF(A21&lt;'Données projet'!$A$88,$BA$205^A21,IF(A21='Données projet'!$A$88,'Données projet'!$B$88,BD20+BC21-BL20)))</f>
        <v>21.523158855127722</v>
      </c>
      <c r="BE21" s="14">
        <f>BD21*VLOOKUP('Données projet'!$B$11,Paramètres!$A$1:$I$89,3,0)*VLOOKUP('Données projet'!$B$11,Paramètres!$A$1:$I$89,5,0)</f>
        <v>19.474154132119562</v>
      </c>
      <c r="BF21" s="14">
        <f t="shared" si="37"/>
        <v>6.3521052651756742</v>
      </c>
      <c r="BG21" s="22">
        <f t="shared" si="7"/>
        <v>44.980735116955863</v>
      </c>
      <c r="BH21" s="62">
        <f t="shared" si="8"/>
        <v>338.3140684502892</v>
      </c>
      <c r="BI21" s="62">
        <f ca="1">AVERAGE(OFFSET($BH$3,0,0,'Données projet'!$E$11+1,1))-AVERAGE(OFFSET($H$3,0,0,'Données projet'!$E$11+1,1))</f>
        <v>278.41778972502732</v>
      </c>
      <c r="BJ21" s="62">
        <f t="shared" si="38"/>
        <v>157.75772798974242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10.620999999999999</v>
      </c>
      <c r="D22" s="12">
        <f t="shared" si="32"/>
        <v>3.7176784168109291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110.68453514731243</v>
      </c>
      <c r="H22" s="70">
        <f t="shared" si="1"/>
        <v>318.30653157594566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7.9</v>
      </c>
      <c r="N22" s="14">
        <f>IF('Données projet'!$A$36&gt;35,N21+M22-V21,IF(A22&lt;'Données projet'!$A$36,$K$205^A22,IF(A22='Données projet'!$A$36,'Données projet'!$B$36,N21+M22-V21)))</f>
        <v>122.66600817840934</v>
      </c>
      <c r="O22" s="14">
        <f>N22*VLOOKUP('Données projet'!$B$9,Paramètres!$A$1:$I$89,3,0)*VLOOKUP('Données projet'!$B$9,Paramètres!$A$1:$I$89,5,0)</f>
        <v>57.407691827495569</v>
      </c>
      <c r="P22" s="14">
        <f t="shared" si="33"/>
        <v>16.511176981334152</v>
      </c>
      <c r="Q22" s="22">
        <f t="shared" si="2"/>
        <v>128.7420298420451</v>
      </c>
      <c r="R22" s="62">
        <f t="shared" si="0"/>
        <v>422.07536317537841</v>
      </c>
      <c r="S22" s="62">
        <f ca="1">AVERAGE(OFFSET($R$3,0,0,'Données projet'!$E$9+1,1))-AVERAGE(OFFSET($H$3,0,0,'Données projet'!$E$9+1,1))</f>
        <v>302.30714066618623</v>
      </c>
      <c r="T22" s="62">
        <f t="shared" si="34"/>
        <v>218.81984836501334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13.666666666666666</v>
      </c>
      <c r="AI22" s="14">
        <f>IF('Données projet'!$A$62&gt;35,AI21+AH22-AQ21,IF(A22&lt;'Données projet'!$A$62,$AF$205^A22,IF(A22='Données projet'!$A$62,'Données projet'!$B$62,AI21+AH22-AQ21)))</f>
        <v>97.666666666666671</v>
      </c>
      <c r="AJ22" s="14">
        <f>AI22*VLOOKUP('Données projet'!$B$10,Paramètres!$A$1:$I$89,3,0)*VLOOKUP('Données projet'!$B$10,Paramètres!$A$1:$I$89,5,0)</f>
        <v>58.404666666666671</v>
      </c>
      <c r="AK22" s="14">
        <f t="shared" si="35"/>
        <v>16.764288254088292</v>
      </c>
      <c r="AL22" s="22">
        <f t="shared" si="4"/>
        <v>130.91926315364825</v>
      </c>
      <c r="AM22" s="62">
        <f t="shared" si="5"/>
        <v>424.25259648698159</v>
      </c>
      <c r="AN22" s="62">
        <f ca="1">AVERAGE(OFFSET($AM$3,0,0,'Données projet'!$E$10+1,1))-AVERAGE(OFFSET($H$3,0,0,'Données projet'!$E$10+1,1))</f>
        <v>150.05970318721711</v>
      </c>
      <c r="AO22" s="62">
        <f t="shared" si="36"/>
        <v>230.8269864623847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12.926635101127292</v>
      </c>
      <c r="AX22" s="23">
        <f t="shared" si="6"/>
        <v>12.926635101127292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2.84</v>
      </c>
      <c r="BD22" s="13">
        <f>IF('Données projet'!$A$88&gt;35,BD21+BC22-BL21,IF(A22&lt;'Données projet'!$A$88,$BA$205^A22,IF(A22='Données projet'!$A$88,'Données projet'!$B$88,BD21+BC22-BL21)))</f>
        <v>25.524447198315809</v>
      </c>
      <c r="BE22" s="14">
        <f>BD22*VLOOKUP('Données projet'!$B$11,Paramètres!$A$1:$I$89,3,0)*VLOOKUP('Données projet'!$B$11,Paramètres!$A$1:$I$89,5,0)</f>
        <v>23.094519825036141</v>
      </c>
      <c r="BF22" s="14">
        <f t="shared" si="37"/>
        <v>7.3849670435644734</v>
      </c>
      <c r="BG22" s="22">
        <f t="shared" si="7"/>
        <v>53.085106296146058</v>
      </c>
      <c r="BH22" s="62">
        <f t="shared" si="8"/>
        <v>346.41843962947939</v>
      </c>
      <c r="BI22" s="62">
        <f ca="1">AVERAGE(OFFSET($BH$3,0,0,'Données projet'!$E$11+1,1))-AVERAGE(OFFSET($H$3,0,0,'Données projet'!$E$11+1,1))</f>
        <v>278.41778972502732</v>
      </c>
      <c r="BJ22" s="62">
        <f t="shared" si="38"/>
        <v>157.75772798974242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11.179999999999998</v>
      </c>
      <c r="D23" s="12">
        <f t="shared" si="32"/>
        <v>3.8900505285230369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116.33021460614272</v>
      </c>
      <c r="H23" s="70">
        <f t="shared" si="1"/>
        <v>319.58033800384425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>
        <f>VLOOKUP(A23,'Données projet'!$A$35:$I$55,2,0)</f>
        <v>158</v>
      </c>
      <c r="L23" s="13">
        <f>VLOOKUP(A23,'Données projet'!$A$35:$I$55,9,0)</f>
        <v>7.9</v>
      </c>
      <c r="M23" s="13">
        <f t="array" ref="M23">INDEX(L:L,MIN(IF(ISNUMBER(L23:L219),ROW(L23:L219),"")))</f>
        <v>7.9</v>
      </c>
      <c r="N23" s="14">
        <f>IF('Données projet'!$A$36&gt;35,N22+M23-V22,IF(A23&lt;'Données projet'!$A$36,$K$205^A23,IF(A23='Données projet'!$A$36,'Données projet'!$B$36,N22+M23-V22)))</f>
        <v>158</v>
      </c>
      <c r="O23" s="14">
        <f>N23*VLOOKUP('Données projet'!$B$9,Paramètres!$A$1:$I$89,3,0)*VLOOKUP('Données projet'!$B$9,Paramètres!$A$1:$I$89,5,0)</f>
        <v>73.944000000000003</v>
      </c>
      <c r="P23" s="14">
        <f t="shared" si="33"/>
        <v>20.649745460165708</v>
      </c>
      <c r="Q23" s="22">
        <f t="shared" si="2"/>
        <v>164.75077334312192</v>
      </c>
      <c r="R23" s="62">
        <f t="shared" si="0"/>
        <v>458.08410667645524</v>
      </c>
      <c r="S23" s="62">
        <f ca="1">AVERAGE(OFFSET($R$3,0,0,'Données projet'!$E$9+1,1))-AVERAGE(OFFSET($H$3,0,0,'Données projet'!$E$9+1,1))</f>
        <v>302.30714066618623</v>
      </c>
      <c r="T23" s="62">
        <f t="shared" si="34"/>
        <v>218.81984836501334</v>
      </c>
      <c r="U23" s="16">
        <f>IF(ISNA(VLOOKUP(A23,'Données projet'!$A$35:$I$55,3,0)),0,VLOOKUP(A23,'Données projet'!$A$35:$I$55,3,0))</f>
        <v>1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13.666666666666666</v>
      </c>
      <c r="AI23" s="14">
        <f>IF('Données projet'!$A$62&gt;35,AI22+AH23-AQ22,IF(A23&lt;'Données projet'!$A$62,$AF$205^A23,IF(A23='Données projet'!$A$62,'Données projet'!$B$62,AI22+AH23-AQ22)))</f>
        <v>111.33333333333334</v>
      </c>
      <c r="AJ23" s="14">
        <f>AI23*VLOOKUP('Données projet'!$B$10,Paramètres!$A$1:$I$89,3,0)*VLOOKUP('Données projet'!$B$10,Paramètres!$A$1:$I$89,5,0)</f>
        <v>66.577333333333343</v>
      </c>
      <c r="AK23" s="14">
        <f t="shared" si="35"/>
        <v>18.821024864454692</v>
      </c>
      <c r="AL23" s="22">
        <f t="shared" si="4"/>
        <v>148.73547386114751</v>
      </c>
      <c r="AM23" s="62">
        <f t="shared" si="5"/>
        <v>442.06880719448083</v>
      </c>
      <c r="AN23" s="62">
        <f ca="1">AVERAGE(OFFSET($AM$3,0,0,'Données projet'!$E$10+1,1))-AVERAGE(OFFSET($H$3,0,0,'Données projet'!$E$10+1,1))</f>
        <v>150.05970318721711</v>
      </c>
      <c r="AO23" s="62">
        <f t="shared" si="36"/>
        <v>230.8269864623847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9.1405113379311622</v>
      </c>
      <c r="AX23" s="23">
        <f t="shared" si="6"/>
        <v>9.1405113379311622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2.84</v>
      </c>
      <c r="BD23" s="13">
        <f>IF('Données projet'!$A$88&gt;35,BD22+BC23-BL22,IF(A23&lt;'Données projet'!$A$88,$BA$205^A23,IF(A23='Données projet'!$A$88,'Données projet'!$B$88,BD22+BC23-BL22)))</f>
        <v>30.269599790850293</v>
      </c>
      <c r="BE23" s="14">
        <f>BD23*VLOOKUP('Données projet'!$B$11,Paramètres!$A$1:$I$89,3,0)*VLOOKUP('Données projet'!$B$11,Paramètres!$A$1:$I$89,5,0)</f>
        <v>27.387933890761346</v>
      </c>
      <c r="BF23" s="14">
        <f t="shared" si="37"/>
        <v>8.5857736856986921</v>
      </c>
      <c r="BG23" s="22">
        <f t="shared" si="7"/>
        <v>62.654207362334567</v>
      </c>
      <c r="BH23" s="62">
        <f t="shared" si="8"/>
        <v>355.98754069566786</v>
      </c>
      <c r="BI23" s="62">
        <f ca="1">AVERAGE(OFFSET($BH$3,0,0,'Données projet'!$E$11+1,1))-AVERAGE(OFFSET($H$3,0,0,'Données projet'!$E$11+1,1))</f>
        <v>278.41778972502732</v>
      </c>
      <c r="BJ23" s="62">
        <f t="shared" si="38"/>
        <v>157.75772798974242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11.738999999999997</v>
      </c>
      <c r="D24" s="12">
        <f t="shared" si="32"/>
        <v>4.0614219079945988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121.96816911434426</v>
      </c>
      <c r="H24" s="70">
        <f t="shared" si="1"/>
        <v>320.85240148975726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9.1999999999999993</v>
      </c>
      <c r="N24" s="14">
        <f>IF('Données projet'!$A$36&gt;35,N23+M24-V23,IF(A24&lt;'Données projet'!$A$36,$K$205^A24,IF(A24='Données projet'!$A$36,'Données projet'!$B$36,N23+M24-V23)))</f>
        <v>167.2</v>
      </c>
      <c r="O24" s="14">
        <f>N24*VLOOKUP('Données projet'!$B$9,Paramètres!$A$1:$I$89,3,0)*VLOOKUP('Données projet'!$B$9,Paramètres!$A$1:$I$89,5,0)</f>
        <v>78.249599999999987</v>
      </c>
      <c r="P24" s="14">
        <f t="shared" si="33"/>
        <v>21.708652740239781</v>
      </c>
      <c r="Q24" s="22">
        <f t="shared" si="2"/>
        <v>174.09395685591758</v>
      </c>
      <c r="R24" s="62">
        <f t="shared" si="0"/>
        <v>467.42729018925093</v>
      </c>
      <c r="S24" s="62">
        <f ca="1">AVERAGE(OFFSET($R$3,0,0,'Données projet'!$E$9+1,1))-AVERAGE(OFFSET($H$3,0,0,'Données projet'!$E$9+1,1))</f>
        <v>302.30714066618623</v>
      </c>
      <c r="T24" s="62">
        <f t="shared" si="34"/>
        <v>218.81984836501334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13.666666666666666</v>
      </c>
      <c r="AI24" s="14">
        <f>IF('Données projet'!$A$62&gt;35,AI23+AH24-AQ23,IF(A24&lt;'Données projet'!$A$62,$AF$205^A24,IF(A24='Données projet'!$A$62,'Données projet'!$B$62,AI23+AH24-AQ23)))</f>
        <v>125.00000000000001</v>
      </c>
      <c r="AJ24" s="14">
        <f>AI24*VLOOKUP('Données projet'!$B$10,Paramètres!$A$1:$I$89,3,0)*VLOOKUP('Données projet'!$B$10,Paramètres!$A$1:$I$89,5,0)</f>
        <v>74.750000000000014</v>
      </c>
      <c r="AK24" s="14">
        <f t="shared" si="35"/>
        <v>20.848505019312213</v>
      </c>
      <c r="AL24" s="22">
        <f t="shared" si="4"/>
        <v>166.50072957530213</v>
      </c>
      <c r="AM24" s="62">
        <f t="shared" si="5"/>
        <v>459.83406290863547</v>
      </c>
      <c r="AN24" s="62">
        <f ca="1">AVERAGE(OFFSET($AM$3,0,0,'Données projet'!$E$10+1,1))-AVERAGE(OFFSET($H$3,0,0,'Données projet'!$E$10+1,1))</f>
        <v>150.05970318721711</v>
      </c>
      <c r="AO24" s="62">
        <f t="shared" si="36"/>
        <v>230.8269864623847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6.4633175505636471</v>
      </c>
      <c r="AX24" s="23">
        <f t="shared" si="6"/>
        <v>6.4633175505636471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2.84</v>
      </c>
      <c r="BD24" s="13">
        <f>IF('Données projet'!$A$88&gt;35,BD23+BC24-BL23,IF(A24&lt;'Données projet'!$A$88,$BA$205^A24,IF(A24='Données projet'!$A$88,'Données projet'!$B$88,BD23+BC24-BL23)))</f>
        <v>35.896905597183761</v>
      </c>
      <c r="BE24" s="14">
        <f>BD24*VLOOKUP('Données projet'!$B$11,Paramètres!$A$1:$I$89,3,0)*VLOOKUP('Données projet'!$B$11,Paramètres!$A$1:$I$89,5,0)</f>
        <v>32.479520184331868</v>
      </c>
      <c r="BF24" s="14">
        <f t="shared" si="37"/>
        <v>9.9818332765986337</v>
      </c>
      <c r="BG24" s="22">
        <f t="shared" si="7"/>
        <v>73.953523944453949</v>
      </c>
      <c r="BH24" s="62">
        <f t="shared" si="8"/>
        <v>367.28685727778725</v>
      </c>
      <c r="BI24" s="62">
        <f ca="1">AVERAGE(OFFSET($BH$3,0,0,'Données projet'!$E$11+1,1))-AVERAGE(OFFSET($H$3,0,0,'Données projet'!$E$11+1,1))</f>
        <v>278.41778972502732</v>
      </c>
      <c r="BJ24" s="62">
        <f t="shared" si="38"/>
        <v>157.75772798974242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12.297999999999996</v>
      </c>
      <c r="D25" s="12">
        <f t="shared" si="32"/>
        <v>4.2318456499363739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127.59880852582461</v>
      </c>
      <c r="H25" s="70">
        <f t="shared" si="1"/>
        <v>322.12281450697247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9.1999999999999993</v>
      </c>
      <c r="N25" s="14">
        <f>IF('Données projet'!$A$36&gt;35,N24+M25-V24,IF(A25&lt;'Données projet'!$A$36,$K$205^A25,IF(A25='Données projet'!$A$36,'Données projet'!$B$36,N24+M25-V24)))</f>
        <v>176.39999999999998</v>
      </c>
      <c r="O25" s="14">
        <f>N25*VLOOKUP('Données projet'!$B$9,Paramètres!$A$1:$I$89,3,0)*VLOOKUP('Données projet'!$B$9,Paramètres!$A$1:$I$89,5,0)</f>
        <v>82.555199999999985</v>
      </c>
      <c r="P25" s="14">
        <f t="shared" si="33"/>
        <v>22.760796016854769</v>
      </c>
      <c r="Q25" s="22">
        <f t="shared" si="2"/>
        <v>183.42535972935536</v>
      </c>
      <c r="R25" s="62">
        <f t="shared" si="0"/>
        <v>476.75869306268868</v>
      </c>
      <c r="S25" s="62">
        <f ca="1">AVERAGE(OFFSET($R$3,0,0,'Données projet'!$E$9+1,1))-AVERAGE(OFFSET($H$3,0,0,'Données projet'!$E$9+1,1))</f>
        <v>302.30714066618623</v>
      </c>
      <c r="T25" s="62">
        <f t="shared" si="34"/>
        <v>218.81984836501334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13.666666666666666</v>
      </c>
      <c r="AI25" s="14">
        <f>IF('Données projet'!$A$62&gt;35,AI24+AH25-AQ24,IF(A25&lt;'Données projet'!$A$62,$AF$205^A25,IF(A25='Données projet'!$A$62,'Données projet'!$B$62,AI24+AH25-AQ24)))</f>
        <v>138.66666666666669</v>
      </c>
      <c r="AJ25" s="14">
        <f>AI25*VLOOKUP('Données projet'!$B$10,Paramètres!$A$1:$I$89,3,0)*VLOOKUP('Données projet'!$B$10,Paramètres!$A$1:$I$89,5,0)</f>
        <v>82.922666666666686</v>
      </c>
      <c r="AK25" s="14">
        <f t="shared" si="35"/>
        <v>22.850292162919715</v>
      </c>
      <c r="AL25" s="22">
        <f t="shared" si="4"/>
        <v>184.22123662819629</v>
      </c>
      <c r="AM25" s="62">
        <f t="shared" si="5"/>
        <v>477.55456996152964</v>
      </c>
      <c r="AN25" s="62">
        <f ca="1">AVERAGE(OFFSET($AM$3,0,0,'Données projet'!$E$10+1,1))-AVERAGE(OFFSET($H$3,0,0,'Données projet'!$E$10+1,1))</f>
        <v>150.05970318721711</v>
      </c>
      <c r="AO25" s="62">
        <f t="shared" si="36"/>
        <v>230.8269864623847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4.5702556689655811</v>
      </c>
      <c r="AX25" s="23">
        <f t="shared" si="6"/>
        <v>4.5702556689655811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2.84</v>
      </c>
      <c r="BD25" s="13">
        <f>IF('Données projet'!$A$88&gt;35,BD24+BC25-BL24,IF(A25&lt;'Données projet'!$A$88,$BA$205^A25,IF(A25='Données projet'!$A$88,'Données projet'!$B$88,BD24+BC25-BL24)))</f>
        <v>42.570362355521766</v>
      </c>
      <c r="BE25" s="14">
        <f>BD25*VLOOKUP('Données projet'!$B$11,Paramètres!$A$1:$I$89,3,0)*VLOOKUP('Données projet'!$B$11,Paramètres!$A$1:$I$89,5,0)</f>
        <v>38.517663859276098</v>
      </c>
      <c r="BF25" s="14">
        <f t="shared" si="37"/>
        <v>11.604894236587789</v>
      </c>
      <c r="BG25" s="22">
        <f t="shared" si="7"/>
        <v>87.2967886836296</v>
      </c>
      <c r="BH25" s="62">
        <f t="shared" si="8"/>
        <v>380.6301220169629</v>
      </c>
      <c r="BI25" s="62">
        <f ca="1">AVERAGE(OFFSET($BH$3,0,0,'Données projet'!$E$11+1,1))-AVERAGE(OFFSET($H$3,0,0,'Données projet'!$E$11+1,1))</f>
        <v>278.41778972502732</v>
      </c>
      <c r="BJ25" s="62">
        <f t="shared" si="38"/>
        <v>157.75772798974242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12.856999999999996</v>
      </c>
      <c r="D26" s="12">
        <f t="shared" si="32"/>
        <v>4.4013697494266859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133.22250332890772</v>
      </c>
      <c r="H26" s="70">
        <f t="shared" si="1"/>
        <v>323.39166064691813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9.1999999999999993</v>
      </c>
      <c r="N26" s="14">
        <f>IF('Données projet'!$A$36&gt;35,N25+M26-V25,IF(A26&lt;'Données projet'!$A$36,$K$205^A26,IF(A26='Données projet'!$A$36,'Données projet'!$B$36,N25+M26-V25)))</f>
        <v>185.59999999999997</v>
      </c>
      <c r="O26" s="14">
        <f>N26*VLOOKUP('Données projet'!$B$9,Paramètres!$A$1:$I$89,3,0)*VLOOKUP('Données projet'!$B$9,Paramètres!$A$1:$I$89,5,0)</f>
        <v>86.860799999999983</v>
      </c>
      <c r="P26" s="14">
        <f t="shared" si="33"/>
        <v>23.806568296036275</v>
      </c>
      <c r="Q26" s="22">
        <f t="shared" si="2"/>
        <v>192.7456664489298</v>
      </c>
      <c r="R26" s="62">
        <f t="shared" si="0"/>
        <v>486.07899978226311</v>
      </c>
      <c r="S26" s="62">
        <f ca="1">AVERAGE(OFFSET($R$3,0,0,'Données projet'!$E$9+1,1))-AVERAGE(OFFSET($H$3,0,0,'Données projet'!$E$9+1,1))</f>
        <v>302.30714066618623</v>
      </c>
      <c r="T26" s="62">
        <f t="shared" si="34"/>
        <v>218.81984836501334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13.666666666666666</v>
      </c>
      <c r="AI26" s="14">
        <f>IF('Données projet'!$A$62&gt;35,AI25+AH26-AQ25,IF(A26&lt;'Données projet'!$A$62,$AF$205^A26,IF(A26='Données projet'!$A$62,'Données projet'!$B$62,AI25+AH26-AQ25)))</f>
        <v>152.33333333333334</v>
      </c>
      <c r="AJ26" s="14">
        <f>AI26*VLOOKUP('Données projet'!$B$10,Paramètres!$A$1:$I$89,3,0)*VLOOKUP('Données projet'!$B$10,Paramètres!$A$1:$I$89,5,0)</f>
        <v>91.095333333333343</v>
      </c>
      <c r="AK26" s="14">
        <f t="shared" si="35"/>
        <v>24.829206746042935</v>
      </c>
      <c r="AL26" s="22">
        <f t="shared" si="4"/>
        <v>201.90190730491364</v>
      </c>
      <c r="AM26" s="62">
        <f t="shared" si="5"/>
        <v>495.23524063824698</v>
      </c>
      <c r="AN26" s="62">
        <f ca="1">AVERAGE(OFFSET($AM$3,0,0,'Données projet'!$E$10+1,1))-AVERAGE(OFFSET($H$3,0,0,'Données projet'!$E$10+1,1))</f>
        <v>150.05970318721711</v>
      </c>
      <c r="AO26" s="62">
        <f t="shared" si="36"/>
        <v>230.8269864623847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3.2316587752818235</v>
      </c>
      <c r="AX26" s="23">
        <f t="shared" si="6"/>
        <v>3.2316587752818235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2.84</v>
      </c>
      <c r="BD26" s="13">
        <f>IF('Données projet'!$A$88&gt;35,BD25+BC26-BL25,IF(A26&lt;'Données projet'!$A$88,$BA$205^A26,IF(A26='Données projet'!$A$88,'Données projet'!$B$88,BD25+BC26-BL25)))</f>
        <v>50.484455997861858</v>
      </c>
      <c r="BE26" s="14">
        <f>BD26*VLOOKUP('Données projet'!$B$11,Paramètres!$A$1:$I$89,3,0)*VLOOKUP('Données projet'!$B$11,Paramètres!$A$1:$I$89,5,0)</f>
        <v>45.678335786865411</v>
      </c>
      <c r="BF26" s="14">
        <f t="shared" si="37"/>
        <v>13.491867326427556</v>
      </c>
      <c r="BG26" s="22">
        <f t="shared" si="7"/>
        <v>103.0547704223186</v>
      </c>
      <c r="BH26" s="62">
        <f t="shared" si="8"/>
        <v>396.38810375565191</v>
      </c>
      <c r="BI26" s="62">
        <f ca="1">AVERAGE(OFFSET($BH$3,0,0,'Données projet'!$E$11+1,1))-AVERAGE(OFFSET($H$3,0,0,'Données projet'!$E$11+1,1))</f>
        <v>278.41778972502732</v>
      </c>
      <c r="BJ26" s="62">
        <f t="shared" si="38"/>
        <v>157.75772798974242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13.415999999999995</v>
      </c>
      <c r="D27" s="12">
        <f t="shared" si="32"/>
        <v>4.5700377920480229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138.83958997370399</v>
      </c>
      <c r="H27" s="70">
        <f t="shared" si="1"/>
        <v>324.65901582115026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9.1999999999999993</v>
      </c>
      <c r="N27" s="14">
        <f>IF('Données projet'!$A$36&gt;35,N26+M27-V26,IF(A27&lt;'Données projet'!$A$36,$K$205^A27,IF(A27='Données projet'!$A$36,'Données projet'!$B$36,N26+M27-V26)))</f>
        <v>194.79999999999995</v>
      </c>
      <c r="O27" s="14">
        <f>N27*VLOOKUP('Données projet'!$B$9,Paramètres!$A$1:$I$89,3,0)*VLOOKUP('Données projet'!$B$9,Paramètres!$A$1:$I$89,5,0)</f>
        <v>91.166399999999982</v>
      </c>
      <c r="P27" s="14">
        <f t="shared" si="33"/>
        <v>24.846321420979159</v>
      </c>
      <c r="Q27" s="22">
        <f t="shared" si="2"/>
        <v>202.05548980820535</v>
      </c>
      <c r="R27" s="62">
        <f t="shared" si="0"/>
        <v>495.38882314153864</v>
      </c>
      <c r="S27" s="62">
        <f ca="1">AVERAGE(OFFSET($R$3,0,0,'Données projet'!$E$9+1,1))-AVERAGE(OFFSET($H$3,0,0,'Données projet'!$E$9+1,1))</f>
        <v>302.30714066618623</v>
      </c>
      <c r="T27" s="62">
        <f t="shared" si="34"/>
        <v>218.81984836501334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>
        <f>VLOOKUP(A27,'Données projet'!$A$61:$I$81,2,0)</f>
        <v>166</v>
      </c>
      <c r="AG27" s="13">
        <f>VLOOKUP(A27,'Données projet'!$A$61:$I$81,9,0)</f>
        <v>13.666666666666666</v>
      </c>
      <c r="AH27" s="13">
        <f t="array" ref="AH27">INDEX(AG:AG,MIN(IF(ISNUMBER(AG27:AG223),ROW(AG27:AG223),"")))</f>
        <v>13.666666666666666</v>
      </c>
      <c r="AI27" s="14">
        <f>IF('Données projet'!$A$62&gt;35,AI26+AH27-AQ26,IF(A27&lt;'Données projet'!$A$62,$AF$205^A27,IF(A27='Données projet'!$A$62,'Données projet'!$B$62,AI26+AH27-AQ26)))</f>
        <v>166</v>
      </c>
      <c r="AJ27" s="14">
        <f>AI27*VLOOKUP('Données projet'!$B$10,Paramètres!$A$1:$I$89,3,0)*VLOOKUP('Données projet'!$B$10,Paramètres!$A$1:$I$89,5,0)</f>
        <v>99.268000000000001</v>
      </c>
      <c r="AK27" s="14">
        <f t="shared" si="35"/>
        <v>26.78753414535981</v>
      </c>
      <c r="AL27" s="22">
        <f t="shared" si="4"/>
        <v>219.54672196983498</v>
      </c>
      <c r="AM27" s="62">
        <f t="shared" si="5"/>
        <v>512.88005530316832</v>
      </c>
      <c r="AN27" s="62">
        <f ca="1">AVERAGE(OFFSET($AM$3,0,0,'Données projet'!$E$10+1,1))-AVERAGE(OFFSET($H$3,0,0,'Données projet'!$E$10+1,1))</f>
        <v>150.05970318721711</v>
      </c>
      <c r="AO27" s="62">
        <f t="shared" si="36"/>
        <v>230.8269864623847</v>
      </c>
      <c r="AP27" s="16">
        <f>IF(ISNA(VLOOKUP(A27,'Données projet'!$A$61:$I$81,3,0)),0,VLOOKUP(A27,'Données projet'!$A$61:$I$81,3,0))</f>
        <v>2</v>
      </c>
      <c r="AQ27" s="16">
        <f>IF(ISNA(VLOOKUP(A27,'Données projet'!$A$61:$I$81,4,0)),0,VLOOKUP(A27,'Données projet'!$A$61:$I$81,4,0))</f>
        <v>38</v>
      </c>
      <c r="AR27" s="17">
        <f>IF(ISNA(VLOOKUP(A27,'Données projet'!$A$61:$I$81,5,0)),0%,VLOOKUP(A27,'Données projet'!$A$61:$I$81,5,0)*VLOOKUP('Données projet'!$B$10,Paramètres!$A$1:$I$89,7,0))</f>
        <v>0.18000000000000002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0.6</v>
      </c>
      <c r="AU27" s="23">
        <f>EXP(-LN(2)/35)*AU26+(1-EXP(-LN(2)/35))/(LN(2)/35)*AQ27*AR27*VLOOKUP('Données projet'!$B$10,Paramètres!$A$1:$I$89,3,0)*0.475*44/12</f>
        <v>5.4260731233734605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17.722435871877639</v>
      </c>
      <c r="AX27" s="23">
        <f t="shared" si="6"/>
        <v>23.148508995251099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2.84</v>
      </c>
      <c r="BD27" s="13">
        <f>IF('Données projet'!$A$88&gt;35,BD26+BC27-BL26,IF(A27&lt;'Données projet'!$A$88,$BA$205^A27,IF(A27='Données projet'!$A$88,'Données projet'!$B$88,BD26+BC27-BL26)))</f>
        <v>59.869828593776646</v>
      </c>
      <c r="BE27" s="14">
        <f>BD27*VLOOKUP('Données projet'!$B$11,Paramètres!$A$1:$I$89,3,0)*VLOOKUP('Données projet'!$B$11,Paramètres!$A$1:$I$89,5,0)</f>
        <v>54.17022091164911</v>
      </c>
      <c r="BF27" s="14">
        <f t="shared" si="37"/>
        <v>15.685665051562438</v>
      </c>
      <c r="BG27" s="22">
        <f t="shared" si="7"/>
        <v>121.66566805259345</v>
      </c>
      <c r="BH27" s="62">
        <f t="shared" si="8"/>
        <v>414.99900138592676</v>
      </c>
      <c r="BI27" s="62">
        <f ca="1">AVERAGE(OFFSET($BH$3,0,0,'Données projet'!$E$11+1,1))-AVERAGE(OFFSET($H$3,0,0,'Données projet'!$E$11+1,1))</f>
        <v>278.41778972502732</v>
      </c>
      <c r="BJ27" s="62">
        <f t="shared" si="38"/>
        <v>157.75772798974242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13.974999999999994</v>
      </c>
      <c r="D28" s="12">
        <f t="shared" si="32"/>
        <v>4.7378895257597495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144.45037528656644</v>
      </c>
      <c r="H28" s="70">
        <f t="shared" si="1"/>
        <v>325.92494925736486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9.1999999999999993</v>
      </c>
      <c r="N28" s="14">
        <f>IF('Données projet'!$A$36&gt;35,N27+M28-V27,IF(A28&lt;'Données projet'!$A$36,$K$205^A28,IF(A28='Données projet'!$A$36,'Données projet'!$B$36,N27+M28-V27)))</f>
        <v>203.99999999999994</v>
      </c>
      <c r="O28" s="14">
        <f>N28*VLOOKUP('Données projet'!$B$9,Paramètres!$A$1:$I$89,3,0)*VLOOKUP('Données projet'!$B$9,Paramètres!$A$1:$I$89,5,0)</f>
        <v>95.47199999999998</v>
      </c>
      <c r="P28" s="14">
        <f t="shared" si="33"/>
        <v>25.880372123231144</v>
      </c>
      <c r="Q28" s="22">
        <f t="shared" si="2"/>
        <v>211.35538144796087</v>
      </c>
      <c r="R28" s="62">
        <f t="shared" si="0"/>
        <v>504.68871478129415</v>
      </c>
      <c r="S28" s="62">
        <f ca="1">AVERAGE(OFFSET($R$3,0,0,'Données projet'!$E$9+1,1))-AVERAGE(OFFSET($H$3,0,0,'Données projet'!$E$9+1,1))</f>
        <v>302.30714066618623</v>
      </c>
      <c r="T28" s="62">
        <f t="shared" si="34"/>
        <v>218.81984836501334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12.833333333333334</v>
      </c>
      <c r="AI28" s="14">
        <f>IF('Données projet'!$A$62&gt;35,AI27+AH28-AQ27,IF(A28&lt;'Données projet'!$A$62,$AF$205^A28,IF(A28='Données projet'!$A$62,'Données projet'!$B$62,AI27+AH28-AQ27)))</f>
        <v>140.83333333333334</v>
      </c>
      <c r="AJ28" s="14">
        <f>AI28*VLOOKUP('Données projet'!$B$10,Paramètres!$A$1:$I$89,3,0)*VLOOKUP('Données projet'!$B$10,Paramètres!$A$1:$I$89,5,0)</f>
        <v>84.218333333333348</v>
      </c>
      <c r="AK28" s="14">
        <f t="shared" si="35"/>
        <v>23.165483776806148</v>
      </c>
      <c r="AL28" s="22">
        <f t="shared" si="4"/>
        <v>187.0268148001596</v>
      </c>
      <c r="AM28" s="62">
        <f t="shared" si="5"/>
        <v>480.36014813349288</v>
      </c>
      <c r="AN28" s="62">
        <f ca="1">AVERAGE(OFFSET($AM$3,0,0,'Données projet'!$E$10+1,1))-AVERAGE(OFFSET($H$3,0,0,'Données projet'!$E$10+1,1))</f>
        <v>150.05970318721711</v>
      </c>
      <c r="AO28" s="62">
        <f t="shared" si="36"/>
        <v>230.8269864623847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5.3196711390019189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12.531654584148404</v>
      </c>
      <c r="AX28" s="23">
        <f t="shared" si="6"/>
        <v>17.851325723150325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>
        <f>VLOOKUP(A28,'Données projet'!$A$87:$I$107,2,0)</f>
        <v>71</v>
      </c>
      <c r="BB28" s="13">
        <f>VLOOKUP(A28,'Données projet'!$A$87:$I$107,9,0)</f>
        <v>2.84</v>
      </c>
      <c r="BC28" s="13">
        <f t="array" ref="BC28">INDEX(BB:BB,MIN(IF(ISNUMBER(BB28:BB224),ROW(BB28:BB224),"")))</f>
        <v>2.84</v>
      </c>
      <c r="BD28" s="13">
        <f>IF('Données projet'!$A$88&gt;35,BD27+BC28-BL27,IF(A28&lt;'Données projet'!$A$88,$BA$205^A28,IF(A28='Données projet'!$A$88,'Données projet'!$B$88,BD27+BC28-BL27)))</f>
        <v>71</v>
      </c>
      <c r="BE28" s="14">
        <f>BD28*VLOOKUP('Données projet'!$B$11,Paramètres!$A$1:$I$89,3,0)*VLOOKUP('Données projet'!$B$11,Paramètres!$A$1:$I$89,5,0)</f>
        <v>64.240800000000007</v>
      </c>
      <c r="BF28" s="14">
        <f t="shared" si="37"/>
        <v>18.236177554745847</v>
      </c>
      <c r="BG28" s="22">
        <f t="shared" si="7"/>
        <v>143.6474025745157</v>
      </c>
      <c r="BH28" s="62">
        <f t="shared" si="8"/>
        <v>436.98073590784901</v>
      </c>
      <c r="BI28" s="62">
        <f ca="1">AVERAGE(OFFSET($BH$3,0,0,'Données projet'!$E$11+1,1))-AVERAGE(OFFSET($H$3,0,0,'Données projet'!$E$11+1,1))</f>
        <v>278.41778972502732</v>
      </c>
      <c r="BJ28" s="62">
        <f t="shared" si="38"/>
        <v>157.75772798974242</v>
      </c>
      <c r="BK28" s="16">
        <f>IF(ISNA(VLOOKUP(A28,'Données projet'!$A$87:$I$107,3,0)),0,VLOOKUP(A28,'Données projet'!$A$87:$I$107,3,0))</f>
        <v>1</v>
      </c>
      <c r="BL28" s="16">
        <f>IF(ISNA(VLOOKUP(A28,'Données projet'!$A$87:$I$107,4,0)),0,VLOOKUP(A28,'Données projet'!$A$87:$I$107,4,0))</f>
        <v>8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14.533999999999994</v>
      </c>
      <c r="D29" s="12">
        <f t="shared" si="32"/>
        <v>4.9049613386955659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150.05514015835169</v>
      </c>
      <c r="H29" s="70">
        <f t="shared" si="1"/>
        <v>327.18952433156142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9.1999999999999993</v>
      </c>
      <c r="N29" s="14">
        <f>IF('Données projet'!$A$36&gt;35,N28+M29-V28,IF(A29&lt;'Données projet'!$A$36,$K$205^A29,IF(A29='Données projet'!$A$36,'Données projet'!$B$36,N28+M29-V28)))</f>
        <v>213.19999999999993</v>
      </c>
      <c r="O29" s="14">
        <f>N29*VLOOKUP('Données projet'!$B$9,Paramètres!$A$1:$I$89,3,0)*VLOOKUP('Données projet'!$B$9,Paramètres!$A$1:$I$89,5,0)</f>
        <v>99.777599999999964</v>
      </c>
      <c r="P29" s="14">
        <f t="shared" si="33"/>
        <v>26.909006951444532</v>
      </c>
      <c r="Q29" s="22">
        <f t="shared" si="2"/>
        <v>220.64584044043249</v>
      </c>
      <c r="R29" s="62">
        <f t="shared" si="0"/>
        <v>513.97917377376575</v>
      </c>
      <c r="S29" s="62">
        <f ca="1">AVERAGE(OFFSET($R$3,0,0,'Données projet'!$E$9+1,1))-AVERAGE(OFFSET($H$3,0,0,'Données projet'!$E$9+1,1))</f>
        <v>302.30714066618623</v>
      </c>
      <c r="T29" s="62">
        <f t="shared" si="34"/>
        <v>218.81984836501334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12.833333333333334</v>
      </c>
      <c r="AI29" s="14">
        <f>IF('Données projet'!$A$62&gt;35,AI28+AH29-AQ28,IF(A29&lt;'Données projet'!$A$62,$AF$205^A29,IF(A29='Données projet'!$A$62,'Données projet'!$B$62,AI28+AH29-AQ28)))</f>
        <v>153.66666666666669</v>
      </c>
      <c r="AJ29" s="14">
        <f>AI29*VLOOKUP('Données projet'!$B$10,Paramètres!$A$1:$I$89,3,0)*VLOOKUP('Données projet'!$B$10,Paramètres!$A$1:$I$89,5,0)</f>
        <v>91.892666666666685</v>
      </c>
      <c r="AK29" s="14">
        <f t="shared" si="35"/>
        <v>25.021136263266175</v>
      </c>
      <c r="AL29" s="22">
        <f t="shared" si="4"/>
        <v>203.62487343629971</v>
      </c>
      <c r="AM29" s="62">
        <f t="shared" si="5"/>
        <v>496.95820676963302</v>
      </c>
      <c r="AN29" s="62">
        <f ca="1">AVERAGE(OFFSET($AM$3,0,0,'Données projet'!$E$10+1,1))-AVERAGE(OFFSET($H$3,0,0,'Données projet'!$E$10+1,1))</f>
        <v>150.05970318721711</v>
      </c>
      <c r="AO29" s="62">
        <f t="shared" si="36"/>
        <v>230.8269864623847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5.2153556326451005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8.8612179359388215</v>
      </c>
      <c r="AX29" s="23">
        <f t="shared" si="6"/>
        <v>14.076573568583921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7</v>
      </c>
      <c r="BD29" s="13">
        <f>IF('Données projet'!$A$88&gt;35,BD28+BC29-BL28,IF(A29&lt;'Données projet'!$A$88,$BA$205^A29,IF(A29='Données projet'!$A$88,'Données projet'!$B$88,BD28+BC29-BL28)))</f>
        <v>70</v>
      </c>
      <c r="BE29" s="14">
        <f>BD29*VLOOKUP('Données projet'!$B$11,Paramètres!$A$1:$I$89,3,0)*VLOOKUP('Données projet'!$B$11,Paramètres!$A$1:$I$89,5,0)</f>
        <v>63.335999999999991</v>
      </c>
      <c r="BF29" s="14">
        <f t="shared" si="37"/>
        <v>18.009040022946227</v>
      </c>
      <c r="BG29" s="22">
        <f t="shared" si="7"/>
        <v>141.67594470663133</v>
      </c>
      <c r="BH29" s="62">
        <f t="shared" si="8"/>
        <v>435.00927803996467</v>
      </c>
      <c r="BI29" s="62">
        <f ca="1">AVERAGE(OFFSET($BH$3,0,0,'Données projet'!$E$11+1,1))-AVERAGE(OFFSET($H$3,0,0,'Données projet'!$E$11+1,1))</f>
        <v>278.41778972502732</v>
      </c>
      <c r="BJ29" s="62">
        <f t="shared" si="38"/>
        <v>157.75772798974242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15.092999999999993</v>
      </c>
      <c r="D30" s="12">
        <f t="shared" si="32"/>
        <v>5.0712866613861189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155.65414264929629</v>
      </c>
      <c r="H30" s="70">
        <f t="shared" si="1"/>
        <v>328.4527992685808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9.1999999999999993</v>
      </c>
      <c r="N30" s="14">
        <f>IF('Données projet'!$A$36&gt;35,N29+M30-V29,IF(A30&lt;'Données projet'!$A$36,$K$205^A30,IF(A30='Données projet'!$A$36,'Données projet'!$B$36,N29+M30-V29)))</f>
        <v>222.39999999999992</v>
      </c>
      <c r="O30" s="14">
        <f>N30*VLOOKUP('Données projet'!$B$9,Paramètres!$A$1:$I$89,3,0)*VLOOKUP('Données projet'!$B$9,Paramètres!$A$1:$I$89,5,0)</f>
        <v>104.08319999999996</v>
      </c>
      <c r="P30" s="14">
        <f t="shared" si="33"/>
        <v>27.932486325387405</v>
      </c>
      <c r="Q30" s="22">
        <f t="shared" si="2"/>
        <v>229.92732035004965</v>
      </c>
      <c r="R30" s="62">
        <f t="shared" si="0"/>
        <v>523.260653683383</v>
      </c>
      <c r="S30" s="62">
        <f ca="1">AVERAGE(OFFSET($R$3,0,0,'Données projet'!$E$9+1,1))-AVERAGE(OFFSET($H$3,0,0,'Données projet'!$E$9+1,1))</f>
        <v>302.30714066618623</v>
      </c>
      <c r="T30" s="62">
        <f t="shared" si="34"/>
        <v>218.81984836501334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12.833333333333334</v>
      </c>
      <c r="AI30" s="14">
        <f>IF('Données projet'!$A$62&gt;35,AI29+AH30-AQ29,IF(A30&lt;'Données projet'!$A$62,$AF$205^A30,IF(A30='Données projet'!$A$62,'Données projet'!$B$62,AI29+AH30-AQ29)))</f>
        <v>166.50000000000003</v>
      </c>
      <c r="AJ30" s="14">
        <f>AI30*VLOOKUP('Données projet'!$B$10,Paramètres!$A$1:$I$89,3,0)*VLOOKUP('Données projet'!$B$10,Paramètres!$A$1:$I$89,5,0)</f>
        <v>99.567000000000021</v>
      </c>
      <c r="AK30" s="14">
        <f t="shared" si="35"/>
        <v>26.858815231289142</v>
      </c>
      <c r="AL30" s="22">
        <f t="shared" si="4"/>
        <v>220.19162819449528</v>
      </c>
      <c r="AM30" s="62">
        <f t="shared" si="5"/>
        <v>513.52496152782862</v>
      </c>
      <c r="AN30" s="62">
        <f ca="1">AVERAGE(OFFSET($AM$3,0,0,'Données projet'!$E$10+1,1))-AVERAGE(OFFSET($H$3,0,0,'Données projet'!$E$10+1,1))</f>
        <v>150.05970318721711</v>
      </c>
      <c r="AO30" s="62">
        <f t="shared" si="36"/>
        <v>230.8269864623847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5.1130856897417631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6.2658272920742029</v>
      </c>
      <c r="AX30" s="23">
        <f t="shared" si="6"/>
        <v>11.378912981815965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7</v>
      </c>
      <c r="BD30" s="13">
        <f>IF('Données projet'!$A$88&gt;35,BD29+BC30-BL29,IF(A30&lt;'Données projet'!$A$88,$BA$205^A30,IF(A30='Données projet'!$A$88,'Données projet'!$B$88,BD29+BC30-BL29)))</f>
        <v>77</v>
      </c>
      <c r="BE30" s="14">
        <f>BD30*VLOOKUP('Données projet'!$B$11,Paramètres!$A$1:$I$89,3,0)*VLOOKUP('Données projet'!$B$11,Paramètres!$A$1:$I$89,5,0)</f>
        <v>69.669600000000003</v>
      </c>
      <c r="BF30" s="14">
        <f t="shared" si="37"/>
        <v>19.591385027476957</v>
      </c>
      <c r="BG30" s="22">
        <f t="shared" si="7"/>
        <v>155.46288225618903</v>
      </c>
      <c r="BH30" s="62">
        <f t="shared" si="8"/>
        <v>448.79621558952238</v>
      </c>
      <c r="BI30" s="62">
        <f ca="1">AVERAGE(OFFSET($BH$3,0,0,'Données projet'!$E$11+1,1))-AVERAGE(OFFSET($H$3,0,0,'Données projet'!$E$11+1,1))</f>
        <v>278.41778972502732</v>
      </c>
      <c r="BJ30" s="62">
        <f t="shared" si="38"/>
        <v>157.75772798974242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15.651999999999992</v>
      </c>
      <c r="D31" s="12">
        <f t="shared" si="32"/>
        <v>5.2368963077179389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161.24762062098054</v>
      </c>
      <c r="H31" s="70">
        <f t="shared" si="1"/>
        <v>329.71482773594204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9.1999999999999993</v>
      </c>
      <c r="N31" s="14">
        <f>IF('Données projet'!$A$36&gt;35,N30+M31-V30,IF(A31&lt;'Données projet'!$A$36,$K$205^A31,IF(A31='Données projet'!$A$36,'Données projet'!$B$36,N30+M31-V30)))</f>
        <v>231.59999999999991</v>
      </c>
      <c r="O31" s="14">
        <f>N31*VLOOKUP('Données projet'!$B$9,Paramètres!$A$1:$I$89,3,0)*VLOOKUP('Données projet'!$B$9,Paramètres!$A$1:$I$89,5,0)</f>
        <v>108.38879999999996</v>
      </c>
      <c r="P31" s="14">
        <f t="shared" si="33"/>
        <v>28.95104790024919</v>
      </c>
      <c r="Q31" s="22">
        <f t="shared" si="2"/>
        <v>239.20023509293392</v>
      </c>
      <c r="R31" s="62">
        <f t="shared" si="0"/>
        <v>532.53356842626727</v>
      </c>
      <c r="S31" s="62">
        <f ca="1">AVERAGE(OFFSET($R$3,0,0,'Données projet'!$E$9+1,1))-AVERAGE(OFFSET($H$3,0,0,'Données projet'!$E$9+1,1))</f>
        <v>302.30714066618623</v>
      </c>
      <c r="T31" s="62">
        <f t="shared" si="34"/>
        <v>218.81984836501334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12.833333333333334</v>
      </c>
      <c r="AI31" s="14">
        <f>IF('Données projet'!$A$62&gt;35,AI30+AH31-AQ30,IF(A31&lt;'Données projet'!$A$62,$AF$205^A31,IF(A31='Données projet'!$A$62,'Données projet'!$B$62,AI30+AH31-AQ30)))</f>
        <v>179.33333333333337</v>
      </c>
      <c r="AJ31" s="14">
        <f>AI31*VLOOKUP('Données projet'!$B$10,Paramètres!$A$1:$I$89,3,0)*VLOOKUP('Données projet'!$B$10,Paramètres!$A$1:$I$89,5,0)</f>
        <v>107.24133333333336</v>
      </c>
      <c r="AK31" s="14">
        <f t="shared" si="35"/>
        <v>28.680063538962813</v>
      </c>
      <c r="AL31" s="22">
        <f t="shared" si="4"/>
        <v>236.72976621924911</v>
      </c>
      <c r="AM31" s="62">
        <f t="shared" si="5"/>
        <v>530.06309955258246</v>
      </c>
      <c r="AN31" s="62">
        <f ca="1">AVERAGE(OFFSET($AM$3,0,0,'Données projet'!$E$10+1,1))-AVERAGE(OFFSET($H$3,0,0,'Données projet'!$E$10+1,1))</f>
        <v>150.05970318721711</v>
      </c>
      <c r="AO31" s="62">
        <f t="shared" si="36"/>
        <v>230.8269864623847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5.0128211980402542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4.4306089679694116</v>
      </c>
      <c r="AX31" s="23">
        <f t="shared" si="6"/>
        <v>9.4434301660096658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7</v>
      </c>
      <c r="BD31" s="13">
        <f>IF('Données projet'!$A$88&gt;35,BD30+BC31-BL30,IF(A31&lt;'Données projet'!$A$88,$BA$205^A31,IF(A31='Données projet'!$A$88,'Données projet'!$B$88,BD30+BC31-BL30)))</f>
        <v>84</v>
      </c>
      <c r="BE31" s="14">
        <f>BD31*VLOOKUP('Données projet'!$B$11,Paramètres!$A$1:$I$89,3,0)*VLOOKUP('Données projet'!$B$11,Paramètres!$A$1:$I$89,5,0)</f>
        <v>76.003200000000007</v>
      </c>
      <c r="BF31" s="14">
        <f t="shared" si="37"/>
        <v>21.157049992000456</v>
      </c>
      <c r="BG31" s="22">
        <f t="shared" si="7"/>
        <v>169.22076873606747</v>
      </c>
      <c r="BH31" s="62">
        <f t="shared" si="8"/>
        <v>462.55410206940076</v>
      </c>
      <c r="BI31" s="62">
        <f ca="1">AVERAGE(OFFSET($BH$3,0,0,'Données projet'!$E$11+1,1))-AVERAGE(OFFSET($H$3,0,0,'Données projet'!$E$11+1,1))</f>
        <v>278.41778972502732</v>
      </c>
      <c r="BJ31" s="62">
        <f t="shared" si="38"/>
        <v>157.75772798974242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16.210999999999991</v>
      </c>
      <c r="D32" s="12">
        <f t="shared" si="32"/>
        <v>5.4018187658151851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166.8357939817312</v>
      </c>
      <c r="H32" s="70">
        <f t="shared" si="1"/>
        <v>330.9756593504614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9.1999999999999993</v>
      </c>
      <c r="N32" s="14">
        <f>IF('Données projet'!$A$36&gt;35,N31+M32-V31,IF(A32&lt;'Données projet'!$A$36,$K$205^A32,IF(A32='Données projet'!$A$36,'Données projet'!$B$36,N31+M32-V31)))</f>
        <v>240.7999999999999</v>
      </c>
      <c r="O32" s="14">
        <f>N32*VLOOKUP('Données projet'!$B$9,Paramètres!$A$1:$I$89,3,0)*VLOOKUP('Données projet'!$B$9,Paramètres!$A$1:$I$89,5,0)</f>
        <v>112.69439999999994</v>
      </c>
      <c r="P32" s="14">
        <f t="shared" si="33"/>
        <v>29.964909381330607</v>
      </c>
      <c r="Q32" s="22">
        <f t="shared" si="2"/>
        <v>248.46496383915073</v>
      </c>
      <c r="R32" s="62">
        <f t="shared" si="0"/>
        <v>541.79829717248401</v>
      </c>
      <c r="S32" s="62">
        <f ca="1">AVERAGE(OFFSET($R$3,0,0,'Données projet'!$E$9+1,1))-AVERAGE(OFFSET($H$3,0,0,'Données projet'!$E$9+1,1))</f>
        <v>302.30714066618623</v>
      </c>
      <c r="T32" s="62">
        <f t="shared" si="34"/>
        <v>218.81984836501334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12.833333333333334</v>
      </c>
      <c r="AI32" s="14">
        <f>IF('Données projet'!$A$62&gt;35,AI31+AH32-AQ31,IF(A32&lt;'Données projet'!$A$62,$AF$205^A32,IF(A32='Données projet'!$A$62,'Données projet'!$B$62,AI31+AH32-AQ31)))</f>
        <v>192.16666666666671</v>
      </c>
      <c r="AJ32" s="14">
        <f>AI32*VLOOKUP('Données projet'!$B$10,Paramètres!$A$1:$I$89,3,0)*VLOOKUP('Données projet'!$B$10,Paramètres!$A$1:$I$89,5,0)</f>
        <v>114.9156666666667</v>
      </c>
      <c r="AK32" s="14">
        <f t="shared" si="35"/>
        <v>30.486190713157598</v>
      </c>
      <c r="AL32" s="22">
        <f t="shared" si="4"/>
        <v>253.24156826986064</v>
      </c>
      <c r="AM32" s="62">
        <f t="shared" si="5"/>
        <v>546.57490160319389</v>
      </c>
      <c r="AN32" s="62">
        <f ca="1">AVERAGE(OFFSET($AM$3,0,0,'Données projet'!$E$10+1,1))-AVERAGE(OFFSET($H$3,0,0,'Données projet'!$E$10+1,1))</f>
        <v>150.05970318721711</v>
      </c>
      <c r="AO32" s="62">
        <f t="shared" si="36"/>
        <v>230.8269864623847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4.9145228318657104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3.1329136460371023</v>
      </c>
      <c r="AX32" s="23">
        <f t="shared" si="6"/>
        <v>8.0474364779028136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7</v>
      </c>
      <c r="BD32" s="13">
        <f>IF('Données projet'!$A$88&gt;35,BD31+BC32-BL31,IF(A32&lt;'Données projet'!$A$88,$BA$205^A32,IF(A32='Données projet'!$A$88,'Données projet'!$B$88,BD31+BC32-BL31)))</f>
        <v>91</v>
      </c>
      <c r="BE32" s="14">
        <f>BD32*VLOOKUP('Données projet'!$B$11,Paramètres!$A$1:$I$89,3,0)*VLOOKUP('Données projet'!$B$11,Paramètres!$A$1:$I$89,5,0)</f>
        <v>82.336799999999997</v>
      </c>
      <c r="BF32" s="14">
        <f t="shared" si="37"/>
        <v>22.707582950885364</v>
      </c>
      <c r="BG32" s="22">
        <f t="shared" si="7"/>
        <v>182.95230030612535</v>
      </c>
      <c r="BH32" s="62">
        <f t="shared" si="8"/>
        <v>476.28563363945864</v>
      </c>
      <c r="BI32" s="62">
        <f ca="1">AVERAGE(OFFSET($BH$3,0,0,'Données projet'!$E$11+1,1))-AVERAGE(OFFSET($H$3,0,0,'Données projet'!$E$11+1,1))</f>
        <v>278.41778972502732</v>
      </c>
      <c r="BJ32" s="62">
        <f t="shared" si="38"/>
        <v>157.75772798974242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16.769999999999992</v>
      </c>
      <c r="D33" s="12">
        <f t="shared" si="32"/>
        <v>5.5660804476725998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172.41886661361301</v>
      </c>
      <c r="H33" s="70">
        <f t="shared" si="1"/>
        <v>332.23534011302974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250</v>
      </c>
      <c r="L33" s="13">
        <f>VLOOKUP(A33,'Données projet'!$A$35:$I$55,9,0)</f>
        <v>9.1999999999999993</v>
      </c>
      <c r="M33" s="13">
        <f t="array" ref="M33">INDEX(L:L,MIN(IF(ISNUMBER(L33:L229),ROW(L33:L229),"")))</f>
        <v>9.1999999999999993</v>
      </c>
      <c r="N33" s="14">
        <f>IF('Données projet'!$A$36&gt;35,N32+M33-V32,IF(A33&lt;'Données projet'!$A$36,$K$205^A33,IF(A33='Données projet'!$A$36,'Données projet'!$B$36,N32+M33-V32)))</f>
        <v>249.99999999999989</v>
      </c>
      <c r="O33" s="14">
        <f>N33*VLOOKUP('Données projet'!$B$9,Paramètres!$A$1:$I$89,3,0)*VLOOKUP('Données projet'!$B$9,Paramètres!$A$1:$I$89,5,0)</f>
        <v>116.99999999999994</v>
      </c>
      <c r="P33" s="14">
        <f t="shared" si="33"/>
        <v>30.974270896484118</v>
      </c>
      <c r="Q33" s="22">
        <f t="shared" si="2"/>
        <v>257.72185514470976</v>
      </c>
      <c r="R33" s="62">
        <f t="shared" si="0"/>
        <v>551.05518847804308</v>
      </c>
      <c r="S33" s="62">
        <f ca="1">AVERAGE(OFFSET($R$3,0,0,'Données projet'!$E$9+1,1))-AVERAGE(OFFSET($H$3,0,0,'Données projet'!$E$9+1,1))</f>
        <v>302.30714066618623</v>
      </c>
      <c r="T33" s="62">
        <f t="shared" si="34"/>
        <v>218.81984836501334</v>
      </c>
      <c r="U33" s="16">
        <f>IF(ISNA(VLOOKUP(A33,'Données projet'!$A$35:$I$55,3,0)),0,VLOOKUP(A33,'Données projet'!$A$35:$I$55,3,0))</f>
        <v>2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205</v>
      </c>
      <c r="AG33" s="13">
        <f>VLOOKUP(A33,'Données projet'!$A$61:$I$81,9,0)</f>
        <v>12.833333333333334</v>
      </c>
      <c r="AH33" s="13">
        <f t="array" ref="AH33">INDEX(AG:AG,MIN(IF(ISNUMBER(AG33:AG229),ROW(AG33:AG229),"")))</f>
        <v>12.833333333333334</v>
      </c>
      <c r="AI33" s="14">
        <f>IF('Données projet'!$A$62&gt;35,AI32+AH33-AQ32,IF(A33&lt;'Données projet'!$A$62,$AF$205^A33,IF(A33='Données projet'!$A$62,'Données projet'!$B$62,AI32+AH33-AQ32)))</f>
        <v>205.00000000000006</v>
      </c>
      <c r="AJ33" s="14">
        <f>AI33*VLOOKUP('Données projet'!$B$10,Paramètres!$A$1:$I$89,3,0)*VLOOKUP('Données projet'!$B$10,Paramètres!$A$1:$I$89,5,0)</f>
        <v>122.59000000000003</v>
      </c>
      <c r="AK33" s="14">
        <f t="shared" si="35"/>
        <v>32.278321478706822</v>
      </c>
      <c r="AL33" s="22">
        <f t="shared" si="4"/>
        <v>269.72899324208112</v>
      </c>
      <c r="AM33" s="62">
        <f t="shared" si="5"/>
        <v>563.06232657541443</v>
      </c>
      <c r="AN33" s="62">
        <f ca="1">AVERAGE(OFFSET($AM$3,0,0,'Données projet'!$E$10+1,1))-AVERAGE(OFFSET($H$3,0,0,'Données projet'!$E$10+1,1))</f>
        <v>150.05970318721711</v>
      </c>
      <c r="AO33" s="62">
        <f t="shared" si="36"/>
        <v>230.8269864623847</v>
      </c>
      <c r="AP33" s="16">
        <f>IF(ISNA(VLOOKUP(A33,'Données projet'!$A$61:$I$81,3,0)),0,VLOOKUP(A33,'Données projet'!$A$61:$I$81,3,0))</f>
        <v>3</v>
      </c>
      <c r="AQ33" s="16">
        <f>IF(ISNA(VLOOKUP(A33,'Données projet'!$A$61:$I$81,4,0)),0,VLOOKUP(A33,'Données projet'!$A$61:$I$81,4,0))</f>
        <v>47</v>
      </c>
      <c r="AR33" s="17">
        <f>IF(ISNA(VLOOKUP(A33,'Données projet'!$A$61:$I$81,5,0)),0%,VLOOKUP(A33,'Données projet'!$A$61:$I$81,5,0)*VLOOKUP('Données projet'!$B$10,Paramètres!$A$1:$I$89,7,0))</f>
        <v>0.22500000000000001</v>
      </c>
      <c r="AS33" s="17">
        <f>IF(ISNA(VLOOKUP(A33,'Données projet'!$A$61:$I$81,6,0)),0%,VLOOKUP(A33,'Données projet'!$A$61:$I$81,6,0)*VLOOKUP('Données projet'!$B$10,Paramètres!$A$1:$I$89,7,0))</f>
        <v>0.13500000000000001</v>
      </c>
      <c r="AT33" s="17">
        <f>IF(ISNA(VLOOKUP(A33,'Données projet'!$A$61:$I$81,7,0)),0%,VLOOKUP(A33,'Données projet'!$A$61:$I$81,7,0))</f>
        <v>0.2</v>
      </c>
      <c r="AU33" s="23">
        <f>EXP(-LN(2)/35)*AU32+(1-EXP(-LN(2)/35))/(LN(2)/35)*AQ33*AR33*VLOOKUP('Données projet'!$B$10,Paramètres!$A$1:$I$89,3,0)*0.475*44/12</f>
        <v>13.207146668227104</v>
      </c>
      <c r="AV33" s="23">
        <f>EXP(-LN(2)/25)*AV32+(1-EXP(-LN(2)/25))/(LN(2)/25)*Calculateur!AQ33*Calculateur!AS33*VLOOKUP('Données projet'!$B$10,Paramètres!$A$1:$I$89,3,0)*0.475*44/12</f>
        <v>5.0135783779256666</v>
      </c>
      <c r="AW33" s="23">
        <f>EXP(-LN(2)/2)*AW32+(1-EXP(-LN(2)/2))/(LN(2)/2)*AQ33*AT33*VLOOKUP('Données projet'!$B$10,Paramètres!$A$1:$I$89,3,0)*0.475*44/12</f>
        <v>8.5798086748404785</v>
      </c>
      <c r="AX33" s="23">
        <f t="shared" si="6"/>
        <v>26.800533720993251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98</v>
      </c>
      <c r="BB33" s="13">
        <f>VLOOKUP(A33,'Données projet'!$A$87:$I$107,9,0)</f>
        <v>7</v>
      </c>
      <c r="BC33" s="13">
        <f t="array" ref="BC33">INDEX(BB:BB,MIN(IF(ISNUMBER(BB33:BB229),ROW(BB33:BB229),"")))</f>
        <v>7</v>
      </c>
      <c r="BD33" s="13">
        <f>IF('Données projet'!$A$88&gt;35,BD32+BC33-BL32,IF(A33&lt;'Données projet'!$A$88,$BA$205^A33,IF(A33='Données projet'!$A$88,'Données projet'!$B$88,BD32+BC33-BL32)))</f>
        <v>98</v>
      </c>
      <c r="BE33" s="14">
        <f>BD33*VLOOKUP('Données projet'!$B$11,Paramètres!$A$1:$I$89,3,0)*VLOOKUP('Données projet'!$B$11,Paramètres!$A$1:$I$89,5,0)</f>
        <v>88.670400000000001</v>
      </c>
      <c r="BF33" s="14">
        <f t="shared" si="37"/>
        <v>24.244280250395512</v>
      </c>
      <c r="BG33" s="22">
        <f t="shared" si="7"/>
        <v>196.65973476943884</v>
      </c>
      <c r="BH33" s="62">
        <f t="shared" si="8"/>
        <v>489.99306810277216</v>
      </c>
      <c r="BI33" s="62">
        <f ca="1">AVERAGE(OFFSET($BH$3,0,0,'Données projet'!$E$11+1,1))-AVERAGE(OFFSET($H$3,0,0,'Données projet'!$E$11+1,1))</f>
        <v>278.41778972502732</v>
      </c>
      <c r="BJ33" s="62">
        <f t="shared" si="38"/>
        <v>157.75772798974242</v>
      </c>
      <c r="BK33" s="16">
        <f>IF(ISNA(VLOOKUP(A33,'Données projet'!$A$87:$I$107,3,0)),0,VLOOKUP(A33,'Données projet'!$A$87:$I$107,3,0))</f>
        <v>2</v>
      </c>
      <c r="BL33" s="16">
        <f>IF(ISNA(VLOOKUP(A33,'Données projet'!$A$87:$I$107,4,0)),0,VLOOKUP(A33,'Données projet'!$A$87:$I$107,4,0))</f>
        <v>21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17.328999999999994</v>
      </c>
      <c r="D34" s="12">
        <f t="shared" si="32"/>
        <v>5.7297059045690339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177.99702803526966</v>
      </c>
      <c r="H34" s="70">
        <f t="shared" si="1"/>
        <v>333.49391278379102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10</v>
      </c>
      <c r="N34" s="14">
        <f>IF('Données projet'!$A$36&gt;35,N33+M34-V33,IF(A34&lt;'Données projet'!$A$36,$K$205^A34,IF(A34='Données projet'!$A$36,'Données projet'!$B$36,N33+M34-V33)))</f>
        <v>259.99999999999989</v>
      </c>
      <c r="O34" s="14">
        <f>N34*VLOOKUP('Données projet'!$B$9,Paramètres!$A$1:$I$89,3,0)*VLOOKUP('Données projet'!$B$9,Paramètres!$A$1:$I$89,5,0)</f>
        <v>121.67999999999994</v>
      </c>
      <c r="P34" s="14">
        <f t="shared" si="33"/>
        <v>32.066514091456256</v>
      </c>
      <c r="Q34" s="22">
        <f t="shared" si="2"/>
        <v>267.77517870928619</v>
      </c>
      <c r="R34" s="62">
        <f t="shared" si="0"/>
        <v>561.10851204261951</v>
      </c>
      <c r="S34" s="62">
        <f ca="1">AVERAGE(OFFSET($R$3,0,0,'Données projet'!$E$9+1,1))-AVERAGE(OFFSET($H$3,0,0,'Données projet'!$E$9+1,1))</f>
        <v>302.30714066618623</v>
      </c>
      <c r="T34" s="62">
        <f t="shared" si="34"/>
        <v>218.81984836501334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10.7</v>
      </c>
      <c r="AI34" s="14">
        <f>IF('Données projet'!$A$62&gt;35,AI33+AH34-AQ33,IF(A34&lt;'Données projet'!$A$62,$AF$205^A34,IF(A34='Données projet'!$A$62,'Données projet'!$B$62,AI33+AH34-AQ33)))</f>
        <v>168.70000000000005</v>
      </c>
      <c r="AJ34" s="14">
        <f>AI34*VLOOKUP('Données projet'!$B$10,Paramètres!$A$1:$I$89,3,0)*VLOOKUP('Données projet'!$B$10,Paramètres!$A$1:$I$89,5,0)</f>
        <v>100.88260000000002</v>
      </c>
      <c r="AK34" s="14">
        <f t="shared" si="35"/>
        <v>27.172157172029827</v>
      </c>
      <c r="AL34" s="22">
        <f t="shared" si="4"/>
        <v>223.02870207461862</v>
      </c>
      <c r="AM34" s="62">
        <f t="shared" si="5"/>
        <v>516.36203540795191</v>
      </c>
      <c r="AN34" s="62">
        <f ca="1">AVERAGE(OFFSET($AM$3,0,0,'Données projet'!$E$10+1,1))-AVERAGE(OFFSET($H$3,0,0,'Données projet'!$E$10+1,1))</f>
        <v>150.05970318721711</v>
      </c>
      <c r="AO34" s="62">
        <f t="shared" si="36"/>
        <v>230.8269864623847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12.948162577627217</v>
      </c>
      <c r="AV34" s="23">
        <f>EXP(-LN(2)/25)*AV33+(1-EXP(-LN(2)/25))/(LN(2)/25)*Calculateur!AQ34*Calculateur!AS34*VLOOKUP('Données projet'!$B$10,Paramètres!$A$1:$I$89,3,0)*0.475*44/12</f>
        <v>4.8764818135286614</v>
      </c>
      <c r="AW34" s="23">
        <f>EXP(-LN(2)/2)*AW33+(1-EXP(-LN(2)/2))/(LN(2)/2)*AQ34*AT34*VLOOKUP('Données projet'!$B$10,Paramètres!$A$1:$I$89,3,0)*0.475*44/12</f>
        <v>6.0668408952628692</v>
      </c>
      <c r="AX34" s="23">
        <f t="shared" si="6"/>
        <v>23.891485286418749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7.8</v>
      </c>
      <c r="BD34" s="13">
        <f>IF('Données projet'!$A$88&gt;35,BD33+BC34-BL33,IF(A34&lt;'Données projet'!$A$88,$BA$205^A34,IF(A34='Données projet'!$A$88,'Données projet'!$B$88,BD33+BC34-BL33)))</f>
        <v>84.8</v>
      </c>
      <c r="BE34" s="14">
        <f>BD34*VLOOKUP('Données projet'!$B$11,Paramètres!$A$1:$I$89,3,0)*VLOOKUP('Données projet'!$B$11,Paramètres!$A$1:$I$89,5,0)</f>
        <v>76.727040000000002</v>
      </c>
      <c r="BF34" s="14">
        <f t="shared" si="37"/>
        <v>21.334993267156708</v>
      </c>
      <c r="BG34" s="22">
        <f t="shared" si="7"/>
        <v>170.79137460696458</v>
      </c>
      <c r="BH34" s="62">
        <f t="shared" si="8"/>
        <v>464.12470794029787</v>
      </c>
      <c r="BI34" s="62">
        <f ca="1">AVERAGE(OFFSET($BH$3,0,0,'Données projet'!$E$11+1,1))-AVERAGE(OFFSET($H$3,0,0,'Données projet'!$E$11+1,1))</f>
        <v>278.41778972502732</v>
      </c>
      <c r="BJ34" s="62">
        <f t="shared" si="38"/>
        <v>157.75772798974242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17.887999999999995</v>
      </c>
      <c r="D35" s="12">
        <f t="shared" si="32"/>
        <v>5.8927180139048909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183.57045484417804</v>
      </c>
      <c r="H35" s="70">
        <f t="shared" si="1"/>
        <v>334.75141720755096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10</v>
      </c>
      <c r="N35" s="14">
        <f>IF('Données projet'!$A$36&gt;35,N34+M35-V34,IF(A35&lt;'Données projet'!$A$36,$K$205^A35,IF(A35='Données projet'!$A$36,'Données projet'!$B$36,N34+M35-V34)))</f>
        <v>269.99999999999989</v>
      </c>
      <c r="O35" s="14">
        <f>N35*VLOOKUP('Données projet'!$B$9,Paramètres!$A$1:$I$89,3,0)*VLOOKUP('Données projet'!$B$9,Paramètres!$A$1:$I$89,5,0)</f>
        <v>126.35999999999996</v>
      </c>
      <c r="P35" s="14">
        <f t="shared" si="33"/>
        <v>33.153877056327453</v>
      </c>
      <c r="Q35" s="22">
        <f t="shared" ref="Q35:Q66" si="53">(O35+P35)*0.475*44/12</f>
        <v>277.82000253977026</v>
      </c>
      <c r="R35" s="62">
        <f t="shared" si="0"/>
        <v>571.15333587310352</v>
      </c>
      <c r="S35" s="62">
        <f ca="1">AVERAGE(OFFSET($R$3,0,0,'Données projet'!$E$9+1,1))-AVERAGE(OFFSET($H$3,0,0,'Données projet'!$E$9+1,1))</f>
        <v>302.30714066618623</v>
      </c>
      <c r="T35" s="62">
        <f t="shared" si="34"/>
        <v>218.81984836501334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10.7</v>
      </c>
      <c r="AI35" s="14">
        <f>IF('Données projet'!$A$62&gt;35,AI34+AH35-AQ34,IF(A35&lt;'Données projet'!$A$62,$AF$205^A35,IF(A35='Données projet'!$A$62,'Données projet'!$B$62,AI34+AH35-AQ34)))</f>
        <v>179.40000000000003</v>
      </c>
      <c r="AJ35" s="14">
        <f>AI35*VLOOKUP('Données projet'!$B$10,Paramètres!$A$1:$I$89,3,0)*VLOOKUP('Données projet'!$B$10,Paramètres!$A$1:$I$89,5,0)</f>
        <v>107.28120000000003</v>
      </c>
      <c r="AK35" s="14">
        <f t="shared" si="35"/>
        <v>28.689484043027395</v>
      </c>
      <c r="AL35" s="22">
        <f t="shared" si="4"/>
        <v>236.81560804160608</v>
      </c>
      <c r="AM35" s="62">
        <f t="shared" si="5"/>
        <v>530.14894137493934</v>
      </c>
      <c r="AN35" s="62">
        <f ca="1">AVERAGE(OFFSET($AM$3,0,0,'Données projet'!$E$10+1,1))-AVERAGE(OFFSET($H$3,0,0,'Données projet'!$E$10+1,1))</f>
        <v>150.05970318721711</v>
      </c>
      <c r="AO35" s="62">
        <f t="shared" si="36"/>
        <v>230.8269864623847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12.694257007079296</v>
      </c>
      <c r="AV35" s="23">
        <f>EXP(-LN(2)/25)*AV34+(1-EXP(-LN(2)/25))/(LN(2)/25)*Calculateur!AQ35*Calculateur!AS35*VLOOKUP('Données projet'!$B$10,Paramètres!$A$1:$I$89,3,0)*0.475*44/12</f>
        <v>4.7431341618946865</v>
      </c>
      <c r="AW35" s="23">
        <f>EXP(-LN(2)/2)*AW34+(1-EXP(-LN(2)/2))/(LN(2)/2)*AQ35*AT35*VLOOKUP('Données projet'!$B$10,Paramètres!$A$1:$I$89,3,0)*0.475*44/12</f>
        <v>4.2899043374202401</v>
      </c>
      <c r="AX35" s="23">
        <f t="shared" si="6"/>
        <v>21.727295506394221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7.8</v>
      </c>
      <c r="BD35" s="13">
        <f>IF('Données projet'!$A$88&gt;35,BD34+BC35-BL34,IF(A35&lt;'Données projet'!$A$88,$BA$205^A35,IF(A35='Données projet'!$A$88,'Données projet'!$B$88,BD34+BC35-BL34)))</f>
        <v>92.6</v>
      </c>
      <c r="BE35" s="14">
        <f>BD35*VLOOKUP('Données projet'!$B$11,Paramètres!$A$1:$I$89,3,0)*VLOOKUP('Données projet'!$B$11,Paramètres!$A$1:$I$89,5,0)</f>
        <v>83.784479999999988</v>
      </c>
      <c r="BF35" s="14">
        <f t="shared" si="37"/>
        <v>23.06000530770384</v>
      </c>
      <c r="BG35" s="22">
        <f t="shared" si="7"/>
        <v>186.08747857758416</v>
      </c>
      <c r="BH35" s="62">
        <f t="shared" si="8"/>
        <v>479.42081191091745</v>
      </c>
      <c r="BI35" s="62">
        <f ca="1">AVERAGE(OFFSET($BH$3,0,0,'Données projet'!$E$11+1,1))-AVERAGE(OFFSET($H$3,0,0,'Données projet'!$E$11+1,1))</f>
        <v>278.41778972502732</v>
      </c>
      <c r="BJ35" s="62">
        <f t="shared" si="38"/>
        <v>157.75772798974242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18.446999999999996</v>
      </c>
      <c r="D36" s="12">
        <f t="shared" si="32"/>
        <v>6.0551381420288193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189.13931197355578</v>
      </c>
      <c r="H36" s="70">
        <f t="shared" si="1"/>
        <v>336.00789059736684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10</v>
      </c>
      <c r="N36" s="14">
        <f>IF('Données projet'!$A$36&gt;35,N35+M36-V35,IF(A36&lt;'Données projet'!$A$36,$K$205^A36,IF(A36='Données projet'!$A$36,'Données projet'!$B$36,N35+M36-V35)))</f>
        <v>279.99999999999989</v>
      </c>
      <c r="O36" s="14">
        <f>N36*VLOOKUP('Données projet'!$B$9,Paramètres!$A$1:$I$89,3,0)*VLOOKUP('Données projet'!$B$9,Paramètres!$A$1:$I$89,5,0)</f>
        <v>131.03999999999994</v>
      </c>
      <c r="P36" s="14">
        <f t="shared" si="33"/>
        <v>34.236561238949889</v>
      </c>
      <c r="Q36" s="22">
        <f t="shared" si="53"/>
        <v>287.85667749117096</v>
      </c>
      <c r="R36" s="62">
        <f t="shared" si="0"/>
        <v>581.19001082450427</v>
      </c>
      <c r="S36" s="62">
        <f ca="1">AVERAGE(OFFSET($R$3,0,0,'Données projet'!$E$9+1,1))-AVERAGE(OFFSET($H$3,0,0,'Données projet'!$E$9+1,1))</f>
        <v>302.30714066618623</v>
      </c>
      <c r="T36" s="62">
        <f t="shared" si="34"/>
        <v>218.81984836501334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10.7</v>
      </c>
      <c r="AI36" s="14">
        <f>IF('Données projet'!$A$62&gt;35,AI35+AH36-AQ35,IF(A36&lt;'Données projet'!$A$62,$AF$205^A36,IF(A36='Données projet'!$A$62,'Données projet'!$B$62,AI35+AH36-AQ35)))</f>
        <v>190.10000000000002</v>
      </c>
      <c r="AJ36" s="14">
        <f>AI36*VLOOKUP('Données projet'!$B$10,Paramètres!$A$1:$I$89,3,0)*VLOOKUP('Données projet'!$B$10,Paramètres!$A$1:$I$89,5,0)</f>
        <v>113.67980000000001</v>
      </c>
      <c r="AK36" s="14">
        <f t="shared" si="35"/>
        <v>30.19630681882758</v>
      </c>
      <c r="AL36" s="22">
        <f t="shared" si="4"/>
        <v>250.58421937612471</v>
      </c>
      <c r="AM36" s="62">
        <f t="shared" si="5"/>
        <v>543.91755270945805</v>
      </c>
      <c r="AN36" s="62">
        <f ca="1">AVERAGE(OFFSET($AM$3,0,0,'Données projet'!$E$10+1,1))-AVERAGE(OFFSET($H$3,0,0,'Données projet'!$E$10+1,1))</f>
        <v>150.05970318721711</v>
      </c>
      <c r="AO36" s="62">
        <f t="shared" si="36"/>
        <v>230.8269864623847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12.445330369902713</v>
      </c>
      <c r="AV36" s="23">
        <f>EXP(-LN(2)/25)*AV35+(1-EXP(-LN(2)/25))/(LN(2)/25)*Calculateur!AQ36*Calculateur!AS36*VLOOKUP('Données projet'!$B$10,Paramètres!$A$1:$I$89,3,0)*0.475*44/12</f>
        <v>4.6134329088070913</v>
      </c>
      <c r="AW36" s="23">
        <f>EXP(-LN(2)/2)*AW35+(1-EXP(-LN(2)/2))/(LN(2)/2)*AQ36*AT36*VLOOKUP('Données projet'!$B$10,Paramètres!$A$1:$I$89,3,0)*0.475*44/12</f>
        <v>3.033420447631435</v>
      </c>
      <c r="AX36" s="23">
        <f t="shared" si="6"/>
        <v>20.09218372634124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7.8</v>
      </c>
      <c r="BD36" s="13">
        <f>IF('Données projet'!$A$88&gt;35,BD35+BC36-BL35,IF(A36&lt;'Données projet'!$A$88,$BA$205^A36,IF(A36='Données projet'!$A$88,'Données projet'!$B$88,BD35+BC36-BL35)))</f>
        <v>100.39999999999999</v>
      </c>
      <c r="BE36" s="14">
        <f>BD36*VLOOKUP('Données projet'!$B$11,Paramètres!$A$1:$I$89,3,0)*VLOOKUP('Données projet'!$B$11,Paramètres!$A$1:$I$89,5,0)</f>
        <v>90.841919999999988</v>
      </c>
      <c r="BF36" s="14">
        <f t="shared" si="37"/>
        <v>24.768165658148625</v>
      </c>
      <c r="BG36" s="22">
        <f t="shared" si="7"/>
        <v>201.35423252127552</v>
      </c>
      <c r="BH36" s="62">
        <f t="shared" si="8"/>
        <v>494.68756585460881</v>
      </c>
      <c r="BI36" s="62">
        <f ca="1">AVERAGE(OFFSET($BH$3,0,0,'Données projet'!$E$11+1,1))-AVERAGE(OFFSET($H$3,0,0,'Données projet'!$E$11+1,1))</f>
        <v>278.41778972502732</v>
      </c>
      <c r="BJ36" s="62">
        <f t="shared" si="38"/>
        <v>157.75772798974242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19.005999999999997</v>
      </c>
      <c r="D37" s="12">
        <f t="shared" si="32"/>
        <v>6.216986286773305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194.70375379263601</v>
      </c>
      <c r="H37" s="70">
        <f t="shared" si="1"/>
        <v>337.26336778279682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10</v>
      </c>
      <c r="N37" s="14">
        <f>IF('Données projet'!$A$36&gt;35,N36+M37-V36,IF(A37&lt;'Données projet'!$A$36,$K$205^A37,IF(A37='Données projet'!$A$36,'Données projet'!$B$36,N36+M37-V36)))</f>
        <v>289.99999999999989</v>
      </c>
      <c r="O37" s="14">
        <f>N37*VLOOKUP('Données projet'!$B$9,Paramètres!$A$1:$I$89,3,0)*VLOOKUP('Données projet'!$B$9,Paramètres!$A$1:$I$89,5,0)</f>
        <v>135.71999999999994</v>
      </c>
      <c r="P37" s="14">
        <f t="shared" si="33"/>
        <v>35.314752882348131</v>
      </c>
      <c r="Q37" s="22">
        <f t="shared" si="53"/>
        <v>297.8855279367562</v>
      </c>
      <c r="R37" s="62">
        <f t="shared" si="0"/>
        <v>591.21886127008952</v>
      </c>
      <c r="S37" s="62">
        <f ca="1">AVERAGE(OFFSET($R$3,0,0,'Données projet'!$E$9+1,1))-AVERAGE(OFFSET($H$3,0,0,'Données projet'!$E$9+1,1))</f>
        <v>302.30714066618623</v>
      </c>
      <c r="T37" s="62">
        <f t="shared" si="34"/>
        <v>218.81984836501334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10.7</v>
      </c>
      <c r="AI37" s="14">
        <f>IF('Données projet'!$A$62&gt;35,AI36+AH37-AQ36,IF(A37&lt;'Données projet'!$A$62,$AF$205^A37,IF(A37='Données projet'!$A$62,'Données projet'!$B$62,AI36+AH37-AQ36)))</f>
        <v>200.8</v>
      </c>
      <c r="AJ37" s="14">
        <f>AI37*VLOOKUP('Données projet'!$B$10,Paramètres!$A$1:$I$89,3,0)*VLOOKUP('Données projet'!$B$10,Paramètres!$A$1:$I$89,5,0)</f>
        <v>120.07840000000002</v>
      </c>
      <c r="AK37" s="14">
        <f t="shared" si="35"/>
        <v>31.693284111529564</v>
      </c>
      <c r="AL37" s="22">
        <f t="shared" si="4"/>
        <v>264.33568316091396</v>
      </c>
      <c r="AM37" s="62">
        <f t="shared" si="5"/>
        <v>557.66901649424722</v>
      </c>
      <c r="AN37" s="62">
        <f ca="1">AVERAGE(OFFSET($AM$3,0,0,'Données projet'!$E$10+1,1))-AVERAGE(OFFSET($H$3,0,0,'Données projet'!$E$10+1,1))</f>
        <v>150.05970318721711</v>
      </c>
      <c r="AO37" s="62">
        <f t="shared" si="36"/>
        <v>230.8269864623847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12.201285032250908</v>
      </c>
      <c r="AV37" s="23">
        <f>EXP(-LN(2)/25)*AV36+(1-EXP(-LN(2)/25))/(LN(2)/25)*Calculateur!AQ37*Calculateur!AS37*VLOOKUP('Données projet'!$B$10,Paramètres!$A$1:$I$89,3,0)*0.475*44/12</f>
        <v>4.4872783433058689</v>
      </c>
      <c r="AW37" s="23">
        <f>EXP(-LN(2)/2)*AW36+(1-EXP(-LN(2)/2))/(LN(2)/2)*AQ37*AT37*VLOOKUP('Données projet'!$B$10,Paramètres!$A$1:$I$89,3,0)*0.475*44/12</f>
        <v>2.1449521687101205</v>
      </c>
      <c r="AX37" s="23">
        <f t="shared" si="6"/>
        <v>18.833515544266895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7.8</v>
      </c>
      <c r="BD37" s="13">
        <f>IF('Données projet'!$A$88&gt;35,BD36+BC37-BL36,IF(A37&lt;'Données projet'!$A$88,$BA$205^A37,IF(A37='Données projet'!$A$88,'Données projet'!$B$88,BD36+BC37-BL36)))</f>
        <v>108.19999999999999</v>
      </c>
      <c r="BE37" s="14">
        <f>BD37*VLOOKUP('Données projet'!$B$11,Paramètres!$A$1:$I$89,3,0)*VLOOKUP('Données projet'!$B$11,Paramètres!$A$1:$I$89,5,0)</f>
        <v>97.899359999999987</v>
      </c>
      <c r="BF37" s="14">
        <f t="shared" si="37"/>
        <v>26.460932364201845</v>
      </c>
      <c r="BG37" s="22">
        <f t="shared" si="7"/>
        <v>216.59417586765153</v>
      </c>
      <c r="BH37" s="62">
        <f t="shared" si="8"/>
        <v>509.92750920098484</v>
      </c>
      <c r="BI37" s="62">
        <f ca="1">AVERAGE(OFFSET($BH$3,0,0,'Données projet'!$E$11+1,1))-AVERAGE(OFFSET($H$3,0,0,'Données projet'!$E$11+1,1))</f>
        <v>278.41778972502732</v>
      </c>
      <c r="BJ37" s="62">
        <f t="shared" si="38"/>
        <v>157.75772798974242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19.564999999999998</v>
      </c>
      <c r="D38" s="12">
        <f t="shared" si="32"/>
        <v>6.3782812027501414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200.26392507386075</v>
      </c>
      <c r="H38" s="70">
        <f t="shared" si="1"/>
        <v>338.51788142812313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10</v>
      </c>
      <c r="N38" s="14">
        <f>IF('Données projet'!$A$36&gt;35,N37+M38-V37,IF(A38&lt;'Données projet'!$A$36,$K$205^A38,IF(A38='Données projet'!$A$36,'Données projet'!$B$36,N37+M38-V37)))</f>
        <v>299.99999999999989</v>
      </c>
      <c r="O38" s="14">
        <f>N38*VLOOKUP('Données projet'!$B$9,Paramètres!$A$1:$I$89,3,0)*VLOOKUP('Données projet'!$B$9,Paramètres!$A$1:$I$89,5,0)</f>
        <v>140.39999999999995</v>
      </c>
      <c r="P38" s="14">
        <f t="shared" si="33"/>
        <v>36.388624656711166</v>
      </c>
      <c r="Q38" s="22">
        <f t="shared" si="53"/>
        <v>307.90685461043853</v>
      </c>
      <c r="R38" s="62">
        <f t="shared" si="0"/>
        <v>601.24018794377184</v>
      </c>
      <c r="S38" s="62">
        <f ca="1">AVERAGE(OFFSET($R$3,0,0,'Données projet'!$E$9+1,1))-AVERAGE(OFFSET($H$3,0,0,'Données projet'!$E$9+1,1))</f>
        <v>302.30714066618623</v>
      </c>
      <c r="T38" s="62">
        <f t="shared" si="34"/>
        <v>218.81984836501334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10.7</v>
      </c>
      <c r="AI38" s="14">
        <f>IF('Données projet'!$A$62&gt;35,AI37+AH38-AQ37,IF(A38&lt;'Données projet'!$A$62,$AF$205^A38,IF(A38='Données projet'!$A$62,'Données projet'!$B$62,AI37+AH38-AQ37)))</f>
        <v>211.5</v>
      </c>
      <c r="AJ38" s="14">
        <f>AI38*VLOOKUP('Données projet'!$B$10,Paramètres!$A$1:$I$89,3,0)*VLOOKUP('Données projet'!$B$10,Paramètres!$A$1:$I$89,5,0)</f>
        <v>126.47700000000002</v>
      </c>
      <c r="AK38" s="14">
        <f t="shared" si="35"/>
        <v>33.181000378224027</v>
      </c>
      <c r="AL38" s="22">
        <f t="shared" si="4"/>
        <v>278.0710173254069</v>
      </c>
      <c r="AM38" s="62">
        <f t="shared" si="5"/>
        <v>571.40435065874021</v>
      </c>
      <c r="AN38" s="62">
        <f ca="1">AVERAGE(OFFSET($AM$3,0,0,'Données projet'!$E$10+1,1))-AVERAGE(OFFSET($H$3,0,0,'Données projet'!$E$10+1,1))</f>
        <v>150.05970318721711</v>
      </c>
      <c r="AO38" s="62">
        <f t="shared" si="36"/>
        <v>230.8269864623847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11.962025274817496</v>
      </c>
      <c r="AV38" s="23">
        <f>EXP(-LN(2)/25)*AV37+(1-EXP(-LN(2)/25))/(LN(2)/25)*Calculateur!AQ38*Calculateur!AS38*VLOOKUP('Données projet'!$B$10,Paramètres!$A$1:$I$89,3,0)*0.475*44/12</f>
        <v>4.3645734810324575</v>
      </c>
      <c r="AW38" s="23">
        <f>EXP(-LN(2)/2)*AW37+(1-EXP(-LN(2)/2))/(LN(2)/2)*AQ38*AT38*VLOOKUP('Données projet'!$B$10,Paramètres!$A$1:$I$89,3,0)*0.475*44/12</f>
        <v>1.516710223815718</v>
      </c>
      <c r="AX38" s="23">
        <f t="shared" si="6"/>
        <v>17.843308979665672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116</v>
      </c>
      <c r="BB38" s="13">
        <f>VLOOKUP(A38,'Données projet'!$A$87:$I$107,9,0)</f>
        <v>7.8</v>
      </c>
      <c r="BC38" s="13">
        <f t="array" ref="BC38">INDEX(BB:BB,MIN(IF(ISNUMBER(BB38:BB234),ROW(BB38:BB234),"")))</f>
        <v>7.8</v>
      </c>
      <c r="BD38" s="13">
        <f>IF('Données projet'!$A$88&gt;35,BD37+BC38-BL37,IF(A38&lt;'Données projet'!$A$88,$BA$205^A38,IF(A38='Données projet'!$A$88,'Données projet'!$B$88,BD37+BC38-BL37)))</f>
        <v>115.99999999999999</v>
      </c>
      <c r="BE38" s="14">
        <f>BD38*VLOOKUP('Données projet'!$B$11,Paramètres!$A$1:$I$89,3,0)*VLOOKUP('Données projet'!$B$11,Paramètres!$A$1:$I$89,5,0)</f>
        <v>104.95679999999999</v>
      </c>
      <c r="BF38" s="14">
        <f t="shared" si="37"/>
        <v>28.139541339232373</v>
      </c>
      <c r="BG38" s="22">
        <f t="shared" si="7"/>
        <v>231.8094611658297</v>
      </c>
      <c r="BH38" s="62">
        <f t="shared" si="8"/>
        <v>525.14279449916307</v>
      </c>
      <c r="BI38" s="62">
        <f ca="1">AVERAGE(OFFSET($BH$3,0,0,'Données projet'!$E$11+1,1))-AVERAGE(OFFSET($H$3,0,0,'Données projet'!$E$11+1,1))</f>
        <v>278.41778972502732</v>
      </c>
      <c r="BJ38" s="62">
        <f t="shared" si="38"/>
        <v>157.75772798974242</v>
      </c>
      <c r="BK38" s="16">
        <f>IF(ISNA(VLOOKUP(A38,'Données projet'!$A$87:$I$107,3,0)),0,VLOOKUP(A38,'Données projet'!$A$87:$I$107,3,0))</f>
        <v>3</v>
      </c>
      <c r="BL38" s="16">
        <f>IF(ISNA(VLOOKUP(A38,'Données projet'!$A$87:$I$107,4,0)),0,VLOOKUP(A38,'Données projet'!$A$87:$I$107,4,0))</f>
        <v>21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0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20.123999999999999</v>
      </c>
      <c r="D39" s="12">
        <f t="shared" si="32"/>
        <v>6.539040511923969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205.81996184643063</v>
      </c>
      <c r="H39" s="70">
        <f t="shared" si="1"/>
        <v>339.77146222493423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10</v>
      </c>
      <c r="N39" s="14">
        <f>IF('Données projet'!$A$36&gt;35,N38+M39-V38,IF(A39&lt;'Données projet'!$A$36,$K$205^A39,IF(A39='Données projet'!$A$36,'Données projet'!$B$36,N38+M39-V38)))</f>
        <v>309.99999999999989</v>
      </c>
      <c r="O39" s="14">
        <f>N39*VLOOKUP('Données projet'!$B$9,Paramètres!$A$1:$I$89,3,0)*VLOOKUP('Données projet'!$B$9,Paramètres!$A$1:$I$89,5,0)</f>
        <v>145.07999999999996</v>
      </c>
      <c r="P39" s="14">
        <f t="shared" si="33"/>
        <v>37.458337067672986</v>
      </c>
      <c r="Q39" s="22">
        <f t="shared" si="53"/>
        <v>317.92093705953039</v>
      </c>
      <c r="R39" s="62">
        <f t="shared" si="0"/>
        <v>611.25427039286365</v>
      </c>
      <c r="S39" s="62">
        <f ca="1">AVERAGE(OFFSET($R$3,0,0,'Données projet'!$E$9+1,1))-AVERAGE(OFFSET($H$3,0,0,'Données projet'!$E$9+1,1))</f>
        <v>302.30714066618623</v>
      </c>
      <c r="T39" s="62">
        <f t="shared" si="34"/>
        <v>218.81984836501334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10.7</v>
      </c>
      <c r="AI39" s="14">
        <f>IF('Données projet'!$A$62&gt;35,AI38+AH39-AQ38,IF(A39&lt;'Données projet'!$A$62,$AF$205^A39,IF(A39='Données projet'!$A$62,'Données projet'!$B$62,AI38+AH39-AQ38)))</f>
        <v>222.2</v>
      </c>
      <c r="AJ39" s="14">
        <f>AI39*VLOOKUP('Données projet'!$B$10,Paramètres!$A$1:$I$89,3,0)*VLOOKUP('Données projet'!$B$10,Paramètres!$A$1:$I$89,5,0)</f>
        <v>132.87560000000002</v>
      </c>
      <c r="AK39" s="14">
        <f t="shared" si="35"/>
        <v>34.659977599024245</v>
      </c>
      <c r="AL39" s="22">
        <f t="shared" si="4"/>
        <v>291.79113098496725</v>
      </c>
      <c r="AM39" s="62">
        <f t="shared" si="5"/>
        <v>585.12446431830062</v>
      </c>
      <c r="AN39" s="62">
        <f ca="1">AVERAGE(OFFSET($AM$3,0,0,'Données projet'!$E$10+1,1))-AVERAGE(OFFSET($H$3,0,0,'Données projet'!$E$10+1,1))</f>
        <v>150.05970318721711</v>
      </c>
      <c r="AO39" s="62">
        <f t="shared" si="36"/>
        <v>230.8269864623847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11.727457255293311</v>
      </c>
      <c r="AV39" s="23">
        <f>EXP(-LN(2)/25)*AV38+(1-EXP(-LN(2)/25))/(LN(2)/25)*Calculateur!AQ39*Calculateur!AS39*VLOOKUP('Données projet'!$B$10,Paramètres!$A$1:$I$89,3,0)*0.475*44/12</f>
        <v>4.2452239896706807</v>
      </c>
      <c r="AW39" s="23">
        <f>EXP(-LN(2)/2)*AW38+(1-EXP(-LN(2)/2))/(LN(2)/2)*AQ39*AT39*VLOOKUP('Données projet'!$B$10,Paramètres!$A$1:$I$89,3,0)*0.475*44/12</f>
        <v>1.0724760843550605</v>
      </c>
      <c r="AX39" s="23">
        <f t="shared" si="6"/>
        <v>17.045157329319053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8.4</v>
      </c>
      <c r="BD39" s="13">
        <f>IF('Données projet'!$A$88&gt;35,BD38+BC39-BL38,IF(A39&lt;'Données projet'!$A$88,$BA$205^A39,IF(A39='Données projet'!$A$88,'Données projet'!$B$88,BD38+BC39-BL38)))</f>
        <v>103.39999999999999</v>
      </c>
      <c r="BE39" s="14">
        <f>BD39*VLOOKUP('Données projet'!$B$11,Paramètres!$A$1:$I$89,3,0)*VLOOKUP('Données projet'!$B$11,Paramètres!$A$1:$I$89,5,0)</f>
        <v>93.556319999999999</v>
      </c>
      <c r="BF39" s="14">
        <f t="shared" si="37"/>
        <v>25.420979659258073</v>
      </c>
      <c r="BG39" s="22">
        <f t="shared" si="7"/>
        <v>207.21879690654114</v>
      </c>
      <c r="BH39" s="62">
        <f t="shared" si="8"/>
        <v>500.55213023987449</v>
      </c>
      <c r="BI39" s="62">
        <f ca="1">AVERAGE(OFFSET($BH$3,0,0,'Données projet'!$E$11+1,1))-AVERAGE(OFFSET($H$3,0,0,'Données projet'!$E$11+1,1))</f>
        <v>278.41778972502732</v>
      </c>
      <c r="BJ39" s="62">
        <f t="shared" si="38"/>
        <v>157.75772798974242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0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20.683</v>
      </c>
      <c r="D40" s="12">
        <f t="shared" si="32"/>
        <v>6.6992808015544387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211.37199215235009</v>
      </c>
      <c r="H40" s="70">
        <f t="shared" si="1"/>
        <v>341.02413906270726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10</v>
      </c>
      <c r="N40" s="14">
        <f>IF('Données projet'!$A$36&gt;35,N39+M40-V39,IF(A40&lt;'Données projet'!$A$36,$K$205^A40,IF(A40='Données projet'!$A$36,'Données projet'!$B$36,N39+M40-V39)))</f>
        <v>319.99999999999989</v>
      </c>
      <c r="O40" s="14">
        <f>N40*VLOOKUP('Données projet'!$B$9,Paramètres!$A$1:$I$89,3,0)*VLOOKUP('Données projet'!$B$9,Paramètres!$A$1:$I$89,5,0)</f>
        <v>149.75999999999996</v>
      </c>
      <c r="P40" s="14">
        <f t="shared" si="33"/>
        <v>38.524039677774766</v>
      </c>
      <c r="Q40" s="22">
        <f t="shared" si="53"/>
        <v>327.9280357721243</v>
      </c>
      <c r="R40" s="62">
        <f t="shared" si="0"/>
        <v>621.26136910545756</v>
      </c>
      <c r="S40" s="62">
        <f ca="1">AVERAGE(OFFSET($R$3,0,0,'Données projet'!$E$9+1,1))-AVERAGE(OFFSET($H$3,0,0,'Données projet'!$E$9+1,1))</f>
        <v>302.30714066618623</v>
      </c>
      <c r="T40" s="62">
        <f t="shared" si="34"/>
        <v>218.81984836501334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10.7</v>
      </c>
      <c r="AI40" s="14">
        <f>IF('Données projet'!$A$62&gt;35,AI39+AH40-AQ39,IF(A40&lt;'Données projet'!$A$62,$AF$205^A40,IF(A40='Données projet'!$A$62,'Données projet'!$B$62,AI39+AH40-AQ39)))</f>
        <v>232.89999999999998</v>
      </c>
      <c r="AJ40" s="14">
        <f>AI40*VLOOKUP('Données projet'!$B$10,Paramètres!$A$1:$I$89,3,0)*VLOOKUP('Données projet'!$B$10,Paramètres!$A$1:$I$89,5,0)</f>
        <v>139.27420000000001</v>
      </c>
      <c r="AK40" s="14">
        <f t="shared" si="35"/>
        <v>36.130684641909269</v>
      </c>
      <c r="AL40" s="22">
        <f t="shared" si="4"/>
        <v>305.49684075132535</v>
      </c>
      <c r="AM40" s="62">
        <f t="shared" si="5"/>
        <v>598.83017408465867</v>
      </c>
      <c r="AN40" s="62">
        <f ca="1">AVERAGE(OFFSET($AM$3,0,0,'Données projet'!$E$10+1,1))-AVERAGE(OFFSET($H$3,0,0,'Données projet'!$E$10+1,1))</f>
        <v>150.05970318721711</v>
      </c>
      <c r="AO40" s="62">
        <f t="shared" si="36"/>
        <v>230.8269864623847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11.497488971559632</v>
      </c>
      <c r="AV40" s="23">
        <f>EXP(-LN(2)/25)*AV39+(1-EXP(-LN(2)/25))/(LN(2)/25)*Calculateur!AQ40*Calculateur!AS40*VLOOKUP('Données projet'!$B$10,Paramètres!$A$1:$I$89,3,0)*0.475*44/12</f>
        <v>4.1291381164265086</v>
      </c>
      <c r="AW40" s="23">
        <f>EXP(-LN(2)/2)*AW39+(1-EXP(-LN(2)/2))/(LN(2)/2)*AQ40*AT40*VLOOKUP('Données projet'!$B$10,Paramètres!$A$1:$I$89,3,0)*0.475*44/12</f>
        <v>0.75835511190785909</v>
      </c>
      <c r="AX40" s="23">
        <f t="shared" si="6"/>
        <v>16.384982199894001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8.4</v>
      </c>
      <c r="BD40" s="13">
        <f>IF('Données projet'!$A$88&gt;35,BD39+BC40-BL39,IF(A40&lt;'Données projet'!$A$88,$BA$205^A40,IF(A40='Données projet'!$A$88,'Données projet'!$B$88,BD39+BC40-BL39)))</f>
        <v>111.8</v>
      </c>
      <c r="BE40" s="14">
        <f>BD40*VLOOKUP('Données projet'!$B$11,Paramètres!$A$1:$I$89,3,0)*VLOOKUP('Données projet'!$B$11,Paramètres!$A$1:$I$89,5,0)</f>
        <v>101.15664</v>
      </c>
      <c r="BF40" s="14">
        <f t="shared" si="37"/>
        <v>27.237366379381644</v>
      </c>
      <c r="BG40" s="22">
        <f t="shared" si="7"/>
        <v>223.61956111075634</v>
      </c>
      <c r="BH40" s="62">
        <f t="shared" si="8"/>
        <v>516.95289444408968</v>
      </c>
      <c r="BI40" s="62">
        <f ca="1">AVERAGE(OFFSET($BH$3,0,0,'Données projet'!$E$11+1,1))-AVERAGE(OFFSET($H$3,0,0,'Données projet'!$E$11+1,1))</f>
        <v>278.41778972502732</v>
      </c>
      <c r="BJ40" s="62">
        <f t="shared" si="38"/>
        <v>157.75772798974242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0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21.242000000000001</v>
      </c>
      <c r="D41" s="12">
        <f t="shared" si="32"/>
        <v>6.859017711252279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216.92013671843867</v>
      </c>
      <c r="H41" s="70">
        <f t="shared" si="1"/>
        <v>342.27593918043101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10</v>
      </c>
      <c r="N41" s="14">
        <f>IF('Données projet'!$A$36&gt;35,N40+M41-V40,IF(A41&lt;'Données projet'!$A$36,$K$205^A41,IF(A41='Données projet'!$A$36,'Données projet'!$B$36,N40+M41-V40)))</f>
        <v>329.99999999999989</v>
      </c>
      <c r="O41" s="14">
        <f>N41*VLOOKUP('Données projet'!$B$9,Paramètres!$A$1:$I$89,3,0)*VLOOKUP('Données projet'!$B$9,Paramètres!$A$1:$I$89,5,0)</f>
        <v>154.43999999999994</v>
      </c>
      <c r="P41" s="14">
        <f t="shared" si="33"/>
        <v>39.585872170955454</v>
      </c>
      <c r="Q41" s="22">
        <f t="shared" si="53"/>
        <v>337.92839403108059</v>
      </c>
      <c r="R41" s="62">
        <f t="shared" si="0"/>
        <v>631.2617273644139</v>
      </c>
      <c r="S41" s="62">
        <f ca="1">AVERAGE(OFFSET($R$3,0,0,'Données projet'!$E$9+1,1))-AVERAGE(OFFSET($H$3,0,0,'Données projet'!$E$9+1,1))</f>
        <v>302.30714066618623</v>
      </c>
      <c r="T41" s="62">
        <f t="shared" si="34"/>
        <v>218.81984836501334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10.7</v>
      </c>
      <c r="AI41" s="14">
        <f>IF('Données projet'!$A$62&gt;35,AI40+AH41-AQ40,IF(A41&lt;'Données projet'!$A$62,$AF$205^A41,IF(A41='Données projet'!$A$62,'Données projet'!$B$62,AI40+AH41-AQ40)))</f>
        <v>243.59999999999997</v>
      </c>
      <c r="AJ41" s="14">
        <f>AI41*VLOOKUP('Données projet'!$B$10,Paramètres!$A$1:$I$89,3,0)*VLOOKUP('Données projet'!$B$10,Paramètres!$A$1:$I$89,5,0)</f>
        <v>145.6728</v>
      </c>
      <c r="AK41" s="14">
        <f t="shared" si="35"/>
        <v>37.593544857919731</v>
      </c>
      <c r="AL41" s="22">
        <f t="shared" si="4"/>
        <v>319.18888396087686</v>
      </c>
      <c r="AM41" s="62">
        <f t="shared" si="5"/>
        <v>612.52221729421012</v>
      </c>
      <c r="AN41" s="62">
        <f ca="1">AVERAGE(OFFSET($AM$3,0,0,'Données projet'!$E$10+1,1))-AVERAGE(OFFSET($H$3,0,0,'Données projet'!$E$10+1,1))</f>
        <v>150.05970318721711</v>
      </c>
      <c r="AO41" s="62">
        <f t="shared" si="36"/>
        <v>230.8269864623847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11.272030225603165</v>
      </c>
      <c r="AV41" s="23">
        <f>EXP(-LN(2)/25)*AV40+(1-EXP(-LN(2)/25))/(LN(2)/25)*Calculateur!AQ41*Calculateur!AS41*VLOOKUP('Données projet'!$B$10,Paramètres!$A$1:$I$89,3,0)*0.475*44/12</f>
        <v>4.0162266174908892</v>
      </c>
      <c r="AW41" s="23">
        <f>EXP(-LN(2)/2)*AW40+(1-EXP(-LN(2)/2))/(LN(2)/2)*AQ41*AT41*VLOOKUP('Données projet'!$B$10,Paramètres!$A$1:$I$89,3,0)*0.475*44/12</f>
        <v>0.53623804217753035</v>
      </c>
      <c r="AX41" s="23">
        <f t="shared" si="6"/>
        <v>15.824494885271584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8.4</v>
      </c>
      <c r="BD41" s="13">
        <f>IF('Données projet'!$A$88&gt;35,BD40+BC41-BL40,IF(A41&lt;'Données projet'!$A$88,$BA$205^A41,IF(A41='Données projet'!$A$88,'Données projet'!$B$88,BD40+BC41-BL40)))</f>
        <v>120.2</v>
      </c>
      <c r="BE41" s="14">
        <f>BD41*VLOOKUP('Données projet'!$B$11,Paramètres!$A$1:$I$89,3,0)*VLOOKUP('Données projet'!$B$11,Paramètres!$A$1:$I$89,5,0)</f>
        <v>108.75695999999999</v>
      </c>
      <c r="BF41" s="14">
        <f t="shared" si="37"/>
        <v>29.037921223305585</v>
      </c>
      <c r="BG41" s="22">
        <f t="shared" si="7"/>
        <v>239.99275146392384</v>
      </c>
      <c r="BH41" s="62">
        <f t="shared" si="8"/>
        <v>533.32608479725718</v>
      </c>
      <c r="BI41" s="62">
        <f ca="1">AVERAGE(OFFSET($BH$3,0,0,'Données projet'!$E$11+1,1))-AVERAGE(OFFSET($H$3,0,0,'Données projet'!$E$11+1,1))</f>
        <v>278.41778972502732</v>
      </c>
      <c r="BJ41" s="62">
        <f t="shared" si="38"/>
        <v>157.75772798974242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0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21.801000000000002</v>
      </c>
      <c r="D42" s="12">
        <f t="shared" si="32"/>
        <v>7.0182660106137922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222.46450955561525</v>
      </c>
      <c r="H42" s="70">
        <f t="shared" si="1"/>
        <v>343.52688830181899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10</v>
      </c>
      <c r="N42" s="14">
        <f>IF('Données projet'!$A$36&gt;35,N41+M42-V41,IF(A42&lt;'Données projet'!$A$36,$K$205^A42,IF(A42='Données projet'!$A$36,'Données projet'!$B$36,N41+M42-V41)))</f>
        <v>339.99999999999989</v>
      </c>
      <c r="O42" s="14">
        <f>N42*VLOOKUP('Données projet'!$B$9,Paramètres!$A$1:$I$89,3,0)*VLOOKUP('Données projet'!$B$9,Paramètres!$A$1:$I$89,5,0)</f>
        <v>159.11999999999995</v>
      </c>
      <c r="P42" s="14">
        <f t="shared" si="33"/>
        <v>40.643965284387697</v>
      </c>
      <c r="Q42" s="22">
        <f t="shared" si="53"/>
        <v>347.92223953697516</v>
      </c>
      <c r="R42" s="62">
        <f t="shared" si="0"/>
        <v>641.25557287030847</v>
      </c>
      <c r="S42" s="62">
        <f ca="1">AVERAGE(OFFSET($R$3,0,0,'Données projet'!$E$9+1,1))-AVERAGE(OFFSET($H$3,0,0,'Données projet'!$E$9+1,1))</f>
        <v>302.30714066618623</v>
      </c>
      <c r="T42" s="62">
        <f t="shared" si="34"/>
        <v>218.81984836501334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10.7</v>
      </c>
      <c r="AI42" s="14">
        <f>IF('Données projet'!$A$62&gt;35,AI41+AH42-AQ41,IF(A42&lt;'Données projet'!$A$62,$AF$205^A42,IF(A42='Données projet'!$A$62,'Données projet'!$B$62,AI41+AH42-AQ41)))</f>
        <v>254.29999999999995</v>
      </c>
      <c r="AJ42" s="14">
        <f>AI42*VLOOKUP('Données projet'!$B$10,Paramètres!$A$1:$I$89,3,0)*VLOOKUP('Données projet'!$B$10,Paramètres!$A$1:$I$89,5,0)</f>
        <v>152.07139999999998</v>
      </c>
      <c r="AK42" s="14">
        <f t="shared" si="35"/>
        <v>39.048942304224767</v>
      </c>
      <c r="AL42" s="22">
        <f t="shared" si="4"/>
        <v>332.86792951319143</v>
      </c>
      <c r="AM42" s="62">
        <f t="shared" si="5"/>
        <v>626.20126284652474</v>
      </c>
      <c r="AN42" s="62">
        <f ca="1">AVERAGE(OFFSET($AM$3,0,0,'Données projet'!$E$10+1,1))-AVERAGE(OFFSET($H$3,0,0,'Données projet'!$E$10+1,1))</f>
        <v>150.05970318721711</v>
      </c>
      <c r="AO42" s="62">
        <f t="shared" si="36"/>
        <v>230.8269864623847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11.05099258813865</v>
      </c>
      <c r="AV42" s="23">
        <f>EXP(-LN(2)/25)*AV41+(1-EXP(-LN(2)/25))/(LN(2)/25)*Calculateur!AQ42*Calculateur!AS42*VLOOKUP('Données projet'!$B$10,Paramètres!$A$1:$I$89,3,0)*0.475*44/12</f>
        <v>3.9064026894314221</v>
      </c>
      <c r="AW42" s="23">
        <f>EXP(-LN(2)/2)*AW41+(1-EXP(-LN(2)/2))/(LN(2)/2)*AQ42*AT42*VLOOKUP('Données projet'!$B$10,Paramètres!$A$1:$I$89,3,0)*0.475*44/12</f>
        <v>0.3791775559539296</v>
      </c>
      <c r="AX42" s="23">
        <f t="shared" si="6"/>
        <v>15.336572833524002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8.4</v>
      </c>
      <c r="BD42" s="13">
        <f>IF('Données projet'!$A$88&gt;35,BD41+BC42-BL41,IF(A42&lt;'Données projet'!$A$88,$BA$205^A42,IF(A42='Données projet'!$A$88,'Données projet'!$B$88,BD41+BC42-BL41)))</f>
        <v>128.6</v>
      </c>
      <c r="BE42" s="14">
        <f>BD42*VLOOKUP('Données projet'!$B$11,Paramètres!$A$1:$I$89,3,0)*VLOOKUP('Données projet'!$B$11,Paramètres!$A$1:$I$89,5,0)</f>
        <v>116.35727999999999</v>
      </c>
      <c r="BF42" s="14">
        <f t="shared" si="37"/>
        <v>30.823876427820704</v>
      </c>
      <c r="BG42" s="22">
        <f t="shared" si="7"/>
        <v>256.34051411178768</v>
      </c>
      <c r="BH42" s="62">
        <f t="shared" si="8"/>
        <v>549.67384744512105</v>
      </c>
      <c r="BI42" s="62">
        <f ca="1">AVERAGE(OFFSET($BH$3,0,0,'Données projet'!$E$11+1,1))-AVERAGE(OFFSET($H$3,0,0,'Données projet'!$E$11+1,1))</f>
        <v>278.41778972502732</v>
      </c>
      <c r="BJ42" s="62">
        <f t="shared" si="38"/>
        <v>157.75772798974242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0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22.360000000000003</v>
      </c>
      <c r="D43" s="12">
        <f t="shared" si="32"/>
        <v>7.1770396686687832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228.00521849498713</v>
      </c>
      <c r="H43" s="70">
        <f t="shared" si="1"/>
        <v>344.77701075626476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350</v>
      </c>
      <c r="L43" s="13">
        <f>VLOOKUP(A43,'Données projet'!$A$35:$I$55,9,0)</f>
        <v>10</v>
      </c>
      <c r="M43" s="13">
        <f t="array" ref="M43">INDEX(L:L,MIN(IF(ISNUMBER(L43:L239),ROW(L43:L239),"")))</f>
        <v>10</v>
      </c>
      <c r="N43" s="14">
        <f>IF('Données projet'!$A$36&gt;35,N42+M43-V42,IF(A43&lt;'Données projet'!$A$36,$K$205^A43,IF(A43='Données projet'!$A$36,'Données projet'!$B$36,N42+M43-V42)))</f>
        <v>349.99999999999989</v>
      </c>
      <c r="O43" s="14">
        <f>N43*VLOOKUP('Données projet'!$B$9,Paramètres!$A$1:$I$89,3,0)*VLOOKUP('Données projet'!$B$9,Paramètres!$A$1:$I$89,5,0)</f>
        <v>163.79999999999995</v>
      </c>
      <c r="P43" s="14">
        <f t="shared" si="33"/>
        <v>41.698441627605291</v>
      </c>
      <c r="Q43" s="22">
        <f t="shared" si="53"/>
        <v>357.90978583474572</v>
      </c>
      <c r="R43" s="62">
        <f t="shared" si="0"/>
        <v>651.24311916807903</v>
      </c>
      <c r="S43" s="62">
        <f ca="1">AVERAGE(OFFSET($R$3,0,0,'Données projet'!$E$9+1,1))-AVERAGE(OFFSET($H$3,0,0,'Données projet'!$E$9+1,1))</f>
        <v>302.30714066618623</v>
      </c>
      <c r="T43" s="62">
        <f t="shared" si="34"/>
        <v>218.81984836501334</v>
      </c>
      <c r="U43" s="16">
        <f>IF(ISNA(VLOOKUP(A43,'Données projet'!$A$35:$I$55,3,0)),0,VLOOKUP(A43,'Données projet'!$A$35:$I$55,3,0))</f>
        <v>3</v>
      </c>
      <c r="V43" s="16">
        <f>IF(ISNA(VLOOKUP(A43,'Données projet'!$A$35:$I$55,4,0)),0,VLOOKUP(A43,'Données projet'!$A$35:$I$55,4,0))</f>
        <v>88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265</v>
      </c>
      <c r="AG43" s="13">
        <f>VLOOKUP(A43,'Données projet'!$A$61:$I$81,9,0)</f>
        <v>10.7</v>
      </c>
      <c r="AH43" s="13">
        <f t="array" ref="AH43">INDEX(AG:AG,MIN(IF(ISNUMBER(AG43:AG239),ROW(AG43:AG239),"")))</f>
        <v>10.7</v>
      </c>
      <c r="AI43" s="14">
        <f>IF('Données projet'!$A$62&gt;35,AI42+AH43-AQ42,IF(A43&lt;'Données projet'!$A$62,$AF$205^A43,IF(A43='Données projet'!$A$62,'Données projet'!$B$62,AI42+AH43-AQ42)))</f>
        <v>264.99999999999994</v>
      </c>
      <c r="AJ43" s="14">
        <f>AI43*VLOOKUP('Données projet'!$B$10,Paramètres!$A$1:$I$89,3,0)*VLOOKUP('Données projet'!$B$10,Paramètres!$A$1:$I$89,5,0)</f>
        <v>158.46999999999997</v>
      </c>
      <c r="AK43" s="14">
        <f t="shared" si="35"/>
        <v>40.497226890293632</v>
      </c>
      <c r="AL43" s="22">
        <f t="shared" si="4"/>
        <v>346.53458683392802</v>
      </c>
      <c r="AM43" s="62">
        <f t="shared" si="5"/>
        <v>639.86792016726133</v>
      </c>
      <c r="AN43" s="62">
        <f ca="1">AVERAGE(OFFSET($AM$3,0,0,'Données projet'!$E$10+1,1))-AVERAGE(OFFSET($H$3,0,0,'Données projet'!$E$10+1,1))</f>
        <v>150.05970318721711</v>
      </c>
      <c r="AO43" s="62">
        <f t="shared" si="36"/>
        <v>230.8269864623847</v>
      </c>
      <c r="AP43" s="16">
        <f>IF(ISNA(VLOOKUP(A43,'Données projet'!$A$61:$I$81,3,0)),0,VLOOKUP(A43,'Données projet'!$A$61:$I$81,3,0))</f>
        <v>4</v>
      </c>
      <c r="AQ43" s="16">
        <f>IF(ISNA(VLOOKUP(A43,'Données projet'!$A$61:$I$81,4,0)),0,VLOOKUP(A43,'Données projet'!$A$61:$I$81,4,0))</f>
        <v>50</v>
      </c>
      <c r="AR43" s="17">
        <f>IF(ISNA(VLOOKUP(A43,'Données projet'!$A$61:$I$81,5,0)),0%,VLOOKUP(A43,'Données projet'!$A$61:$I$81,5,0)*VLOOKUP('Données projet'!$B$10,Paramètres!$A$1:$I$89,7,0))</f>
        <v>0.36000000000000004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0.2</v>
      </c>
      <c r="AU43" s="23">
        <f>EXP(-LN(2)/35)*AU42+(1-EXP(-LN(2)/35))/(LN(2)/35)*AQ43*AR43*VLOOKUP('Données projet'!$B$10,Paramètres!$A$1:$I$89,3,0)*0.475*44/12</f>
        <v>25.113429162276375</v>
      </c>
      <c r="AV43" s="23">
        <f>EXP(-LN(2)/25)*AV42+(1-EXP(-LN(2)/25))/(LN(2)/25)*Calculateur!AQ43*Calculateur!AS43*VLOOKUP('Données projet'!$B$10,Paramètres!$A$1:$I$89,3,0)*0.475*44/12</f>
        <v>3.7995819024601305</v>
      </c>
      <c r="AW43" s="23">
        <f>EXP(-LN(2)/2)*AW42+(1-EXP(-LN(2)/2))/(LN(2)/2)*AQ43*AT43*VLOOKUP('Données projet'!$B$10,Paramètres!$A$1:$I$89,3,0)*0.475*44/12</f>
        <v>7.0388681602970307</v>
      </c>
      <c r="AX43" s="23">
        <f t="shared" si="6"/>
        <v>35.951879225033537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137</v>
      </c>
      <c r="BB43" s="13">
        <f>VLOOKUP(A43,'Données projet'!$A$87:$I$107,9,0)</f>
        <v>8.4</v>
      </c>
      <c r="BC43" s="13">
        <f t="array" ref="BC43">INDEX(BB:BB,MIN(IF(ISNUMBER(BB43:BB239),ROW(BB43:BB239),"")))</f>
        <v>8.4</v>
      </c>
      <c r="BD43" s="13">
        <f>IF('Données projet'!$A$88&gt;35,BD42+BC43-BL42,IF(A43&lt;'Données projet'!$A$88,$BA$205^A43,IF(A43='Données projet'!$A$88,'Données projet'!$B$88,BD42+BC43-BL42)))</f>
        <v>137</v>
      </c>
      <c r="BE43" s="14">
        <f>BD43*VLOOKUP('Données projet'!$B$11,Paramètres!$A$1:$I$89,3,0)*VLOOKUP('Données projet'!$B$11,Paramètres!$A$1:$I$89,5,0)</f>
        <v>123.9576</v>
      </c>
      <c r="BF43" s="14">
        <f t="shared" si="37"/>
        <v>32.59629414926458</v>
      </c>
      <c r="BG43" s="22">
        <f t="shared" si="7"/>
        <v>272.6646989766358</v>
      </c>
      <c r="BH43" s="62">
        <f t="shared" si="8"/>
        <v>565.99803230996918</v>
      </c>
      <c r="BI43" s="62">
        <f ca="1">AVERAGE(OFFSET($BH$3,0,0,'Données projet'!$E$11+1,1))-AVERAGE(OFFSET($H$3,0,0,'Données projet'!$E$11+1,1))</f>
        <v>278.41778972502732</v>
      </c>
      <c r="BJ43" s="62">
        <f t="shared" si="38"/>
        <v>157.75772798974242</v>
      </c>
      <c r="BK43" s="16">
        <f>IF(ISNA(VLOOKUP(A43,'Données projet'!$A$87:$I$107,3,0)),0,VLOOKUP(A43,'Données projet'!$A$87:$I$107,3,0))</f>
        <v>4</v>
      </c>
      <c r="BL43" s="16">
        <f>IF(ISNA(VLOOKUP(A43,'Données projet'!$A$87:$I$107,4,0)),0,VLOOKUP(A43,'Données projet'!$A$87:$I$107,4,0))</f>
        <v>21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0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22.919000000000004</v>
      </c>
      <c r="D44" s="12">
        <f t="shared" si="32"/>
        <v>7.3353519161881984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233.54236566882119</v>
      </c>
      <c r="H44" s="70">
        <f t="shared" si="1"/>
        <v>346.02632958736109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11.5</v>
      </c>
      <c r="N44" s="14">
        <f>IF('Données projet'!$A$36&gt;35,N43+M44-V43,IF(A44&lt;'Données projet'!$A$36,$K$205^A44,IF(A44='Données projet'!$A$36,'Données projet'!$B$36,N43+M44-V43)))</f>
        <v>273.49999999999989</v>
      </c>
      <c r="O44" s="14">
        <f>N44*VLOOKUP('Données projet'!$B$9,Paramètres!$A$1:$I$89,3,0)*VLOOKUP('Données projet'!$B$9,Paramètres!$A$1:$I$89,5,0)</f>
        <v>127.99799999999995</v>
      </c>
      <c r="P44" s="14">
        <f t="shared" si="33"/>
        <v>33.533338894635314</v>
      </c>
      <c r="Q44" s="22">
        <f t="shared" si="53"/>
        <v>281.33374857482306</v>
      </c>
      <c r="R44" s="62">
        <f t="shared" si="0"/>
        <v>574.66708190815643</v>
      </c>
      <c r="S44" s="62">
        <f ca="1">AVERAGE(OFFSET($R$3,0,0,'Données projet'!$E$9+1,1))-AVERAGE(OFFSET($H$3,0,0,'Données projet'!$E$9+1,1))</f>
        <v>302.30714066618623</v>
      </c>
      <c r="T44" s="62">
        <f t="shared" si="34"/>
        <v>218.81984836501334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7.9</v>
      </c>
      <c r="AI44" s="14">
        <f>IF('Données projet'!$A$62&gt;35,AI43+AH44-AQ43,IF(A44&lt;'Données projet'!$A$62,$AF$205^A44,IF(A44='Données projet'!$A$62,'Données projet'!$B$62,AI43+AH44-AQ43)))</f>
        <v>222.89999999999992</v>
      </c>
      <c r="AJ44" s="14">
        <f>AI44*VLOOKUP('Données projet'!$B$10,Paramètres!$A$1:$I$89,3,0)*VLOOKUP('Données projet'!$B$10,Paramètres!$A$1:$I$89,5,0)</f>
        <v>133.29419999999996</v>
      </c>
      <c r="AK44" s="14">
        <f t="shared" si="35"/>
        <v>34.756440080318377</v>
      </c>
      <c r="AL44" s="22">
        <f t="shared" si="4"/>
        <v>292.68819813988773</v>
      </c>
      <c r="AM44" s="62">
        <f t="shared" si="5"/>
        <v>586.0215314732211</v>
      </c>
      <c r="AN44" s="62">
        <f ca="1">AVERAGE(OFFSET($AM$3,0,0,'Données projet'!$E$10+1,1))-AVERAGE(OFFSET($H$3,0,0,'Données projet'!$E$10+1,1))</f>
        <v>150.05970318721711</v>
      </c>
      <c r="AO44" s="62">
        <f t="shared" si="36"/>
        <v>230.8269864623847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24.620970134083429</v>
      </c>
      <c r="AV44" s="23">
        <f>EXP(-LN(2)/25)*AV43+(1-EXP(-LN(2)/25))/(LN(2)/25)*Calculateur!AQ44*Calculateur!AS44*VLOOKUP('Données projet'!$B$10,Paramètres!$A$1:$I$89,3,0)*0.475*44/12</f>
        <v>3.6956821355260301</v>
      </c>
      <c r="AW44" s="23">
        <f>EXP(-LN(2)/2)*AW43+(1-EXP(-LN(2)/2))/(LN(2)/2)*AQ44*AT44*VLOOKUP('Données projet'!$B$10,Paramètres!$A$1:$I$89,3,0)*0.475*44/12</f>
        <v>4.9772314080241093</v>
      </c>
      <c r="AX44" s="23">
        <f t="shared" si="6"/>
        <v>33.293883677633566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8.4</v>
      </c>
      <c r="BD44" s="13">
        <f>IF('Données projet'!$A$88&gt;35,BD43+BC44-BL43,IF(A44&lt;'Données projet'!$A$88,$BA$205^A44,IF(A44='Données projet'!$A$88,'Données projet'!$B$88,BD43+BC44-BL43)))</f>
        <v>124.4</v>
      </c>
      <c r="BE44" s="14">
        <f>BD44*VLOOKUP('Données projet'!$B$11,Paramètres!$A$1:$I$89,3,0)*VLOOKUP('Données projet'!$B$11,Paramètres!$A$1:$I$89,5,0)</f>
        <v>112.55712000000001</v>
      </c>
      <c r="BF44" s="14">
        <f t="shared" si="37"/>
        <v>29.932653834140599</v>
      </c>
      <c r="BG44" s="22">
        <f t="shared" si="7"/>
        <v>248.16968942779488</v>
      </c>
      <c r="BH44" s="62">
        <f t="shared" si="8"/>
        <v>541.50302276112825</v>
      </c>
      <c r="BI44" s="62">
        <f ca="1">AVERAGE(OFFSET($BH$3,0,0,'Données projet'!$E$11+1,1))-AVERAGE(OFFSET($H$3,0,0,'Données projet'!$E$11+1,1))</f>
        <v>278.41778972502732</v>
      </c>
      <c r="BJ44" s="62">
        <f t="shared" si="38"/>
        <v>157.75772798974242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0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23.478000000000005</v>
      </c>
      <c r="D45" s="12">
        <f t="shared" si="32"/>
        <v>7.4932153017418228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239.07604794327025</v>
      </c>
      <c r="H45" s="70">
        <f t="shared" si="1"/>
        <v>347.27486665053368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11.5</v>
      </c>
      <c r="N45" s="14">
        <f>IF('Données projet'!$A$36&gt;35,N44+M45-V44,IF(A45&lt;'Données projet'!$A$36,$K$205^A45,IF(A45='Données projet'!$A$36,'Données projet'!$B$36,N44+M45-V44)))</f>
        <v>284.99999999999989</v>
      </c>
      <c r="O45" s="14">
        <f>N45*VLOOKUP('Données projet'!$B$9,Paramètres!$A$1:$I$89,3,0)*VLOOKUP('Données projet'!$B$9,Paramètres!$A$1:$I$89,5,0)</f>
        <v>133.37999999999994</v>
      </c>
      <c r="P45" s="14">
        <f t="shared" si="33"/>
        <v>34.776207535548991</v>
      </c>
      <c r="Q45" s="22">
        <f t="shared" si="53"/>
        <v>292.87206145774769</v>
      </c>
      <c r="R45" s="62">
        <f t="shared" si="0"/>
        <v>586.20539479108106</v>
      </c>
      <c r="S45" s="62">
        <f ca="1">AVERAGE(OFFSET($R$3,0,0,'Données projet'!$E$9+1,1))-AVERAGE(OFFSET($H$3,0,0,'Données projet'!$E$9+1,1))</f>
        <v>302.30714066618623</v>
      </c>
      <c r="T45" s="62">
        <f t="shared" si="34"/>
        <v>218.81984836501334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7.9</v>
      </c>
      <c r="AI45" s="14">
        <f>IF('Données projet'!$A$62&gt;35,AI44+AH45-AQ44,IF(A45&lt;'Données projet'!$A$62,$AF$205^A45,IF(A45='Données projet'!$A$62,'Données projet'!$B$62,AI44+AH45-AQ44)))</f>
        <v>230.79999999999993</v>
      </c>
      <c r="AJ45" s="14">
        <f>AI45*VLOOKUP('Données projet'!$B$10,Paramètres!$A$1:$I$89,3,0)*VLOOKUP('Données projet'!$B$10,Paramètres!$A$1:$I$89,5,0)</f>
        <v>138.01839999999996</v>
      </c>
      <c r="AK45" s="14">
        <f t="shared" si="35"/>
        <v>35.84267281669451</v>
      </c>
      <c r="AL45" s="22">
        <f t="shared" si="4"/>
        <v>302.80803515574286</v>
      </c>
      <c r="AM45" s="62">
        <f t="shared" si="5"/>
        <v>596.14136848907617</v>
      </c>
      <c r="AN45" s="62">
        <f ca="1">AVERAGE(OFFSET($AM$3,0,0,'Données projet'!$E$10+1,1))-AVERAGE(OFFSET($H$3,0,0,'Données projet'!$E$10+1,1))</f>
        <v>150.05970318721711</v>
      </c>
      <c r="AO45" s="62">
        <f t="shared" si="36"/>
        <v>230.8269864623847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24.138167927062998</v>
      </c>
      <c r="AV45" s="23">
        <f>EXP(-LN(2)/25)*AV44+(1-EXP(-LN(2)/25))/(LN(2)/25)*Calculateur!AQ45*Calculateur!AS45*VLOOKUP('Données projet'!$B$10,Paramètres!$A$1:$I$89,3,0)*0.475*44/12</f>
        <v>3.5946235131825941</v>
      </c>
      <c r="AW45" s="23">
        <f>EXP(-LN(2)/2)*AW44+(1-EXP(-LN(2)/2))/(LN(2)/2)*AQ45*AT45*VLOOKUP('Données projet'!$B$10,Paramètres!$A$1:$I$89,3,0)*0.475*44/12</f>
        <v>3.5194340801485158</v>
      </c>
      <c r="AX45" s="23">
        <f t="shared" si="6"/>
        <v>31.252225520394106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8.4</v>
      </c>
      <c r="BD45" s="13">
        <f>IF('Données projet'!$A$88&gt;35,BD44+BC45-BL44,IF(A45&lt;'Données projet'!$A$88,$BA$205^A45,IF(A45='Données projet'!$A$88,'Données projet'!$B$88,BD44+BC45-BL44)))</f>
        <v>132.80000000000001</v>
      </c>
      <c r="BE45" s="14">
        <f>BD45*VLOOKUP('Données projet'!$B$11,Paramètres!$A$1:$I$89,3,0)*VLOOKUP('Données projet'!$B$11,Paramètres!$A$1:$I$89,5,0)</f>
        <v>120.15744000000001</v>
      </c>
      <c r="BF45" s="14">
        <f t="shared" si="37"/>
        <v>31.711716786129845</v>
      </c>
      <c r="BG45" s="22">
        <f t="shared" si="7"/>
        <v>264.50544806917611</v>
      </c>
      <c r="BH45" s="62">
        <f t="shared" si="8"/>
        <v>557.83878140250943</v>
      </c>
      <c r="BI45" s="62">
        <f ca="1">AVERAGE(OFFSET($BH$3,0,0,'Données projet'!$E$11+1,1))-AVERAGE(OFFSET($H$3,0,0,'Données projet'!$E$11+1,1))</f>
        <v>278.41778972502732</v>
      </c>
      <c r="BJ45" s="62">
        <f t="shared" si="38"/>
        <v>157.75772798974242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0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24.037000000000006</v>
      </c>
      <c r="D46" s="12">
        <f t="shared" si="32"/>
        <v>7.6506417422667603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244.60635730872593</v>
      </c>
      <c r="H46" s="70">
        <f t="shared" si="1"/>
        <v>348.52264270111459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11.5</v>
      </c>
      <c r="N46" s="14">
        <f>IF('Données projet'!$A$36&gt;35,N45+M46-V45,IF(A46&lt;'Données projet'!$A$36,$K$205^A46,IF(A46='Données projet'!$A$36,'Données projet'!$B$36,N45+M46-V45)))</f>
        <v>296.49999999999989</v>
      </c>
      <c r="O46" s="14">
        <f>N46*VLOOKUP('Données projet'!$B$9,Paramètres!$A$1:$I$89,3,0)*VLOOKUP('Données projet'!$B$9,Paramètres!$A$1:$I$89,5,0)</f>
        <v>138.76199999999994</v>
      </c>
      <c r="P46" s="14">
        <f t="shared" si="33"/>
        <v>36.01325063671441</v>
      </c>
      <c r="Q46" s="22">
        <f t="shared" si="53"/>
        <v>304.4002281922775</v>
      </c>
      <c r="R46" s="62">
        <f t="shared" si="0"/>
        <v>597.73356152561087</v>
      </c>
      <c r="S46" s="62">
        <f ca="1">AVERAGE(OFFSET($R$3,0,0,'Données projet'!$E$9+1,1))-AVERAGE(OFFSET($H$3,0,0,'Données projet'!$E$9+1,1))</f>
        <v>302.30714066618623</v>
      </c>
      <c r="T46" s="62">
        <f t="shared" si="34"/>
        <v>218.81984836501334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7.9</v>
      </c>
      <c r="AI46" s="14">
        <f>IF('Données projet'!$A$62&gt;35,AI45+AH46-AQ45,IF(A46&lt;'Données projet'!$A$62,$AF$205^A46,IF(A46='Données projet'!$A$62,'Données projet'!$B$62,AI45+AH46-AQ45)))</f>
        <v>238.69999999999993</v>
      </c>
      <c r="AJ46" s="14">
        <f>AI46*VLOOKUP('Données projet'!$B$10,Paramètres!$A$1:$I$89,3,0)*VLOOKUP('Données projet'!$B$10,Paramètres!$A$1:$I$89,5,0)</f>
        <v>142.74259999999998</v>
      </c>
      <c r="AK46" s="14">
        <f t="shared" si="35"/>
        <v>36.924585472239464</v>
      </c>
      <c r="AL46" s="22">
        <f t="shared" si="4"/>
        <v>312.92034803081702</v>
      </c>
      <c r="AM46" s="62">
        <f t="shared" si="5"/>
        <v>606.25368136415034</v>
      </c>
      <c r="AN46" s="62">
        <f ca="1">AVERAGE(OFFSET($AM$3,0,0,'Données projet'!$E$10+1,1))-AVERAGE(OFFSET($H$3,0,0,'Données projet'!$E$10+1,1))</f>
        <v>150.05970318721711</v>
      </c>
      <c r="AO46" s="62">
        <f t="shared" si="36"/>
        <v>230.8269864623847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23.66483317684197</v>
      </c>
      <c r="AV46" s="23">
        <f>EXP(-LN(2)/25)*AV45+(1-EXP(-LN(2)/25))/(LN(2)/25)*Calculateur!AQ46*Calculateur!AS46*VLOOKUP('Données projet'!$B$10,Paramètres!$A$1:$I$89,3,0)*0.475*44/12</f>
        <v>3.4963283441815811</v>
      </c>
      <c r="AW46" s="23">
        <f>EXP(-LN(2)/2)*AW45+(1-EXP(-LN(2)/2))/(LN(2)/2)*AQ46*AT46*VLOOKUP('Données projet'!$B$10,Paramètres!$A$1:$I$89,3,0)*0.475*44/12</f>
        <v>2.4886157040120547</v>
      </c>
      <c r="AX46" s="23">
        <f t="shared" si="6"/>
        <v>29.649777225035606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8.4</v>
      </c>
      <c r="BD46" s="13">
        <f>IF('Données projet'!$A$88&gt;35,BD45+BC46-BL45,IF(A46&lt;'Données projet'!$A$88,$BA$205^A46,IF(A46='Données projet'!$A$88,'Données projet'!$B$88,BD45+BC46-BL45)))</f>
        <v>141.20000000000002</v>
      </c>
      <c r="BE46" s="14">
        <f>BD46*VLOOKUP('Données projet'!$B$11,Paramètres!$A$1:$I$89,3,0)*VLOOKUP('Données projet'!$B$11,Paramètres!$A$1:$I$89,5,0)</f>
        <v>127.75776</v>
      </c>
      <c r="BF46" s="14">
        <f t="shared" si="37"/>
        <v>33.477720030956604</v>
      </c>
      <c r="BG46" s="22">
        <f t="shared" si="7"/>
        <v>280.81846105391611</v>
      </c>
      <c r="BH46" s="62">
        <f t="shared" si="8"/>
        <v>574.15179438724942</v>
      </c>
      <c r="BI46" s="62">
        <f ca="1">AVERAGE(OFFSET($BH$3,0,0,'Données projet'!$E$11+1,1))-AVERAGE(OFFSET($H$3,0,0,'Données projet'!$E$11+1,1))</f>
        <v>278.41778972502732</v>
      </c>
      <c r="BJ46" s="62">
        <f t="shared" si="38"/>
        <v>157.75772798974242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0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24.596000000000007</v>
      </c>
      <c r="D47" s="12">
        <f t="shared" si="32"/>
        <v>7.8076425687993289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250.13338123283697</v>
      </c>
      <c r="H47" s="70">
        <f t="shared" si="1"/>
        <v>349.76967747399215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11.5</v>
      </c>
      <c r="N47" s="14">
        <f>IF('Données projet'!$A$36&gt;35,N46+M47-V46,IF(A47&lt;'Données projet'!$A$36,$K$205^A47,IF(A47='Données projet'!$A$36,'Données projet'!$B$36,N46+M47-V46)))</f>
        <v>307.99999999999989</v>
      </c>
      <c r="O47" s="14">
        <f>N47*VLOOKUP('Données projet'!$B$9,Paramètres!$A$1:$I$89,3,0)*VLOOKUP('Données projet'!$B$9,Paramètres!$A$1:$I$89,5,0)</f>
        <v>144.14399999999995</v>
      </c>
      <c r="P47" s="14">
        <f t="shared" si="33"/>
        <v>37.244720006976216</v>
      </c>
      <c r="Q47" s="22">
        <f t="shared" si="53"/>
        <v>315.91868734548348</v>
      </c>
      <c r="R47" s="62">
        <f t="shared" si="0"/>
        <v>609.25202067881673</v>
      </c>
      <c r="S47" s="62">
        <f ca="1">AVERAGE(OFFSET($R$3,0,0,'Données projet'!$E$9+1,1))-AVERAGE(OFFSET($H$3,0,0,'Données projet'!$E$9+1,1))</f>
        <v>302.30714066618623</v>
      </c>
      <c r="T47" s="62">
        <f t="shared" si="34"/>
        <v>218.81984836501334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7.9</v>
      </c>
      <c r="AI47" s="14">
        <f>IF('Données projet'!$A$62&gt;35,AI46+AH47-AQ46,IF(A47&lt;'Données projet'!$A$62,$AF$205^A47,IF(A47='Données projet'!$A$62,'Données projet'!$B$62,AI46+AH47-AQ46)))</f>
        <v>246.59999999999994</v>
      </c>
      <c r="AJ47" s="14">
        <f>AI47*VLOOKUP('Données projet'!$B$10,Paramètres!$A$1:$I$89,3,0)*VLOOKUP('Données projet'!$B$10,Paramètres!$A$1:$I$89,5,0)</f>
        <v>147.46679999999998</v>
      </c>
      <c r="AK47" s="14">
        <f t="shared" si="35"/>
        <v>38.002337418636273</v>
      </c>
      <c r="AL47" s="22">
        <f t="shared" si="4"/>
        <v>323.02541433745813</v>
      </c>
      <c r="AM47" s="62">
        <f t="shared" si="5"/>
        <v>616.35874767079144</v>
      </c>
      <c r="AN47" s="62">
        <f ca="1">AVERAGE(OFFSET($AM$3,0,0,'Données projet'!$E$10+1,1))-AVERAGE(OFFSET($H$3,0,0,'Données projet'!$E$10+1,1))</f>
        <v>150.05970318721711</v>
      </c>
      <c r="AO47" s="62">
        <f t="shared" si="36"/>
        <v>230.8269864623847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23.200780232367087</v>
      </c>
      <c r="AV47" s="23">
        <f>EXP(-LN(2)/25)*AV46+(1-EXP(-LN(2)/25))/(LN(2)/25)*Calculateur!AQ47*Calculateur!AS47*VLOOKUP('Données projet'!$B$10,Paramètres!$A$1:$I$89,3,0)*0.475*44/12</f>
        <v>3.4007210617460193</v>
      </c>
      <c r="AW47" s="23">
        <f>EXP(-LN(2)/2)*AW46+(1-EXP(-LN(2)/2))/(LN(2)/2)*AQ47*AT47*VLOOKUP('Données projet'!$B$10,Paramètres!$A$1:$I$89,3,0)*0.475*44/12</f>
        <v>1.7597170400742579</v>
      </c>
      <c r="AX47" s="23">
        <f t="shared" si="6"/>
        <v>28.361218334187363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8.4</v>
      </c>
      <c r="BD47" s="13">
        <f>IF('Données projet'!$A$88&gt;35,BD46+BC47-BL46,IF(A47&lt;'Données projet'!$A$88,$BA$205^A47,IF(A47='Données projet'!$A$88,'Données projet'!$B$88,BD46+BC47-BL46)))</f>
        <v>149.60000000000002</v>
      </c>
      <c r="BE47" s="14">
        <f>BD47*VLOOKUP('Données projet'!$B$11,Paramètres!$A$1:$I$89,3,0)*VLOOKUP('Données projet'!$B$11,Paramètres!$A$1:$I$89,5,0)</f>
        <v>135.35808</v>
      </c>
      <c r="BF47" s="14">
        <f t="shared" si="37"/>
        <v>35.231528980112834</v>
      </c>
      <c r="BG47" s="22">
        <f t="shared" si="7"/>
        <v>297.11023564036316</v>
      </c>
      <c r="BH47" s="62">
        <f t="shared" si="8"/>
        <v>590.44356897369653</v>
      </c>
      <c r="BI47" s="62">
        <f ca="1">AVERAGE(OFFSET($BH$3,0,0,'Données projet'!$E$11+1,1))-AVERAGE(OFFSET($H$3,0,0,'Données projet'!$E$11+1,1))</f>
        <v>278.41778972502732</v>
      </c>
      <c r="BJ47" s="62">
        <f t="shared" si="38"/>
        <v>157.75772798974242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0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25.155000000000008</v>
      </c>
      <c r="D48" s="12">
        <f t="shared" si="32"/>
        <v>7.9642285679322873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255.65720298053</v>
      </c>
      <c r="H48" s="70">
        <f t="shared" si="1"/>
        <v>351.01598975581538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11.5</v>
      </c>
      <c r="N48" s="14">
        <f>IF('Données projet'!$A$36&gt;35,N47+M48-V47,IF(A48&lt;'Données projet'!$A$36,$K$205^A48,IF(A48='Données projet'!$A$36,'Données projet'!$B$36,N47+M48-V47)))</f>
        <v>319.49999999999989</v>
      </c>
      <c r="O48" s="14">
        <f>N48*VLOOKUP('Données projet'!$B$9,Paramètres!$A$1:$I$89,3,0)*VLOOKUP('Données projet'!$B$9,Paramètres!$A$1:$I$89,5,0)</f>
        <v>149.52599999999995</v>
      </c>
      <c r="P48" s="14">
        <f t="shared" si="33"/>
        <v>38.470847585964201</v>
      </c>
      <c r="Q48" s="22">
        <f t="shared" si="53"/>
        <v>327.42784287888759</v>
      </c>
      <c r="R48" s="62">
        <f t="shared" si="0"/>
        <v>620.7611762122209</v>
      </c>
      <c r="S48" s="62">
        <f ca="1">AVERAGE(OFFSET($R$3,0,0,'Données projet'!$E$9+1,1))-AVERAGE(OFFSET($H$3,0,0,'Données projet'!$E$9+1,1))</f>
        <v>302.30714066618623</v>
      </c>
      <c r="T48" s="62">
        <f t="shared" si="34"/>
        <v>218.81984836501334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7.9</v>
      </c>
      <c r="AI48" s="14">
        <f>IF('Données projet'!$A$62&gt;35,AI47+AH48-AQ47,IF(A48&lt;'Données projet'!$A$62,$AF$205^A48,IF(A48='Données projet'!$A$62,'Données projet'!$B$62,AI47+AH48-AQ47)))</f>
        <v>254.49999999999994</v>
      </c>
      <c r="AJ48" s="14">
        <f>AI48*VLOOKUP('Données projet'!$B$10,Paramètres!$A$1:$I$89,3,0)*VLOOKUP('Données projet'!$B$10,Paramètres!$A$1:$I$89,5,0)</f>
        <v>152.19099999999997</v>
      </c>
      <c r="AK48" s="14">
        <f t="shared" si="35"/>
        <v>39.07607723663272</v>
      </c>
      <c r="AL48" s="22">
        <f t="shared" si="4"/>
        <v>333.12349285380191</v>
      </c>
      <c r="AM48" s="62">
        <f t="shared" si="5"/>
        <v>626.45682618713522</v>
      </c>
      <c r="AN48" s="62">
        <f ca="1">AVERAGE(OFFSET($AM$3,0,0,'Données projet'!$E$10+1,1))-AVERAGE(OFFSET($H$3,0,0,'Données projet'!$E$10+1,1))</f>
        <v>150.05970318721711</v>
      </c>
      <c r="AO48" s="62">
        <f t="shared" si="36"/>
        <v>230.8269864623847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22.745827083089008</v>
      </c>
      <c r="AV48" s="23">
        <f>EXP(-LN(2)/25)*AV47+(1-EXP(-LN(2)/25))/(LN(2)/25)*Calculateur!AQ48*Calculateur!AS48*VLOOKUP('Données projet'!$B$10,Paramètres!$A$1:$I$89,3,0)*0.475*44/12</f>
        <v>3.3077281654764263</v>
      </c>
      <c r="AW48" s="23">
        <f>EXP(-LN(2)/2)*AW47+(1-EXP(-LN(2)/2))/(LN(2)/2)*AQ48*AT48*VLOOKUP('Données projet'!$B$10,Paramètres!$A$1:$I$89,3,0)*0.475*44/12</f>
        <v>1.2443078520060273</v>
      </c>
      <c r="AX48" s="23">
        <f t="shared" si="6"/>
        <v>27.297863100571462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158</v>
      </c>
      <c r="BB48" s="13">
        <f>VLOOKUP(A48,'Données projet'!$A$87:$I$107,9,0)</f>
        <v>8.4</v>
      </c>
      <c r="BC48" s="13">
        <f t="array" ref="BC48">INDEX(BB:BB,MIN(IF(ISNUMBER(BB48:BB244),ROW(BB48:BB244),"")))</f>
        <v>8.4</v>
      </c>
      <c r="BD48" s="13">
        <f>IF('Données projet'!$A$88&gt;35,BD47+BC48-BL47,IF(A48&lt;'Données projet'!$A$88,$BA$205^A48,IF(A48='Données projet'!$A$88,'Données projet'!$B$88,BD47+BC48-BL47)))</f>
        <v>158.00000000000003</v>
      </c>
      <c r="BE48" s="14">
        <f>BD48*VLOOKUP('Données projet'!$B$11,Paramètres!$A$1:$I$89,3,0)*VLOOKUP('Données projet'!$B$11,Paramètres!$A$1:$I$89,5,0)</f>
        <v>142.95840000000004</v>
      </c>
      <c r="BF48" s="14">
        <f t="shared" si="37"/>
        <v>36.973906370811264</v>
      </c>
      <c r="BG48" s="22">
        <f t="shared" si="7"/>
        <v>313.38210026249641</v>
      </c>
      <c r="BH48" s="62">
        <f t="shared" si="8"/>
        <v>606.71543359582972</v>
      </c>
      <c r="BI48" s="62">
        <f ca="1">AVERAGE(OFFSET($BH$3,0,0,'Données projet'!$E$11+1,1))-AVERAGE(OFFSET($H$3,0,0,'Données projet'!$E$11+1,1))</f>
        <v>278.41778972502732</v>
      </c>
      <c r="BJ48" s="62">
        <f t="shared" si="38"/>
        <v>157.75772798974242</v>
      </c>
      <c r="BK48" s="16">
        <f>IF(ISNA(VLOOKUP(A48,'Données projet'!$A$87:$I$107,3,0)),0,VLOOKUP(A48,'Données projet'!$A$87:$I$107,3,0))</f>
        <v>5</v>
      </c>
      <c r="BL48" s="16">
        <f>IF(ISNA(VLOOKUP(A48,'Données projet'!$A$87:$I$107,4,0)),0,VLOOKUP(A48,'Données projet'!$A$87:$I$107,4,0))</f>
        <v>21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0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25.714000000000009</v>
      </c>
      <c r="D49" s="12">
        <f t="shared" si="32"/>
        <v>8.1204100194831259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261.17790190478212</v>
      </c>
      <c r="H49" s="70">
        <f t="shared" si="1"/>
        <v>352.26159745059977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11.5</v>
      </c>
      <c r="N49" s="14">
        <f>IF('Données projet'!$A$36&gt;35,N48+M49-V48,IF(A49&lt;'Données projet'!$A$36,$K$205^A49,IF(A49='Données projet'!$A$36,'Données projet'!$B$36,N48+M49-V48)))</f>
        <v>330.99999999999989</v>
      </c>
      <c r="O49" s="14">
        <f>N49*VLOOKUP('Données projet'!$B$9,Paramètres!$A$1:$I$89,3,0)*VLOOKUP('Données projet'!$B$9,Paramètres!$A$1:$I$89,5,0)</f>
        <v>154.90799999999996</v>
      </c>
      <c r="P49" s="14">
        <f t="shared" si="33"/>
        <v>39.691847670151873</v>
      </c>
      <c r="Q49" s="22">
        <f t="shared" si="53"/>
        <v>338.92806802551439</v>
      </c>
      <c r="R49" s="62">
        <f t="shared" si="0"/>
        <v>632.26140135884771</v>
      </c>
      <c r="S49" s="62">
        <f ca="1">AVERAGE(OFFSET($R$3,0,0,'Données projet'!$E$9+1,1))-AVERAGE(OFFSET($H$3,0,0,'Données projet'!$E$9+1,1))</f>
        <v>302.30714066618623</v>
      </c>
      <c r="T49" s="62">
        <f t="shared" si="34"/>
        <v>218.81984836501334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7.9</v>
      </c>
      <c r="AI49" s="14">
        <f>IF('Données projet'!$A$62&gt;35,AI48+AH49-AQ48,IF(A49&lt;'Données projet'!$A$62,$AF$205^A49,IF(A49='Données projet'!$A$62,'Données projet'!$B$62,AI48+AH49-AQ48)))</f>
        <v>262.39999999999992</v>
      </c>
      <c r="AJ49" s="14">
        <f>AI49*VLOOKUP('Données projet'!$B$10,Paramètres!$A$1:$I$89,3,0)*VLOOKUP('Données projet'!$B$10,Paramètres!$A$1:$I$89,5,0)</f>
        <v>156.91519999999997</v>
      </c>
      <c r="AK49" s="14">
        <f t="shared" si="35"/>
        <v>40.145943758721963</v>
      </c>
      <c r="AL49" s="22">
        <f t="shared" si="4"/>
        <v>343.21482537977403</v>
      </c>
      <c r="AM49" s="62">
        <f t="shared" si="5"/>
        <v>636.54815871310734</v>
      </c>
      <c r="AN49" s="62">
        <f ca="1">AVERAGE(OFFSET($AM$3,0,0,'Données projet'!$E$10+1,1))-AVERAGE(OFFSET($H$3,0,0,'Données projet'!$E$10+1,1))</f>
        <v>150.05970318721711</v>
      </c>
      <c r="AO49" s="62">
        <f t="shared" si="36"/>
        <v>230.8269864623847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22.299795287574252</v>
      </c>
      <c r="AV49" s="23">
        <f>EXP(-LN(2)/25)*AV48+(1-EXP(-LN(2)/25))/(LN(2)/25)*Calculateur!AQ49*Calculateur!AS49*VLOOKUP('Données projet'!$B$10,Paramètres!$A$1:$I$89,3,0)*0.475*44/12</f>
        <v>3.217278164845609</v>
      </c>
      <c r="AW49" s="23">
        <f>EXP(-LN(2)/2)*AW48+(1-EXP(-LN(2)/2))/(LN(2)/2)*AQ49*AT49*VLOOKUP('Données projet'!$B$10,Paramètres!$A$1:$I$89,3,0)*0.475*44/12</f>
        <v>0.87985852003712894</v>
      </c>
      <c r="AX49" s="23">
        <f t="shared" si="6"/>
        <v>26.39693197245699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8.4</v>
      </c>
      <c r="BD49" s="13">
        <f>IF('Données projet'!$A$88&gt;35,BD48+BC49-BL48,IF(A49&lt;'Données projet'!$A$88,$BA$205^A49,IF(A49='Données projet'!$A$88,'Données projet'!$B$88,BD48+BC49-BL48)))</f>
        <v>145.40000000000003</v>
      </c>
      <c r="BE49" s="14">
        <f>BD49*VLOOKUP('Données projet'!$B$11,Paramètres!$A$1:$I$89,3,0)*VLOOKUP('Données projet'!$B$11,Paramètres!$A$1:$I$89,5,0)</f>
        <v>131.55792000000002</v>
      </c>
      <c r="BF49" s="14">
        <f t="shared" si="37"/>
        <v>34.3560989338864</v>
      </c>
      <c r="BG49" s="22">
        <f t="shared" si="7"/>
        <v>288.96691630985219</v>
      </c>
      <c r="BH49" s="62">
        <f t="shared" si="8"/>
        <v>582.30024964318545</v>
      </c>
      <c r="BI49" s="62">
        <f ca="1">AVERAGE(OFFSET($BH$3,0,0,'Données projet'!$E$11+1,1))-AVERAGE(OFFSET($H$3,0,0,'Données projet'!$E$11+1,1))</f>
        <v>278.41778972502732</v>
      </c>
      <c r="BJ49" s="62">
        <f t="shared" si="38"/>
        <v>157.75772798974242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0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26.27300000000001</v>
      </c>
      <c r="D50" s="12">
        <f t="shared" si="32"/>
        <v>8.2761967307944264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266.69555371139563</v>
      </c>
      <c r="H50" s="70">
        <f t="shared" si="1"/>
        <v>353.50651763946695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11.5</v>
      </c>
      <c r="N50" s="14">
        <f>IF('Données projet'!$A$36&gt;35,N49+M50-V49,IF(A50&lt;'Données projet'!$A$36,$K$205^A50,IF(A50='Données projet'!$A$36,'Données projet'!$B$36,N49+M50-V49)))</f>
        <v>342.49999999999989</v>
      </c>
      <c r="O50" s="14">
        <f>N50*VLOOKUP('Données projet'!$B$9,Paramètres!$A$1:$I$89,3,0)*VLOOKUP('Données projet'!$B$9,Paramètres!$A$1:$I$89,5,0)</f>
        <v>160.28999999999994</v>
      </c>
      <c r="P50" s="14">
        <f t="shared" si="33"/>
        <v>40.907918820862015</v>
      </c>
      <c r="Q50" s="22">
        <f t="shared" si="53"/>
        <v>350.41970861300121</v>
      </c>
      <c r="R50" s="62">
        <f t="shared" si="0"/>
        <v>643.75304194633452</v>
      </c>
      <c r="S50" s="62">
        <f ca="1">AVERAGE(OFFSET($R$3,0,0,'Données projet'!$E$9+1,1))-AVERAGE(OFFSET($H$3,0,0,'Données projet'!$E$9+1,1))</f>
        <v>302.30714066618623</v>
      </c>
      <c r="T50" s="62">
        <f t="shared" si="34"/>
        <v>218.81984836501334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7.9</v>
      </c>
      <c r="AI50" s="14">
        <f>IF('Données projet'!$A$62&gt;35,AI49+AH50-AQ49,IF(A50&lt;'Données projet'!$A$62,$AF$205^A50,IF(A50='Données projet'!$A$62,'Données projet'!$B$62,AI49+AH50-AQ49)))</f>
        <v>270.2999999999999</v>
      </c>
      <c r="AJ50" s="14">
        <f>AI50*VLOOKUP('Données projet'!$B$10,Paramètres!$A$1:$I$89,3,0)*VLOOKUP('Données projet'!$B$10,Paramètres!$A$1:$I$89,5,0)</f>
        <v>161.63939999999997</v>
      </c>
      <c r="AK50" s="14">
        <f t="shared" si="35"/>
        <v>41.212066982728679</v>
      </c>
      <c r="AL50" s="22">
        <f t="shared" si="4"/>
        <v>353.29963832825234</v>
      </c>
      <c r="AM50" s="62">
        <f t="shared" si="5"/>
        <v>646.63297166158566</v>
      </c>
      <c r="AN50" s="62">
        <f ca="1">AVERAGE(OFFSET($AM$3,0,0,'Données projet'!$E$10+1,1))-AVERAGE(OFFSET($H$3,0,0,'Données projet'!$E$10+1,1))</f>
        <v>150.05970318721711</v>
      </c>
      <c r="AO50" s="62">
        <f t="shared" si="36"/>
        <v>230.8269864623847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21.862509903517008</v>
      </c>
      <c r="AV50" s="23">
        <f>EXP(-LN(2)/25)*AV49+(1-EXP(-LN(2)/25))/(LN(2)/25)*Calculateur!AQ50*Calculateur!AS50*VLOOKUP('Données projet'!$B$10,Paramètres!$A$1:$I$89,3,0)*0.475*44/12</f>
        <v>3.1293015242386004</v>
      </c>
      <c r="AW50" s="23">
        <f>EXP(-LN(2)/2)*AW49+(1-EXP(-LN(2)/2))/(LN(2)/2)*AQ50*AT50*VLOOKUP('Données projet'!$B$10,Paramètres!$A$1:$I$89,3,0)*0.475*44/12</f>
        <v>0.62215392600301367</v>
      </c>
      <c r="AX50" s="23">
        <f t="shared" si="6"/>
        <v>25.613965353758619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8.4</v>
      </c>
      <c r="BD50" s="13">
        <f>IF('Données projet'!$A$88&gt;35,BD49+BC50-BL49,IF(A50&lt;'Données projet'!$A$88,$BA$205^A50,IF(A50='Données projet'!$A$88,'Données projet'!$B$88,BD49+BC50-BL49)))</f>
        <v>153.80000000000004</v>
      </c>
      <c r="BE50" s="14">
        <f>BD50*VLOOKUP('Données projet'!$B$11,Paramètres!$A$1:$I$89,3,0)*VLOOKUP('Données projet'!$B$11,Paramètres!$A$1:$I$89,5,0)</f>
        <v>139.15824000000003</v>
      </c>
      <c r="BF50" s="14">
        <f t="shared" si="37"/>
        <v>36.104102468715482</v>
      </c>
      <c r="BG50" s="22">
        <f t="shared" si="7"/>
        <v>305.24857979967953</v>
      </c>
      <c r="BH50" s="62">
        <f t="shared" si="8"/>
        <v>598.5819131330129</v>
      </c>
      <c r="BI50" s="62">
        <f ca="1">AVERAGE(OFFSET($BH$3,0,0,'Données projet'!$E$11+1,1))-AVERAGE(OFFSET($H$3,0,0,'Données projet'!$E$11+1,1))</f>
        <v>278.41778972502732</v>
      </c>
      <c r="BJ50" s="62">
        <f t="shared" si="38"/>
        <v>157.75772798974242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0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26.832000000000011</v>
      </c>
      <c r="D51" s="12">
        <f t="shared" si="32"/>
        <v>8.4315980680326348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272.21023070060295</v>
      </c>
      <c r="H51" s="70">
        <f t="shared" si="1"/>
        <v>354.75076663515682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11.5</v>
      </c>
      <c r="N51" s="14">
        <f>IF('Données projet'!$A$36&gt;35,N50+M51-V50,IF(A51&lt;'Données projet'!$A$36,$K$205^A51,IF(A51='Données projet'!$A$36,'Données projet'!$B$36,N50+M51-V50)))</f>
        <v>353.99999999999989</v>
      </c>
      <c r="O51" s="14">
        <f>N51*VLOOKUP('Données projet'!$B$9,Paramètres!$A$1:$I$89,3,0)*VLOOKUP('Données projet'!$B$9,Paramètres!$A$1:$I$89,5,0)</f>
        <v>165.67199999999994</v>
      </c>
      <c r="P51" s="14">
        <f t="shared" si="33"/>
        <v>42.119245508815517</v>
      </c>
      <c r="Q51" s="22">
        <f t="shared" si="53"/>
        <v>361.90308592785351</v>
      </c>
      <c r="R51" s="62">
        <f t="shared" si="0"/>
        <v>655.23641926118682</v>
      </c>
      <c r="S51" s="62">
        <f ca="1">AVERAGE(OFFSET($R$3,0,0,'Données projet'!$E$9+1,1))-AVERAGE(OFFSET($H$3,0,0,'Données projet'!$E$9+1,1))</f>
        <v>302.30714066618623</v>
      </c>
      <c r="T51" s="62">
        <f t="shared" si="34"/>
        <v>218.81984836501334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7.9</v>
      </c>
      <c r="AI51" s="14">
        <f>IF('Données projet'!$A$62&gt;35,AI50+AH51-AQ50,IF(A51&lt;'Données projet'!$A$62,$AF$205^A51,IF(A51='Données projet'!$A$62,'Données projet'!$B$62,AI50+AH51-AQ50)))</f>
        <v>278.19999999999987</v>
      </c>
      <c r="AJ51" s="14">
        <f>AI51*VLOOKUP('Données projet'!$B$10,Paramètres!$A$1:$I$89,3,0)*VLOOKUP('Données projet'!$B$10,Paramètres!$A$1:$I$89,5,0)</f>
        <v>166.36359999999993</v>
      </c>
      <c r="AK51" s="14">
        <f t="shared" si="35"/>
        <v>42.274568875588898</v>
      </c>
      <c r="AL51" s="22">
        <f t="shared" si="4"/>
        <v>363.37814412498386</v>
      </c>
      <c r="AM51" s="62">
        <f t="shared" si="5"/>
        <v>656.71147745831718</v>
      </c>
      <c r="AN51" s="62">
        <f ca="1">AVERAGE(OFFSET($AM$3,0,0,'Données projet'!$E$10+1,1))-AVERAGE(OFFSET($H$3,0,0,'Données projet'!$E$10+1,1))</f>
        <v>150.05970318721711</v>
      </c>
      <c r="AO51" s="62">
        <f t="shared" si="36"/>
        <v>230.8269864623847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21.433799419123378</v>
      </c>
      <c r="AV51" s="23">
        <f>EXP(-LN(2)/25)*AV50+(1-EXP(-LN(2)/25))/(LN(2)/25)*Calculateur!AQ51*Calculateur!AS51*VLOOKUP('Données projet'!$B$10,Paramètres!$A$1:$I$89,3,0)*0.475*44/12</f>
        <v>3.0437306094954808</v>
      </c>
      <c r="AW51" s="23">
        <f>EXP(-LN(2)/2)*AW50+(1-EXP(-LN(2)/2))/(LN(2)/2)*AQ51*AT51*VLOOKUP('Données projet'!$B$10,Paramètres!$A$1:$I$89,3,0)*0.475*44/12</f>
        <v>0.43992926001856447</v>
      </c>
      <c r="AX51" s="23">
        <f t="shared" si="6"/>
        <v>24.917459288637424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8.4</v>
      </c>
      <c r="BD51" s="13">
        <f>IF('Données projet'!$A$88&gt;35,BD50+BC51-BL50,IF(A51&lt;'Données projet'!$A$88,$BA$205^A51,IF(A51='Données projet'!$A$88,'Données projet'!$B$88,BD50+BC51-BL50)))</f>
        <v>162.20000000000005</v>
      </c>
      <c r="BE51" s="14">
        <f>BD51*VLOOKUP('Données projet'!$B$11,Paramètres!$A$1:$I$89,3,0)*VLOOKUP('Données projet'!$B$11,Paramètres!$A$1:$I$89,5,0)</f>
        <v>146.75856000000005</v>
      </c>
      <c r="BF51" s="14">
        <f t="shared" si="37"/>
        <v>37.841022770456242</v>
      </c>
      <c r="BG51" s="22">
        <f t="shared" si="7"/>
        <v>321.51093999187805</v>
      </c>
      <c r="BH51" s="62">
        <f t="shared" si="8"/>
        <v>614.84427332521136</v>
      </c>
      <c r="BI51" s="62">
        <f ca="1">AVERAGE(OFFSET($BH$3,0,0,'Données projet'!$E$11+1,1))-AVERAGE(OFFSET($H$3,0,0,'Données projet'!$E$11+1,1))</f>
        <v>278.41778972502732</v>
      </c>
      <c r="BJ51" s="62">
        <f t="shared" si="38"/>
        <v>157.75772798974242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0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27.391000000000012</v>
      </c>
      <c r="D52" s="12">
        <f t="shared" si="32"/>
        <v>8.586622984805059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277.72200198796901</v>
      </c>
      <c r="H52" s="70">
        <f t="shared" si="1"/>
        <v>355.99436003186884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11.5</v>
      </c>
      <c r="N52" s="14">
        <f>IF('Données projet'!$A$36&gt;35,N51+M52-V51,IF(A52&lt;'Données projet'!$A$36,$K$205^A52,IF(A52='Données projet'!$A$36,'Données projet'!$B$36,N51+M52-V51)))</f>
        <v>365.49999999999989</v>
      </c>
      <c r="O52" s="14">
        <f>N52*VLOOKUP('Données projet'!$B$9,Paramètres!$A$1:$I$89,3,0)*VLOOKUP('Données projet'!$B$9,Paramètres!$A$1:$I$89,5,0)</f>
        <v>171.05399999999995</v>
      </c>
      <c r="P52" s="14">
        <f t="shared" si="33"/>
        <v>43.32599953897904</v>
      </c>
      <c r="Q52" s="22">
        <f t="shared" si="53"/>
        <v>373.37849919705508</v>
      </c>
      <c r="R52" s="62">
        <f t="shared" si="0"/>
        <v>666.71183253038839</v>
      </c>
      <c r="S52" s="62">
        <f ca="1">AVERAGE(OFFSET($R$3,0,0,'Données projet'!$E$9+1,1))-AVERAGE(OFFSET($H$3,0,0,'Données projet'!$E$9+1,1))</f>
        <v>302.30714066618623</v>
      </c>
      <c r="T52" s="62">
        <f t="shared" si="34"/>
        <v>218.81984836501334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7.9</v>
      </c>
      <c r="AI52" s="14">
        <f>IF('Données projet'!$A$62&gt;35,AI51+AH52-AQ51,IF(A52&lt;'Données projet'!$A$62,$AF$205^A52,IF(A52='Données projet'!$A$62,'Données projet'!$B$62,AI51+AH52-AQ51)))</f>
        <v>286.09999999999985</v>
      </c>
      <c r="AJ52" s="14">
        <f>AI52*VLOOKUP('Données projet'!$B$10,Paramètres!$A$1:$I$89,3,0)*VLOOKUP('Données projet'!$B$10,Paramètres!$A$1:$I$89,5,0)</f>
        <v>171.08779999999993</v>
      </c>
      <c r="AK52" s="14">
        <f t="shared" si="35"/>
        <v>43.333564083264214</v>
      </c>
      <c r="AL52" s="22">
        <f t="shared" si="4"/>
        <v>373.45054244501836</v>
      </c>
      <c r="AM52" s="62">
        <f t="shared" si="5"/>
        <v>666.78387577835167</v>
      </c>
      <c r="AN52" s="62">
        <f ca="1">AVERAGE(OFFSET($AM$3,0,0,'Données projet'!$E$10+1,1))-AVERAGE(OFFSET($H$3,0,0,'Données projet'!$E$10+1,1))</f>
        <v>150.05970318721711</v>
      </c>
      <c r="AO52" s="62">
        <f t="shared" si="36"/>
        <v>230.8269864623847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21.013495685841132</v>
      </c>
      <c r="AV52" s="23">
        <f>EXP(-LN(2)/25)*AV51+(1-EXP(-LN(2)/25))/(LN(2)/25)*Calculateur!AQ52*Calculateur!AS52*VLOOKUP('Données projet'!$B$10,Paramètres!$A$1:$I$89,3,0)*0.475*44/12</f>
        <v>2.9604996359159905</v>
      </c>
      <c r="AW52" s="23">
        <f>EXP(-LN(2)/2)*AW51+(1-EXP(-LN(2)/2))/(LN(2)/2)*AQ52*AT52*VLOOKUP('Données projet'!$B$10,Paramètres!$A$1:$I$89,3,0)*0.475*44/12</f>
        <v>0.31107696300150683</v>
      </c>
      <c r="AX52" s="23">
        <f t="shared" si="6"/>
        <v>24.28507228475863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8.4</v>
      </c>
      <c r="BD52" s="13">
        <f>IF('Données projet'!$A$88&gt;35,BD51+BC52-BL51,IF(A52&lt;'Données projet'!$A$88,$BA$205^A52,IF(A52='Données projet'!$A$88,'Données projet'!$B$88,BD51+BC52-BL51)))</f>
        <v>170.60000000000005</v>
      </c>
      <c r="BE52" s="14">
        <f>BD52*VLOOKUP('Données projet'!$B$11,Paramètres!$A$1:$I$89,3,0)*VLOOKUP('Données projet'!$B$11,Paramètres!$A$1:$I$89,5,0)</f>
        <v>154.35888000000003</v>
      </c>
      <c r="BF52" s="14">
        <f t="shared" si="37"/>
        <v>39.567499286120309</v>
      </c>
      <c r="BG52" s="22">
        <f t="shared" si="7"/>
        <v>337.75511058999291</v>
      </c>
      <c r="BH52" s="62">
        <f t="shared" si="8"/>
        <v>631.08844392332617</v>
      </c>
      <c r="BI52" s="62">
        <f ca="1">AVERAGE(OFFSET($BH$3,0,0,'Données projet'!$E$11+1,1))-AVERAGE(OFFSET($H$3,0,0,'Données projet'!$E$11+1,1))</f>
        <v>278.41778972502732</v>
      </c>
      <c r="BJ52" s="62">
        <f t="shared" si="38"/>
        <v>157.75772798974242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0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27.950000000000014</v>
      </c>
      <c r="D53" s="12">
        <f t="shared" si="32"/>
        <v>8.7412800483747457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283.23093370675252</v>
      </c>
      <c r="H53" s="70">
        <f t="shared" si="1"/>
        <v>357.23731275091933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377</v>
      </c>
      <c r="L53" s="13">
        <f>VLOOKUP(A53,'Données projet'!$A$35:$I$55,9,0)</f>
        <v>11.5</v>
      </c>
      <c r="M53" s="13">
        <f t="array" ref="M53">INDEX(L:L,MIN(IF(ISNUMBER(L53:L249),ROW(L53:L249),"")))</f>
        <v>11.5</v>
      </c>
      <c r="N53" s="14">
        <f>IF('Données projet'!$A$36&gt;35,N52+M53-V52,IF(A53&lt;'Données projet'!$A$36,$K$205^A53,IF(A53='Données projet'!$A$36,'Données projet'!$B$36,N52+M53-V52)))</f>
        <v>376.99999999999989</v>
      </c>
      <c r="O53" s="14">
        <f>N53*VLOOKUP('Données projet'!$B$9,Paramètres!$A$1:$I$89,3,0)*VLOOKUP('Données projet'!$B$9,Paramètres!$A$1:$I$89,5,0)</f>
        <v>176.43599999999992</v>
      </c>
      <c r="P53" s="14">
        <f t="shared" si="33"/>
        <v>44.52834129105058</v>
      </c>
      <c r="Q53" s="22">
        <f t="shared" si="53"/>
        <v>384.84622774857962</v>
      </c>
      <c r="R53" s="62">
        <f t="shared" si="0"/>
        <v>678.17956108191288</v>
      </c>
      <c r="S53" s="62">
        <f ca="1">AVERAGE(OFFSET($R$3,0,0,'Données projet'!$E$9+1,1))-AVERAGE(OFFSET($H$3,0,0,'Données projet'!$E$9+1,1))</f>
        <v>302.30714066618623</v>
      </c>
      <c r="T53" s="62">
        <f t="shared" si="34"/>
        <v>218.81984836501334</v>
      </c>
      <c r="U53" s="16">
        <f>IF(ISNA(VLOOKUP(A53,'Données projet'!$A$35:$I$55,3,0)),0,VLOOKUP(A53,'Données projet'!$A$35:$I$55,3,0))</f>
        <v>4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294</v>
      </c>
      <c r="AG53" s="13">
        <f>VLOOKUP(A53,'Données projet'!$A$61:$I$81,9,0)</f>
        <v>7.9</v>
      </c>
      <c r="AH53" s="13">
        <f t="array" ref="AH53">INDEX(AG:AG,MIN(IF(ISNUMBER(AG53:AG249),ROW(AG53:AG249),"")))</f>
        <v>7.9</v>
      </c>
      <c r="AI53" s="14">
        <f>IF('Données projet'!$A$62&gt;35,AI52+AH53-AQ52,IF(A53&lt;'Données projet'!$A$62,$AF$205^A53,IF(A53='Données projet'!$A$62,'Données projet'!$B$62,AI52+AH53-AQ52)))</f>
        <v>293.99999999999983</v>
      </c>
      <c r="AJ53" s="14">
        <f>AI53*VLOOKUP('Données projet'!$B$10,Paramètres!$A$1:$I$89,3,0)*VLOOKUP('Données projet'!$B$10,Paramètres!$A$1:$I$89,5,0)</f>
        <v>175.8119999999999</v>
      </c>
      <c r="AK53" s="14">
        <f t="shared" si="35"/>
        <v>44.389160560041141</v>
      </c>
      <c r="AL53" s="22">
        <f t="shared" si="4"/>
        <v>383.51702130873815</v>
      </c>
      <c r="AM53" s="62">
        <f t="shared" si="5"/>
        <v>676.85035464207147</v>
      </c>
      <c r="AN53" s="62">
        <f ca="1">AVERAGE(OFFSET($AM$3,0,0,'Données projet'!$E$10+1,1))-AVERAGE(OFFSET($H$3,0,0,'Données projet'!$E$10+1,1))</f>
        <v>150.05970318721711</v>
      </c>
      <c r="AO53" s="62">
        <f t="shared" si="36"/>
        <v>230.8269864623847</v>
      </c>
      <c r="AP53" s="16">
        <f>IF(ISNA(VLOOKUP(A53,'Données projet'!$A$61:$I$81,3,0)),0,VLOOKUP(A53,'Données projet'!$A$61:$I$81,3,0))</f>
        <v>5</v>
      </c>
      <c r="AQ53" s="16">
        <f>IF(ISNA(VLOOKUP(A53,'Données projet'!$A$61:$I$81,4,0)),0,VLOOKUP(A53,'Données projet'!$A$61:$I$81,4,0))</f>
        <v>294</v>
      </c>
      <c r="AR53" s="17">
        <f>IF(ISNA(VLOOKUP(A53,'Données projet'!$A$61:$I$81,5,0)),0%,VLOOKUP(A53,'Données projet'!$A$61:$I$81,5,0)*VLOOKUP('Données projet'!$B$10,Paramètres!$A$1:$I$89,7,0))</f>
        <v>0.36000000000000004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0.2</v>
      </c>
      <c r="AU53" s="23">
        <f>EXP(-LN(2)/35)*AU52+(1-EXP(-LN(2)/35))/(LN(2)/35)*AQ53*AR53*VLOOKUP('Données projet'!$B$10,Paramètres!$A$1:$I$89,3,0)*0.475*44/12</f>
        <v>104.56277586671374</v>
      </c>
      <c r="AV53" s="23">
        <f>EXP(-LN(2)/25)*AV52+(1-EXP(-LN(2)/25))/(LN(2)/25)*Calculateur!AQ53*Calculateur!AS53*VLOOKUP('Données projet'!$B$10,Paramètres!$A$1:$I$89,3,0)*0.475*44/12</f>
        <v>2.879544617685958</v>
      </c>
      <c r="AW53" s="23">
        <f>EXP(-LN(2)/2)*AW52+(1-EXP(-LN(2)/2))/(LN(2)/2)*AQ53*AT53*VLOOKUP('Données projet'!$B$10,Paramètres!$A$1:$I$89,3,0)*0.475*44/12</f>
        <v>40.03196956855389</v>
      </c>
      <c r="AX53" s="23">
        <f t="shared" si="6"/>
        <v>147.47429005295356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179</v>
      </c>
      <c r="BB53" s="13">
        <f>VLOOKUP(A53,'Données projet'!$A$87:$I$107,9,0)</f>
        <v>8.4</v>
      </c>
      <c r="BC53" s="13">
        <f t="array" ref="BC53">INDEX(BB:BB,MIN(IF(ISNUMBER(BB53:BB249),ROW(BB53:BB249),"")))</f>
        <v>8.4</v>
      </c>
      <c r="BD53" s="13">
        <f>IF('Données projet'!$A$88&gt;35,BD52+BC53-BL52,IF(A53&lt;'Données projet'!$A$88,$BA$205^A53,IF(A53='Données projet'!$A$88,'Données projet'!$B$88,BD52+BC53-BL52)))</f>
        <v>179.00000000000006</v>
      </c>
      <c r="BE53" s="14">
        <f>BD53*VLOOKUP('Données projet'!$B$11,Paramètres!$A$1:$I$89,3,0)*VLOOKUP('Données projet'!$B$11,Paramètres!$A$1:$I$89,5,0)</f>
        <v>161.95920000000004</v>
      </c>
      <c r="BF53" s="14">
        <f t="shared" si="37"/>
        <v>41.284104935125725</v>
      </c>
      <c r="BG53" s="22">
        <f t="shared" si="7"/>
        <v>353.9820894286774</v>
      </c>
      <c r="BH53" s="62">
        <f t="shared" si="8"/>
        <v>647.31542276201071</v>
      </c>
      <c r="BI53" s="62">
        <f ca="1">AVERAGE(OFFSET($BH$3,0,0,'Données projet'!$E$11+1,1))-AVERAGE(OFFSET($H$3,0,0,'Données projet'!$E$11+1,1))</f>
        <v>278.41778972502732</v>
      </c>
      <c r="BJ53" s="62">
        <f t="shared" si="38"/>
        <v>157.75772798974242</v>
      </c>
      <c r="BK53" s="16">
        <f>IF(ISNA(VLOOKUP(A53,'Données projet'!$A$87:$I$107,3,0)),0,VLOOKUP(A53,'Données projet'!$A$87:$I$107,3,0))</f>
        <v>6</v>
      </c>
      <c r="BL53" s="16">
        <f>IF(ISNA(VLOOKUP(A53,'Données projet'!$A$87:$I$107,4,0)),0,VLOOKUP(A53,'Données projet'!$A$87:$I$107,4,0))</f>
        <v>21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0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28.509000000000015</v>
      </c>
      <c r="D54" s="12">
        <f t="shared" si="32"/>
        <v>8.8955774637189755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288.73708919362031</v>
      </c>
      <c r="H54" s="70">
        <f t="shared" si="1"/>
        <v>358.47963908264387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13.5</v>
      </c>
      <c r="N54" s="14">
        <f>IF('Données projet'!$A$36&gt;35,N53+M54-V53,IF(A54&lt;'Données projet'!$A$36,$K$205^A54,IF(A54='Données projet'!$A$36,'Données projet'!$B$36,N53+M54-V53)))</f>
        <v>390.49999999999989</v>
      </c>
      <c r="O54" s="14">
        <f>N54*VLOOKUP('Données projet'!$B$9,Paramètres!$A$1:$I$89,3,0)*VLOOKUP('Données projet'!$B$9,Paramètres!$A$1:$I$89,5,0)</f>
        <v>182.75399999999996</v>
      </c>
      <c r="P54" s="14">
        <f t="shared" si="33"/>
        <v>45.934357911110212</v>
      </c>
      <c r="Q54" s="22">
        <f t="shared" si="53"/>
        <v>398.29889002851684</v>
      </c>
      <c r="R54" s="62">
        <f t="shared" si="0"/>
        <v>691.63222336185015</v>
      </c>
      <c r="S54" s="62">
        <f ca="1">AVERAGE(OFFSET($R$3,0,0,'Données projet'!$E$9+1,1))-AVERAGE(OFFSET($H$3,0,0,'Données projet'!$E$9+1,1))</f>
        <v>302.30714066618623</v>
      </c>
      <c r="T54" s="62">
        <f t="shared" si="34"/>
        <v>218.81984836501334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-1.7053025658242404E-13</v>
      </c>
      <c r="AJ54" s="14">
        <f>AI54*VLOOKUP('Données projet'!$B$10,Paramètres!$A$1:$I$89,3,0)*VLOOKUP('Données projet'!$B$10,Paramètres!$A$1:$I$89,5,0)</f>
        <v>-1.0197709343628959E-13</v>
      </c>
      <c r="AK54" s="14" t="e">
        <f t="shared" si="35"/>
        <v>#NUM!</v>
      </c>
      <c r="AL54" s="22" t="e">
        <f t="shared" si="4"/>
        <v>#NUM!</v>
      </c>
      <c r="AM54" s="62" t="e">
        <f t="shared" si="5"/>
        <v>#NUM!</v>
      </c>
      <c r="AN54" s="62">
        <f ca="1">AVERAGE(OFFSET($AM$3,0,0,'Données projet'!$E$10+1,1))-AVERAGE(OFFSET($H$3,0,0,'Données projet'!$E$10+1,1))</f>
        <v>150.05970318721711</v>
      </c>
      <c r="AO54" s="62">
        <f t="shared" si="36"/>
        <v>230.8269864623847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102.5123636089633</v>
      </c>
      <c r="AV54" s="23">
        <f>EXP(-LN(2)/25)*AV53+(1-EXP(-LN(2)/25))/(LN(2)/25)*Calculateur!AQ54*Calculateur!AS54*VLOOKUP('Données projet'!$B$10,Paramètres!$A$1:$I$89,3,0)*0.475*44/12</f>
        <v>2.8008033186866652</v>
      </c>
      <c r="AW54" s="23">
        <f>EXP(-LN(2)/2)*AW53+(1-EXP(-LN(2)/2))/(LN(2)/2)*AQ54*AT54*VLOOKUP('Données projet'!$B$10,Paramètres!$A$1:$I$89,3,0)*0.475*44/12</f>
        <v>28.306877146177968</v>
      </c>
      <c r="AX54" s="23">
        <f t="shared" si="6"/>
        <v>133.62004407382793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8</v>
      </c>
      <c r="BD54" s="13">
        <f>IF('Données projet'!$A$88&gt;35,BD53+BC54-BL53,IF(A54&lt;'Données projet'!$A$88,$BA$205^A54,IF(A54='Données projet'!$A$88,'Données projet'!$B$88,BD53+BC54-BL53)))</f>
        <v>166.00000000000006</v>
      </c>
      <c r="BE54" s="14">
        <f>BD54*VLOOKUP('Données projet'!$B$11,Paramètres!$A$1:$I$89,3,0)*VLOOKUP('Données projet'!$B$11,Paramètres!$A$1:$I$89,5,0)</f>
        <v>150.19680000000005</v>
      </c>
      <c r="BF54" s="14">
        <f t="shared" si="37"/>
        <v>38.623305713694506</v>
      </c>
      <c r="BG54" s="22">
        <f t="shared" si="7"/>
        <v>328.86168411801799</v>
      </c>
      <c r="BH54" s="62">
        <f t="shared" si="8"/>
        <v>622.1950174513513</v>
      </c>
      <c r="BI54" s="62">
        <f ca="1">AVERAGE(OFFSET($BH$3,0,0,'Données projet'!$E$11+1,1))-AVERAGE(OFFSET($H$3,0,0,'Données projet'!$E$11+1,1))</f>
        <v>278.41778972502732</v>
      </c>
      <c r="BJ54" s="62">
        <f t="shared" si="38"/>
        <v>157.75772798974242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0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29.068000000000016</v>
      </c>
      <c r="D55" s="12">
        <f t="shared" si="32"/>
        <v>9.0495230956474586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294.24052915938398</v>
      </c>
      <c r="H55" s="70">
        <f t="shared" si="1"/>
        <v>359.72135272491931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13.5</v>
      </c>
      <c r="N55" s="14">
        <f>IF('Données projet'!$A$36&gt;35,N54+M55-V54,IF(A55&lt;'Données projet'!$A$36,$K$205^A55,IF(A55='Données projet'!$A$36,'Données projet'!$B$36,N54+M55-V54)))</f>
        <v>403.99999999999989</v>
      </c>
      <c r="O55" s="14">
        <f>N55*VLOOKUP('Données projet'!$B$9,Paramètres!$A$1:$I$89,3,0)*VLOOKUP('Données projet'!$B$9,Paramètres!$A$1:$I$89,5,0)</f>
        <v>189.07199999999992</v>
      </c>
      <c r="P55" s="14">
        <f t="shared" si="33"/>
        <v>47.33472679972779</v>
      </c>
      <c r="Q55" s="22">
        <f t="shared" si="53"/>
        <v>411.74171584285909</v>
      </c>
      <c r="R55" s="62">
        <f t="shared" si="0"/>
        <v>705.07504917619235</v>
      </c>
      <c r="S55" s="62">
        <f ca="1">AVERAGE(OFFSET($R$3,0,0,'Données projet'!$E$9+1,1))-AVERAGE(OFFSET($H$3,0,0,'Données projet'!$E$9+1,1))</f>
        <v>302.30714066618623</v>
      </c>
      <c r="T55" s="62">
        <f t="shared" si="34"/>
        <v>218.81984836501334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-1.7053025658242404E-13</v>
      </c>
      <c r="AJ55" s="14">
        <f>AI55*VLOOKUP('Données projet'!$B$10,Paramètres!$A$1:$I$89,3,0)*VLOOKUP('Données projet'!$B$10,Paramètres!$A$1:$I$89,5,0)</f>
        <v>-1.0197709343628959E-13</v>
      </c>
      <c r="AK55" s="14" t="e">
        <f t="shared" si="35"/>
        <v>#NUM!</v>
      </c>
      <c r="AL55" s="22" t="e">
        <f t="shared" si="4"/>
        <v>#NUM!</v>
      </c>
      <c r="AM55" s="62" t="e">
        <f t="shared" si="5"/>
        <v>#NUM!</v>
      </c>
      <c r="AN55" s="62">
        <f ca="1">AVERAGE(OFFSET($AM$3,0,0,'Données projet'!$E$10+1,1))-AVERAGE(OFFSET($H$3,0,0,'Données projet'!$E$10+1,1))</f>
        <v>150.05970318721711</v>
      </c>
      <c r="AO55" s="62">
        <f t="shared" si="36"/>
        <v>230.8269864623847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100.50215868495937</v>
      </c>
      <c r="AV55" s="23">
        <f>EXP(-LN(2)/25)*AV54+(1-EXP(-LN(2)/25))/(LN(2)/25)*Calculateur!AQ55*Calculateur!AS55*VLOOKUP('Données projet'!$B$10,Paramètres!$A$1:$I$89,3,0)*0.475*44/12</f>
        <v>2.7242152046493331</v>
      </c>
      <c r="AW55" s="23">
        <f>EXP(-LN(2)/2)*AW54+(1-EXP(-LN(2)/2))/(LN(2)/2)*AQ55*AT55*VLOOKUP('Données projet'!$B$10,Paramètres!$A$1:$I$89,3,0)*0.475*44/12</f>
        <v>20.015984784276949</v>
      </c>
      <c r="AX55" s="23">
        <f t="shared" si="6"/>
        <v>123.24235867388566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8</v>
      </c>
      <c r="BD55" s="13">
        <f>IF('Données projet'!$A$88&gt;35,BD54+BC55-BL54,IF(A55&lt;'Données projet'!$A$88,$BA$205^A55,IF(A55='Données projet'!$A$88,'Données projet'!$B$88,BD54+BC55-BL54)))</f>
        <v>174.00000000000006</v>
      </c>
      <c r="BE55" s="14">
        <f>BD55*VLOOKUP('Données projet'!$B$11,Paramètres!$A$1:$I$89,3,0)*VLOOKUP('Données projet'!$B$11,Paramètres!$A$1:$I$89,5,0)</f>
        <v>157.43520000000007</v>
      </c>
      <c r="BF55" s="14">
        <f t="shared" si="37"/>
        <v>40.263474653179919</v>
      </c>
      <c r="BG55" s="22">
        <f t="shared" si="7"/>
        <v>344.32519168762178</v>
      </c>
      <c r="BH55" s="62">
        <f t="shared" si="8"/>
        <v>637.65852502095504</v>
      </c>
      <c r="BI55" s="62">
        <f ca="1">AVERAGE(OFFSET($BH$3,0,0,'Données projet'!$E$11+1,1))-AVERAGE(OFFSET($H$3,0,0,'Données projet'!$E$11+1,1))</f>
        <v>278.41778972502732</v>
      </c>
      <c r="BJ55" s="62">
        <f t="shared" si="38"/>
        <v>157.75772798974242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0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29.627000000000017</v>
      </c>
      <c r="D56" s="12">
        <f t="shared" si="32"/>
        <v>9.2031244891710831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299.74131184623303</v>
      </c>
      <c r="H56" s="70">
        <f t="shared" si="1"/>
        <v>360.96246681863965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13.5</v>
      </c>
      <c r="N56" s="14">
        <f>IF('Données projet'!$A$36&gt;35,N55+M56-V55,IF(A56&lt;'Données projet'!$A$36,$K$205^A56,IF(A56='Données projet'!$A$36,'Données projet'!$B$36,N55+M56-V55)))</f>
        <v>417.49999999999989</v>
      </c>
      <c r="O56" s="14">
        <f>N56*VLOOKUP('Données projet'!$B$9,Paramètres!$A$1:$I$89,3,0)*VLOOKUP('Données projet'!$B$9,Paramètres!$A$1:$I$89,5,0)</f>
        <v>195.38999999999996</v>
      </c>
      <c r="P56" s="14">
        <f t="shared" si="33"/>
        <v>48.729658318340213</v>
      </c>
      <c r="Q56" s="22">
        <f t="shared" si="53"/>
        <v>425.17507157110907</v>
      </c>
      <c r="R56" s="62">
        <f t="shared" si="0"/>
        <v>718.50840490444239</v>
      </c>
      <c r="S56" s="62">
        <f ca="1">AVERAGE(OFFSET($R$3,0,0,'Données projet'!$E$9+1,1))-AVERAGE(OFFSET($H$3,0,0,'Données projet'!$E$9+1,1))</f>
        <v>302.30714066618623</v>
      </c>
      <c r="T56" s="62">
        <f t="shared" si="34"/>
        <v>218.81984836501334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-1.7053025658242404E-13</v>
      </c>
      <c r="AJ56" s="14">
        <f>AI56*VLOOKUP('Données projet'!$B$10,Paramètres!$A$1:$I$89,3,0)*VLOOKUP('Données projet'!$B$10,Paramètres!$A$1:$I$89,5,0)</f>
        <v>-1.0197709343628959E-13</v>
      </c>
      <c r="AK56" s="14" t="e">
        <f t="shared" si="35"/>
        <v>#NUM!</v>
      </c>
      <c r="AL56" s="22" t="e">
        <f t="shared" si="4"/>
        <v>#NUM!</v>
      </c>
      <c r="AM56" s="62" t="e">
        <f t="shared" si="5"/>
        <v>#NUM!</v>
      </c>
      <c r="AN56" s="62">
        <f ca="1">AVERAGE(OFFSET($AM$3,0,0,'Données projet'!$E$10+1,1))-AVERAGE(OFFSET($H$3,0,0,'Données projet'!$E$10+1,1))</f>
        <v>150.05970318721711</v>
      </c>
      <c r="AO56" s="62">
        <f t="shared" si="36"/>
        <v>230.8269864623847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98.531372653411211</v>
      </c>
      <c r="AV56" s="23">
        <f>EXP(-LN(2)/25)*AV55+(1-EXP(-LN(2)/25))/(LN(2)/25)*Calculateur!AQ56*Calculateur!AS56*VLOOKUP('Données projet'!$B$10,Paramètres!$A$1:$I$89,3,0)*0.475*44/12</f>
        <v>2.6497213966179456</v>
      </c>
      <c r="AW56" s="23">
        <f>EXP(-LN(2)/2)*AW55+(1-EXP(-LN(2)/2))/(LN(2)/2)*AQ56*AT56*VLOOKUP('Données projet'!$B$10,Paramètres!$A$1:$I$89,3,0)*0.475*44/12</f>
        <v>14.153438573088986</v>
      </c>
      <c r="AX56" s="23">
        <f t="shared" si="6"/>
        <v>115.33453262311815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8</v>
      </c>
      <c r="BD56" s="13">
        <f>IF('Données projet'!$A$88&gt;35,BD55+BC56-BL55,IF(A56&lt;'Données projet'!$A$88,$BA$205^A56,IF(A56='Données projet'!$A$88,'Données projet'!$B$88,BD55+BC56-BL55)))</f>
        <v>182.00000000000006</v>
      </c>
      <c r="BE56" s="14">
        <f>BD56*VLOOKUP('Données projet'!$B$11,Paramètres!$A$1:$I$89,3,0)*VLOOKUP('Données projet'!$B$11,Paramètres!$A$1:$I$89,5,0)</f>
        <v>164.67360000000005</v>
      </c>
      <c r="BF56" s="14">
        <f t="shared" si="37"/>
        <v>41.894886049197019</v>
      </c>
      <c r="BG56" s="22">
        <f t="shared" si="7"/>
        <v>359.77344653568485</v>
      </c>
      <c r="BH56" s="62">
        <f t="shared" si="8"/>
        <v>653.10677986901817</v>
      </c>
      <c r="BI56" s="62">
        <f ca="1">AVERAGE(OFFSET($BH$3,0,0,'Données projet'!$E$11+1,1))-AVERAGE(OFFSET($H$3,0,0,'Données projet'!$E$11+1,1))</f>
        <v>278.41778972502732</v>
      </c>
      <c r="BJ56" s="62">
        <f t="shared" si="38"/>
        <v>157.75772798974242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0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30.186000000000018</v>
      </c>
      <c r="D57" s="12">
        <f t="shared" si="32"/>
        <v>9.3563888882898691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305.23949317276401</v>
      </c>
      <c r="H57" s="70">
        <f t="shared" si="1"/>
        <v>362.20299398043818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13.5</v>
      </c>
      <c r="N57" s="14">
        <f>IF('Données projet'!$A$36&gt;35,N56+M57-V56,IF(A57&lt;'Données projet'!$A$36,$K$205^A57,IF(A57='Données projet'!$A$36,'Données projet'!$B$36,N56+M57-V56)))</f>
        <v>430.99999999999989</v>
      </c>
      <c r="O57" s="14">
        <f>N57*VLOOKUP('Données projet'!$B$9,Paramètres!$A$1:$I$89,3,0)*VLOOKUP('Données projet'!$B$9,Paramètres!$A$1:$I$89,5,0)</f>
        <v>201.70799999999994</v>
      </c>
      <c r="P57" s="14">
        <f t="shared" si="33"/>
        <v>50.119348451854243</v>
      </c>
      <c r="Q57" s="22">
        <f t="shared" si="53"/>
        <v>438.59929855364607</v>
      </c>
      <c r="R57" s="62">
        <f t="shared" si="0"/>
        <v>731.93263188697938</v>
      </c>
      <c r="S57" s="62">
        <f ca="1">AVERAGE(OFFSET($R$3,0,0,'Données projet'!$E$9+1,1))-AVERAGE(OFFSET($H$3,0,0,'Données projet'!$E$9+1,1))</f>
        <v>302.30714066618623</v>
      </c>
      <c r="T57" s="62">
        <f t="shared" si="34"/>
        <v>218.81984836501334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-1.7053025658242404E-13</v>
      </c>
      <c r="AJ57" s="14">
        <f>AI57*VLOOKUP('Données projet'!$B$10,Paramètres!$A$1:$I$89,3,0)*VLOOKUP('Données projet'!$B$10,Paramètres!$A$1:$I$89,5,0)</f>
        <v>-1.0197709343628959E-13</v>
      </c>
      <c r="AK57" s="14" t="e">
        <f t="shared" si="35"/>
        <v>#NUM!</v>
      </c>
      <c r="AL57" s="22" t="e">
        <f t="shared" si="4"/>
        <v>#NUM!</v>
      </c>
      <c r="AM57" s="62" t="e">
        <f t="shared" si="5"/>
        <v>#NUM!</v>
      </c>
      <c r="AN57" s="62">
        <f ca="1">AVERAGE(OFFSET($AM$3,0,0,'Données projet'!$E$10+1,1))-AVERAGE(OFFSET($H$3,0,0,'Données projet'!$E$10+1,1))</f>
        <v>150.05970318721711</v>
      </c>
      <c r="AO57" s="62">
        <f t="shared" si="36"/>
        <v>230.8269864623847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96.599232533880937</v>
      </c>
      <c r="AV57" s="23">
        <f>EXP(-LN(2)/25)*AV56+(1-EXP(-LN(2)/25))/(LN(2)/25)*Calculateur!AQ57*Calculateur!AS57*VLOOKUP('Données projet'!$B$10,Paramètres!$A$1:$I$89,3,0)*0.475*44/12</f>
        <v>2.5772646256846357</v>
      </c>
      <c r="AW57" s="23">
        <f>EXP(-LN(2)/2)*AW56+(1-EXP(-LN(2)/2))/(LN(2)/2)*AQ57*AT57*VLOOKUP('Données projet'!$B$10,Paramètres!$A$1:$I$89,3,0)*0.475*44/12</f>
        <v>10.007992392138476</v>
      </c>
      <c r="AX57" s="23">
        <f t="shared" si="6"/>
        <v>109.18448955170405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8</v>
      </c>
      <c r="BD57" s="13">
        <f>IF('Données projet'!$A$88&gt;35,BD56+BC57-BL56,IF(A57&lt;'Données projet'!$A$88,$BA$205^A57,IF(A57='Données projet'!$A$88,'Données projet'!$B$88,BD56+BC57-BL56)))</f>
        <v>190.00000000000006</v>
      </c>
      <c r="BE57" s="14">
        <f>BD57*VLOOKUP('Données projet'!$B$11,Paramètres!$A$1:$I$89,3,0)*VLOOKUP('Données projet'!$B$11,Paramètres!$A$1:$I$89,5,0)</f>
        <v>171.91200000000006</v>
      </c>
      <c r="BF57" s="14">
        <f t="shared" si="37"/>
        <v>43.51796884103733</v>
      </c>
      <c r="BG57" s="22">
        <f t="shared" si="7"/>
        <v>375.2071957314734</v>
      </c>
      <c r="BH57" s="62">
        <f t="shared" si="8"/>
        <v>668.54052906480672</v>
      </c>
      <c r="BI57" s="62">
        <f ca="1">AVERAGE(OFFSET($BH$3,0,0,'Données projet'!$E$11+1,1))-AVERAGE(OFFSET($H$3,0,0,'Données projet'!$E$11+1,1))</f>
        <v>278.41778972502732</v>
      </c>
      <c r="BJ57" s="62">
        <f t="shared" si="38"/>
        <v>157.75772798974242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0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30.745000000000019</v>
      </c>
      <c r="D58" s="12">
        <f t="shared" si="32"/>
        <v>9.5093232533499261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310.73512686796454</v>
      </c>
      <c r="H58" s="70">
        <f t="shared" si="1"/>
        <v>363.44294633291781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13.5</v>
      </c>
      <c r="N58" s="14">
        <f>IF('Données projet'!$A$36&gt;35,N57+M58-V57,IF(A58&lt;'Données projet'!$A$36,$K$205^A58,IF(A58='Données projet'!$A$36,'Données projet'!$B$36,N57+M58-V57)))</f>
        <v>444.49999999999989</v>
      </c>
      <c r="O58" s="14">
        <f>N58*VLOOKUP('Données projet'!$B$9,Paramètres!$A$1:$I$89,3,0)*VLOOKUP('Données projet'!$B$9,Paramètres!$A$1:$I$89,5,0)</f>
        <v>208.02599999999995</v>
      </c>
      <c r="P58" s="14">
        <f t="shared" si="33"/>
        <v>51.503980210368603</v>
      </c>
      <c r="Q58" s="22">
        <f t="shared" si="53"/>
        <v>452.01471553305851</v>
      </c>
      <c r="R58" s="62">
        <f t="shared" si="0"/>
        <v>745.34804886639176</v>
      </c>
      <c r="S58" s="62">
        <f ca="1">AVERAGE(OFFSET($R$3,0,0,'Données projet'!$E$9+1,1))-AVERAGE(OFFSET($H$3,0,0,'Données projet'!$E$9+1,1))</f>
        <v>302.30714066618623</v>
      </c>
      <c r="T58" s="62">
        <f t="shared" si="34"/>
        <v>218.81984836501334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-1.7053025658242404E-13</v>
      </c>
      <c r="AJ58" s="14">
        <f>AI58*VLOOKUP('Données projet'!$B$10,Paramètres!$A$1:$I$89,3,0)*VLOOKUP('Données projet'!$B$10,Paramètres!$A$1:$I$89,5,0)</f>
        <v>-1.0197709343628959E-13</v>
      </c>
      <c r="AK58" s="14" t="e">
        <f t="shared" si="35"/>
        <v>#NUM!</v>
      </c>
      <c r="AL58" s="22" t="e">
        <f t="shared" si="4"/>
        <v>#NUM!</v>
      </c>
      <c r="AM58" s="62" t="e">
        <f t="shared" si="5"/>
        <v>#NUM!</v>
      </c>
      <c r="AN58" s="62">
        <f ca="1">AVERAGE(OFFSET($AM$3,0,0,'Données projet'!$E$10+1,1))-AVERAGE(OFFSET($H$3,0,0,'Données projet'!$E$10+1,1))</f>
        <v>150.05970318721711</v>
      </c>
      <c r="AO58" s="62">
        <f t="shared" si="36"/>
        <v>230.8269864623847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94.70498050360554</v>
      </c>
      <c r="AV58" s="23">
        <f>EXP(-LN(2)/25)*AV57+(1-EXP(-LN(2)/25))/(LN(2)/25)*Calculateur!AQ58*Calculateur!AS58*VLOOKUP('Données projet'!$B$10,Paramètres!$A$1:$I$89,3,0)*0.475*44/12</f>
        <v>2.5067891889628329</v>
      </c>
      <c r="AW58" s="23">
        <f>EXP(-LN(2)/2)*AW57+(1-EXP(-LN(2)/2))/(LN(2)/2)*AQ58*AT58*VLOOKUP('Données projet'!$B$10,Paramètres!$A$1:$I$89,3,0)*0.475*44/12</f>
        <v>7.0767192865444946</v>
      </c>
      <c r="AX58" s="23">
        <f t="shared" si="6"/>
        <v>104.28848897911286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198</v>
      </c>
      <c r="BB58" s="13">
        <f>VLOOKUP(A58,'Données projet'!$A$87:$I$107,9,0)</f>
        <v>8</v>
      </c>
      <c r="BC58" s="13">
        <f t="array" ref="BC58">INDEX(BB:BB,MIN(IF(ISNUMBER(BB58:BB254),ROW(BB58:BB254),"")))</f>
        <v>8</v>
      </c>
      <c r="BD58" s="13">
        <f>IF('Données projet'!$A$88&gt;35,BD57+BC58-BL57,IF(A58&lt;'Données projet'!$A$88,$BA$205^A58,IF(A58='Données projet'!$A$88,'Données projet'!$B$88,BD57+BC58-BL57)))</f>
        <v>198.00000000000006</v>
      </c>
      <c r="BE58" s="14">
        <f>BD58*VLOOKUP('Données projet'!$B$11,Paramètres!$A$1:$I$89,3,0)*VLOOKUP('Données projet'!$B$11,Paramètres!$A$1:$I$89,5,0)</f>
        <v>179.15040000000005</v>
      </c>
      <c r="BF58" s="14">
        <f t="shared" si="37"/>
        <v>45.133113803437347</v>
      </c>
      <c r="BG58" s="22">
        <f t="shared" si="7"/>
        <v>390.62711987432004</v>
      </c>
      <c r="BH58" s="62">
        <f t="shared" si="8"/>
        <v>683.96045320765336</v>
      </c>
      <c r="BI58" s="62">
        <f ca="1">AVERAGE(OFFSET($BH$3,0,0,'Données projet'!$E$11+1,1))-AVERAGE(OFFSET($H$3,0,0,'Données projet'!$E$11+1,1))</f>
        <v>278.41778972502732</v>
      </c>
      <c r="BJ58" s="62">
        <f t="shared" si="38"/>
        <v>157.75772798974242</v>
      </c>
      <c r="BK58" s="16">
        <f>IF(ISNA(VLOOKUP(A58,'Données projet'!$A$87:$I$107,3,0)),0,VLOOKUP(A58,'Données projet'!$A$87:$I$107,3,0))</f>
        <v>7</v>
      </c>
      <c r="BL58" s="16">
        <f>IF(ISNA(VLOOKUP(A58,'Données projet'!$A$87:$I$107,4,0)),0,VLOOKUP(A58,'Données projet'!$A$87:$I$107,4,0))</f>
        <v>21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0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31.30400000000002</v>
      </c>
      <c r="D59" s="12">
        <f t="shared" si="32"/>
        <v>9.6619342771023238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316.22826459517597</v>
      </c>
      <c r="H59" s="70">
        <f t="shared" si="1"/>
        <v>364.6823355326199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13.5</v>
      </c>
      <c r="N59" s="14">
        <f>IF('Données projet'!$A$36&gt;35,N58+M59-V58,IF(A59&lt;'Données projet'!$A$36,$K$205^A59,IF(A59='Données projet'!$A$36,'Données projet'!$B$36,N58+M59-V58)))</f>
        <v>457.99999999999989</v>
      </c>
      <c r="O59" s="14">
        <f>N59*VLOOKUP('Données projet'!$B$9,Paramètres!$A$1:$I$89,3,0)*VLOOKUP('Données projet'!$B$9,Paramètres!$A$1:$I$89,5,0)</f>
        <v>214.34399999999997</v>
      </c>
      <c r="P59" s="14">
        <f t="shared" si="33"/>
        <v>52.883724855822585</v>
      </c>
      <c r="Q59" s="22">
        <f t="shared" si="53"/>
        <v>465.4216207905576</v>
      </c>
      <c r="R59" s="62">
        <f t="shared" si="0"/>
        <v>758.75495412389091</v>
      </c>
      <c r="S59" s="62">
        <f ca="1">AVERAGE(OFFSET($R$3,0,0,'Données projet'!$E$9+1,1))-AVERAGE(OFFSET($H$3,0,0,'Données projet'!$E$9+1,1))</f>
        <v>302.30714066618623</v>
      </c>
      <c r="T59" s="62">
        <f t="shared" si="34"/>
        <v>218.81984836501334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-1.7053025658242404E-13</v>
      </c>
      <c r="AJ59" s="14">
        <f>AI59*VLOOKUP('Données projet'!$B$10,Paramètres!$A$1:$I$89,3,0)*VLOOKUP('Données projet'!$B$10,Paramètres!$A$1:$I$89,5,0)</f>
        <v>-1.0197709343628959E-13</v>
      </c>
      <c r="AK59" s="14" t="e">
        <f t="shared" si="35"/>
        <v>#NUM!</v>
      </c>
      <c r="AL59" s="22" t="e">
        <f t="shared" si="4"/>
        <v>#NUM!</v>
      </c>
      <c r="AM59" s="62" t="e">
        <f t="shared" si="5"/>
        <v>#NUM!</v>
      </c>
      <c r="AN59" s="62">
        <f ca="1">AVERAGE(OFFSET($AM$3,0,0,'Données projet'!$E$10+1,1))-AVERAGE(OFFSET($H$3,0,0,'Données projet'!$E$10+1,1))</f>
        <v>150.05970318721711</v>
      </c>
      <c r="AO59" s="62">
        <f t="shared" si="36"/>
        <v>230.8269864623847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92.847873600264194</v>
      </c>
      <c r="AV59" s="23">
        <f>EXP(-LN(2)/25)*AV58+(1-EXP(-LN(2)/25))/(LN(2)/25)*Calculateur!AQ59*Calculateur!AS59*VLOOKUP('Données projet'!$B$10,Paramètres!$A$1:$I$89,3,0)*0.475*44/12</f>
        <v>2.4382409067643303</v>
      </c>
      <c r="AW59" s="23">
        <f>EXP(-LN(2)/2)*AW58+(1-EXP(-LN(2)/2))/(LN(2)/2)*AQ59*AT59*VLOOKUP('Données projet'!$B$10,Paramètres!$A$1:$I$89,3,0)*0.475*44/12</f>
        <v>5.003996196069239</v>
      </c>
      <c r="AX59" s="23">
        <f t="shared" si="6"/>
        <v>100.29011070309777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7.6</v>
      </c>
      <c r="BD59" s="13">
        <f>IF('Données projet'!$A$88&gt;35,BD58+BC59-BL58,IF(A59&lt;'Données projet'!$A$88,$BA$205^A59,IF(A59='Données projet'!$A$88,'Données projet'!$B$88,BD58+BC59-BL58)))</f>
        <v>184.60000000000005</v>
      </c>
      <c r="BE59" s="14">
        <f>BD59*VLOOKUP('Données projet'!$B$11,Paramètres!$A$1:$I$89,3,0)*VLOOKUP('Données projet'!$B$11,Paramètres!$A$1:$I$89,5,0)</f>
        <v>167.02608000000004</v>
      </c>
      <c r="BF59" s="14">
        <f t="shared" si="37"/>
        <v>42.423281843759995</v>
      </c>
      <c r="BG59" s="22">
        <f t="shared" si="7"/>
        <v>364.79097187788199</v>
      </c>
      <c r="BH59" s="62">
        <f t="shared" si="8"/>
        <v>658.1243052112153</v>
      </c>
      <c r="BI59" s="62">
        <f ca="1">AVERAGE(OFFSET($BH$3,0,0,'Données projet'!$E$11+1,1))-AVERAGE(OFFSET($H$3,0,0,'Données projet'!$E$11+1,1))</f>
        <v>278.41778972502732</v>
      </c>
      <c r="BJ59" s="62">
        <f t="shared" si="38"/>
        <v>157.75772798974242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0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31.863000000000021</v>
      </c>
      <c r="D60" s="12">
        <f t="shared" si="32"/>
        <v>9.814228399582424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321.71895606695222</v>
      </c>
      <c r="H60" s="70">
        <f t="shared" si="1"/>
        <v>365.92117279593941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13.5</v>
      </c>
      <c r="N60" s="14">
        <f>IF('Données projet'!$A$36&gt;35,N59+M60-V59,IF(A60&lt;'Données projet'!$A$36,$K$205^A60,IF(A60='Données projet'!$A$36,'Données projet'!$B$36,N59+M60-V59)))</f>
        <v>471.49999999999989</v>
      </c>
      <c r="O60" s="14">
        <f>N60*VLOOKUP('Données projet'!$B$9,Paramètres!$A$1:$I$89,3,0)*VLOOKUP('Données projet'!$B$9,Paramètres!$A$1:$I$89,5,0)</f>
        <v>220.66199999999995</v>
      </c>
      <c r="P60" s="14">
        <f t="shared" si="33"/>
        <v>54.258742979954953</v>
      </c>
      <c r="Q60" s="22">
        <f t="shared" si="53"/>
        <v>478.82029402342147</v>
      </c>
      <c r="R60" s="62">
        <f t="shared" si="0"/>
        <v>772.15362735675478</v>
      </c>
      <c r="S60" s="62">
        <f ca="1">AVERAGE(OFFSET($R$3,0,0,'Données projet'!$E$9+1,1))-AVERAGE(OFFSET($H$3,0,0,'Données projet'!$E$9+1,1))</f>
        <v>302.30714066618623</v>
      </c>
      <c r="T60" s="62">
        <f t="shared" si="34"/>
        <v>218.81984836501334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-1.7053025658242404E-13</v>
      </c>
      <c r="AJ60" s="14">
        <f>AI60*VLOOKUP('Données projet'!$B$10,Paramètres!$A$1:$I$89,3,0)*VLOOKUP('Données projet'!$B$10,Paramètres!$A$1:$I$89,5,0)</f>
        <v>-1.0197709343628959E-13</v>
      </c>
      <c r="AK60" s="14" t="e">
        <f t="shared" si="35"/>
        <v>#NUM!</v>
      </c>
      <c r="AL60" s="22" t="e">
        <f t="shared" si="4"/>
        <v>#NUM!</v>
      </c>
      <c r="AM60" s="62" t="e">
        <f t="shared" si="5"/>
        <v>#NUM!</v>
      </c>
      <c r="AN60" s="62">
        <f ca="1">AVERAGE(OFFSET($AM$3,0,0,'Données projet'!$E$10+1,1))-AVERAGE(OFFSET($H$3,0,0,'Données projet'!$E$10+1,1))</f>
        <v>150.05970318721711</v>
      </c>
      <c r="AO60" s="62">
        <f t="shared" si="36"/>
        <v>230.8269864623847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91.027183430573999</v>
      </c>
      <c r="AV60" s="23">
        <f>EXP(-LN(2)/25)*AV59+(1-EXP(-LN(2)/25))/(LN(2)/25)*Calculateur!AQ60*Calculateur!AS60*VLOOKUP('Données projet'!$B$10,Paramètres!$A$1:$I$89,3,0)*0.475*44/12</f>
        <v>2.3715670809473428</v>
      </c>
      <c r="AW60" s="23">
        <f>EXP(-LN(2)/2)*AW59+(1-EXP(-LN(2)/2))/(LN(2)/2)*AQ60*AT60*VLOOKUP('Données projet'!$B$10,Paramètres!$A$1:$I$89,3,0)*0.475*44/12</f>
        <v>3.5383596432722477</v>
      </c>
      <c r="AX60" s="23">
        <f t="shared" si="6"/>
        <v>96.937110154793587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7.6</v>
      </c>
      <c r="BD60" s="13">
        <f>IF('Données projet'!$A$88&gt;35,BD59+BC60-BL59,IF(A60&lt;'Données projet'!$A$88,$BA$205^A60,IF(A60='Données projet'!$A$88,'Données projet'!$B$88,BD59+BC60-BL59)))</f>
        <v>192.20000000000005</v>
      </c>
      <c r="BE60" s="14">
        <f>BD60*VLOOKUP('Données projet'!$B$11,Paramètres!$A$1:$I$89,3,0)*VLOOKUP('Données projet'!$B$11,Paramètres!$A$1:$I$89,5,0)</f>
        <v>173.90256000000002</v>
      </c>
      <c r="BF60" s="14">
        <f t="shared" si="37"/>
        <v>43.962909292148517</v>
      </c>
      <c r="BG60" s="22">
        <f t="shared" si="7"/>
        <v>379.44902568382531</v>
      </c>
      <c r="BH60" s="62">
        <f t="shared" si="8"/>
        <v>672.78235901715857</v>
      </c>
      <c r="BI60" s="62">
        <f ca="1">AVERAGE(OFFSET($BH$3,0,0,'Données projet'!$E$11+1,1))-AVERAGE(OFFSET($H$3,0,0,'Données projet'!$E$11+1,1))</f>
        <v>278.41778972502732</v>
      </c>
      <c r="BJ60" s="62">
        <f t="shared" si="38"/>
        <v>157.75772798974242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0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32.422000000000018</v>
      </c>
      <c r="D61" s="12">
        <f t="shared" si="32"/>
        <v>9.9662118219155289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327.20724915162879</v>
      </c>
      <c r="H61" s="70">
        <f t="shared" si="1"/>
        <v>367.15946892316958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13.5</v>
      </c>
      <c r="N61" s="14">
        <f>IF('Données projet'!$A$36&gt;35,N60+M61-V60,IF(A61&lt;'Données projet'!$A$36,$K$205^A61,IF(A61='Données projet'!$A$36,'Données projet'!$B$36,N60+M61-V60)))</f>
        <v>484.99999999999989</v>
      </c>
      <c r="O61" s="14">
        <f>N61*VLOOKUP('Données projet'!$B$9,Paramètres!$A$1:$I$89,3,0)*VLOOKUP('Données projet'!$B$9,Paramètres!$A$1:$I$89,5,0)</f>
        <v>226.97999999999996</v>
      </c>
      <c r="P61" s="14">
        <f t="shared" si="33"/>
        <v>55.629185455335929</v>
      </c>
      <c r="Q61" s="22">
        <f t="shared" si="53"/>
        <v>492.21099800137659</v>
      </c>
      <c r="R61" s="62">
        <f t="shared" si="0"/>
        <v>785.54433133470991</v>
      </c>
      <c r="S61" s="62">
        <f ca="1">AVERAGE(OFFSET($R$3,0,0,'Données projet'!$E$9+1,1))-AVERAGE(OFFSET($H$3,0,0,'Données projet'!$E$9+1,1))</f>
        <v>302.30714066618623</v>
      </c>
      <c r="T61" s="62">
        <f t="shared" si="34"/>
        <v>218.81984836501334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-1.7053025658242404E-13</v>
      </c>
      <c r="AJ61" s="14">
        <f>AI61*VLOOKUP('Données projet'!$B$10,Paramètres!$A$1:$I$89,3,0)*VLOOKUP('Données projet'!$B$10,Paramètres!$A$1:$I$89,5,0)</f>
        <v>-1.0197709343628959E-13</v>
      </c>
      <c r="AK61" s="14" t="e">
        <f t="shared" si="35"/>
        <v>#NUM!</v>
      </c>
      <c r="AL61" s="22" t="e">
        <f t="shared" si="4"/>
        <v>#NUM!</v>
      </c>
      <c r="AM61" s="62" t="e">
        <f t="shared" si="5"/>
        <v>#NUM!</v>
      </c>
      <c r="AN61" s="62">
        <f ca="1">AVERAGE(OFFSET($AM$3,0,0,'Données projet'!$E$10+1,1))-AVERAGE(OFFSET($H$3,0,0,'Données projet'!$E$10+1,1))</f>
        <v>150.05970318721711</v>
      </c>
      <c r="AO61" s="62">
        <f t="shared" si="36"/>
        <v>230.8269864623847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89.242195884600079</v>
      </c>
      <c r="AV61" s="23">
        <f>EXP(-LN(2)/25)*AV60+(1-EXP(-LN(2)/25))/(LN(2)/25)*Calculateur!AQ61*Calculateur!AS61*VLOOKUP('Données projet'!$B$10,Paramètres!$A$1:$I$89,3,0)*0.475*44/12</f>
        <v>2.3067164544035452</v>
      </c>
      <c r="AW61" s="23">
        <f>EXP(-LN(2)/2)*AW60+(1-EXP(-LN(2)/2))/(LN(2)/2)*AQ61*AT61*VLOOKUP('Données projet'!$B$10,Paramètres!$A$1:$I$89,3,0)*0.475*44/12</f>
        <v>2.5019980980346199</v>
      </c>
      <c r="AX61" s="23">
        <f t="shared" si="6"/>
        <v>94.05091043703824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7.6</v>
      </c>
      <c r="BD61" s="13">
        <f>IF('Données projet'!$A$88&gt;35,BD60+BC61-BL60,IF(A61&lt;'Données projet'!$A$88,$BA$205^A61,IF(A61='Données projet'!$A$88,'Données projet'!$B$88,BD60+BC61-BL60)))</f>
        <v>199.80000000000004</v>
      </c>
      <c r="BE61" s="14">
        <f>BD61*VLOOKUP('Données projet'!$B$11,Paramètres!$A$1:$I$89,3,0)*VLOOKUP('Données projet'!$B$11,Paramètres!$A$1:$I$89,5,0)</f>
        <v>180.77904000000004</v>
      </c>
      <c r="BF61" s="14">
        <f t="shared" si="37"/>
        <v>45.495464625737284</v>
      </c>
      <c r="BG61" s="22">
        <f t="shared" si="7"/>
        <v>394.09476222315919</v>
      </c>
      <c r="BH61" s="62">
        <f t="shared" si="8"/>
        <v>687.42809555649251</v>
      </c>
      <c r="BI61" s="62">
        <f ca="1">AVERAGE(OFFSET($BH$3,0,0,'Données projet'!$E$11+1,1))-AVERAGE(OFFSET($H$3,0,0,'Données projet'!$E$11+1,1))</f>
        <v>278.41778972502732</v>
      </c>
      <c r="BJ61" s="62">
        <f t="shared" si="38"/>
        <v>157.75772798974242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0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32.981000000000016</v>
      </c>
      <c r="D62" s="12">
        <f t="shared" si="32"/>
        <v>10.117890519143426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332.69318997233535</v>
      </c>
      <c r="H62" s="70">
        <f t="shared" si="1"/>
        <v>368.39723432084145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13.5</v>
      </c>
      <c r="N62" s="14">
        <f>IF('Données projet'!$A$36&gt;35,N61+M62-V61,IF(A62&lt;'Données projet'!$A$36,$K$205^A62,IF(A62='Données projet'!$A$36,'Données projet'!$B$36,N61+M62-V61)))</f>
        <v>498.49999999999989</v>
      </c>
      <c r="O62" s="14">
        <f>N62*VLOOKUP('Données projet'!$B$9,Paramètres!$A$1:$I$89,3,0)*VLOOKUP('Données projet'!$B$9,Paramètres!$A$1:$I$89,5,0)</f>
        <v>233.29799999999994</v>
      </c>
      <c r="P62" s="14">
        <f t="shared" si="33"/>
        <v>56.995194277534011</v>
      </c>
      <c r="Q62" s="22">
        <f t="shared" si="53"/>
        <v>505.59398003337168</v>
      </c>
      <c r="R62" s="62">
        <f t="shared" si="0"/>
        <v>798.92731336670499</v>
      </c>
      <c r="S62" s="62">
        <f ca="1">AVERAGE(OFFSET($R$3,0,0,'Données projet'!$E$9+1,1))-AVERAGE(OFFSET($H$3,0,0,'Données projet'!$E$9+1,1))</f>
        <v>302.30714066618623</v>
      </c>
      <c r="T62" s="62">
        <f t="shared" si="34"/>
        <v>218.81984836501334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-1.7053025658242404E-13</v>
      </c>
      <c r="AJ62" s="14">
        <f>AI62*VLOOKUP('Données projet'!$B$10,Paramètres!$A$1:$I$89,3,0)*VLOOKUP('Données projet'!$B$10,Paramètres!$A$1:$I$89,5,0)</f>
        <v>-1.0197709343628959E-13</v>
      </c>
      <c r="AK62" s="14" t="e">
        <f t="shared" si="35"/>
        <v>#NUM!</v>
      </c>
      <c r="AL62" s="22" t="e">
        <f t="shared" si="4"/>
        <v>#NUM!</v>
      </c>
      <c r="AM62" s="62" t="e">
        <f t="shared" si="5"/>
        <v>#NUM!</v>
      </c>
      <c r="AN62" s="62">
        <f ca="1">AVERAGE(OFFSET($AM$3,0,0,'Données projet'!$E$10+1,1))-AVERAGE(OFFSET($H$3,0,0,'Données projet'!$E$10+1,1))</f>
        <v>150.05970318721711</v>
      </c>
      <c r="AO62" s="62">
        <f t="shared" si="36"/>
        <v>230.8269864623847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87.492210855667807</v>
      </c>
      <c r="AV62" s="23">
        <f>EXP(-LN(2)/25)*AV61+(1-EXP(-LN(2)/25))/(LN(2)/25)*Calculateur!AQ62*Calculateur!AS62*VLOOKUP('Données projet'!$B$10,Paramètres!$A$1:$I$89,3,0)*0.475*44/12</f>
        <v>2.243639171652934</v>
      </c>
      <c r="AW62" s="23">
        <f>EXP(-LN(2)/2)*AW61+(1-EXP(-LN(2)/2))/(LN(2)/2)*AQ62*AT62*VLOOKUP('Données projet'!$B$10,Paramètres!$A$1:$I$89,3,0)*0.475*44/12</f>
        <v>1.7691798216361241</v>
      </c>
      <c r="AX62" s="23">
        <f t="shared" si="6"/>
        <v>91.505029848956866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7.6</v>
      </c>
      <c r="BD62" s="13">
        <f>IF('Données projet'!$A$88&gt;35,BD61+BC62-BL61,IF(A62&lt;'Données projet'!$A$88,$BA$205^A62,IF(A62='Données projet'!$A$88,'Données projet'!$B$88,BD61+BC62-BL61)))</f>
        <v>207.40000000000003</v>
      </c>
      <c r="BE62" s="14">
        <f>BD62*VLOOKUP('Données projet'!$B$11,Paramètres!$A$1:$I$89,3,0)*VLOOKUP('Données projet'!$B$11,Paramètres!$A$1:$I$89,5,0)</f>
        <v>187.65552000000002</v>
      </c>
      <c r="BF62" s="14">
        <f t="shared" si="37"/>
        <v>47.021247649900147</v>
      </c>
      <c r="BG62" s="22">
        <f t="shared" si="7"/>
        <v>408.72870365690943</v>
      </c>
      <c r="BH62" s="62">
        <f t="shared" si="8"/>
        <v>702.06203699024275</v>
      </c>
      <c r="BI62" s="62">
        <f ca="1">AVERAGE(OFFSET($BH$3,0,0,'Données projet'!$E$11+1,1))-AVERAGE(OFFSET($H$3,0,0,'Données projet'!$E$11+1,1))</f>
        <v>278.41778972502732</v>
      </c>
      <c r="BJ62" s="62">
        <f t="shared" si="38"/>
        <v>157.75772798974242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0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33.540000000000013</v>
      </c>
      <c r="D63" s="12">
        <f t="shared" si="32"/>
        <v>10.269270252156671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338.17682299910427</v>
      </c>
      <c r="H63" s="70">
        <f t="shared" si="1"/>
        <v>369.63447902250618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512</v>
      </c>
      <c r="L63" s="13">
        <f>VLOOKUP(A63,'Données projet'!$A$35:$I$55,9,0)</f>
        <v>13.5</v>
      </c>
      <c r="M63" s="13">
        <f t="array" ref="M63">INDEX(L:L,MIN(IF(ISNUMBER(L63:L259),ROW(L63:L259),"")))</f>
        <v>13.5</v>
      </c>
      <c r="N63" s="14">
        <f>IF('Données projet'!$A$36&gt;35,N62+M63-V62,IF(A63&lt;'Données projet'!$A$36,$K$205^A63,IF(A63='Données projet'!$A$36,'Données projet'!$B$36,N62+M63-V62)))</f>
        <v>511.99999999999989</v>
      </c>
      <c r="O63" s="14">
        <f>N63*VLOOKUP('Données projet'!$B$9,Paramètres!$A$1:$I$89,3,0)*VLOOKUP('Données projet'!$B$9,Paramètres!$A$1:$I$89,5,0)</f>
        <v>239.61599999999996</v>
      </c>
      <c r="P63" s="14">
        <f t="shared" si="33"/>
        <v>58.356903313490157</v>
      </c>
      <c r="Q63" s="22">
        <f t="shared" si="53"/>
        <v>518.96947327099531</v>
      </c>
      <c r="R63" s="62">
        <f t="shared" si="0"/>
        <v>812.30280660432868</v>
      </c>
      <c r="S63" s="62">
        <f ca="1">AVERAGE(OFFSET($R$3,0,0,'Données projet'!$E$9+1,1))-AVERAGE(OFFSET($H$3,0,0,'Données projet'!$E$9+1,1))</f>
        <v>302.30714066618623</v>
      </c>
      <c r="T63" s="62">
        <f t="shared" si="34"/>
        <v>218.81984836501334</v>
      </c>
      <c r="U63" s="16">
        <f>IF(ISNA(VLOOKUP(A63,'Données projet'!$A$35:$I$55,3,0)),0,VLOOKUP(A63,'Données projet'!$A$35:$I$55,3,0))</f>
        <v>5</v>
      </c>
      <c r="V63" s="16">
        <f>IF(ISNA(VLOOKUP(A63,'Données projet'!$A$35:$I$55,4,0)),0,VLOOKUP(A63,'Données projet'!$A$35:$I$55,4,0))</f>
        <v>102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-1.7053025658242404E-13</v>
      </c>
      <c r="AJ63" s="14">
        <f>AI63*VLOOKUP('Données projet'!$B$10,Paramètres!$A$1:$I$89,3,0)*VLOOKUP('Données projet'!$B$10,Paramètres!$A$1:$I$89,5,0)</f>
        <v>-1.0197709343628959E-13</v>
      </c>
      <c r="AK63" s="14" t="e">
        <f t="shared" si="35"/>
        <v>#NUM!</v>
      </c>
      <c r="AL63" s="22" t="e">
        <f t="shared" si="4"/>
        <v>#NUM!</v>
      </c>
      <c r="AM63" s="62" t="e">
        <f t="shared" si="5"/>
        <v>#NUM!</v>
      </c>
      <c r="AN63" s="62">
        <f ca="1">AVERAGE(OFFSET($AM$3,0,0,'Données projet'!$E$10+1,1))-AVERAGE(OFFSET($H$3,0,0,'Données projet'!$E$10+1,1))</f>
        <v>150.05970318721711</v>
      </c>
      <c r="AO63" s="62">
        <f t="shared" si="36"/>
        <v>230.8269864623847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85.776541965767436</v>
      </c>
      <c r="AV63" s="23">
        <f>EXP(-LN(2)/25)*AV62+(1-EXP(-LN(2)/25))/(LN(2)/25)*Calculateur!AQ63*Calculateur!AS63*VLOOKUP('Données projet'!$B$10,Paramètres!$A$1:$I$89,3,0)*0.475*44/12</f>
        <v>2.1822867405162283</v>
      </c>
      <c r="AW63" s="23">
        <f>EXP(-LN(2)/2)*AW62+(1-EXP(-LN(2)/2))/(LN(2)/2)*AQ63*AT63*VLOOKUP('Données projet'!$B$10,Paramètres!$A$1:$I$89,3,0)*0.475*44/12</f>
        <v>1.25099904901731</v>
      </c>
      <c r="AX63" s="23">
        <f t="shared" si="6"/>
        <v>89.209827755300978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215</v>
      </c>
      <c r="BB63" s="13">
        <f>VLOOKUP(A63,'Données projet'!$A$87:$I$107,9,0)</f>
        <v>7.6</v>
      </c>
      <c r="BC63" s="13">
        <f t="array" ref="BC63">INDEX(BB:BB,MIN(IF(ISNUMBER(BB63:BB259),ROW(BB63:BB259),"")))</f>
        <v>7.6</v>
      </c>
      <c r="BD63" s="13">
        <f>IF('Données projet'!$A$88&gt;35,BD62+BC63-BL62,IF(A63&lt;'Données projet'!$A$88,$BA$205^A63,IF(A63='Données projet'!$A$88,'Données projet'!$B$88,BD62+BC63-BL62)))</f>
        <v>215.00000000000003</v>
      </c>
      <c r="BE63" s="14">
        <f>BD63*VLOOKUP('Données projet'!$B$11,Paramètres!$A$1:$I$89,3,0)*VLOOKUP('Données projet'!$B$11,Paramètres!$A$1:$I$89,5,0)</f>
        <v>194.53200000000001</v>
      </c>
      <c r="BF63" s="14">
        <f t="shared" si="37"/>
        <v>48.540534952652621</v>
      </c>
      <c r="BG63" s="22">
        <f t="shared" si="7"/>
        <v>423.35133170920335</v>
      </c>
      <c r="BH63" s="62">
        <f t="shared" si="8"/>
        <v>716.68466504253661</v>
      </c>
      <c r="BI63" s="62">
        <f ca="1">AVERAGE(OFFSET($BH$3,0,0,'Données projet'!$E$11+1,1))-AVERAGE(OFFSET($H$3,0,0,'Données projet'!$E$11+1,1))</f>
        <v>278.41778972502732</v>
      </c>
      <c r="BJ63" s="62">
        <f t="shared" si="38"/>
        <v>157.75772798974242</v>
      </c>
      <c r="BK63" s="16">
        <f>IF(ISNA(VLOOKUP(A63,'Données projet'!$A$87:$I$107,3,0)),0,VLOOKUP(A63,'Données projet'!$A$87:$I$107,3,0))</f>
        <v>8</v>
      </c>
      <c r="BL63" s="16">
        <f>IF(ISNA(VLOOKUP(A63,'Données projet'!$A$87:$I$107,4,0)),0,VLOOKUP(A63,'Données projet'!$A$87:$I$107,4,0))</f>
        <v>21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0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34.099000000000011</v>
      </c>
      <c r="D64" s="12">
        <f t="shared" si="32"/>
        <v>10.420356578808908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343.65819113466529</v>
      </c>
      <c r="H64" s="70">
        <f t="shared" si="1"/>
        <v>370.87121270809217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15.5</v>
      </c>
      <c r="N64" s="14">
        <f>IF('Données projet'!$A$36&gt;35,N63+M64-V63,IF(A64&lt;'Données projet'!$A$36,$K$205^A64,IF(A64='Données projet'!$A$36,'Données projet'!$B$36,N63+M64-V63)))</f>
        <v>425.49999999999989</v>
      </c>
      <c r="O64" s="14">
        <f>N64*VLOOKUP('Données projet'!$B$9,Paramètres!$A$1:$I$89,3,0)*VLOOKUP('Données projet'!$B$9,Paramètres!$A$1:$I$89,5,0)</f>
        <v>199.13399999999993</v>
      </c>
      <c r="P64" s="14">
        <f t="shared" si="33"/>
        <v>49.553799097205186</v>
      </c>
      <c r="Q64" s="22">
        <f t="shared" si="53"/>
        <v>433.13125009429888</v>
      </c>
      <c r="R64" s="62">
        <f t="shared" si="0"/>
        <v>726.46458342763219</v>
      </c>
      <c r="S64" s="62">
        <f ca="1">AVERAGE(OFFSET($R$3,0,0,'Données projet'!$E$9+1,1))-AVERAGE(OFFSET($H$3,0,0,'Données projet'!$E$9+1,1))</f>
        <v>302.30714066618623</v>
      </c>
      <c r="T64" s="62">
        <f t="shared" si="34"/>
        <v>218.81984836501334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-1.7053025658242404E-13</v>
      </c>
      <c r="AJ64" s="14">
        <f>AI64*VLOOKUP('Données projet'!$B$10,Paramètres!$A$1:$I$89,3,0)*VLOOKUP('Données projet'!$B$10,Paramètres!$A$1:$I$89,5,0)</f>
        <v>-1.0197709343628959E-13</v>
      </c>
      <c r="AK64" s="14" t="e">
        <f t="shared" si="35"/>
        <v>#NUM!</v>
      </c>
      <c r="AL64" s="22" t="e">
        <f t="shared" si="4"/>
        <v>#NUM!</v>
      </c>
      <c r="AM64" s="62" t="e">
        <f t="shared" si="5"/>
        <v>#NUM!</v>
      </c>
      <c r="AN64" s="62">
        <f ca="1">AVERAGE(OFFSET($AM$3,0,0,'Données projet'!$E$10+1,1))-AVERAGE(OFFSET($H$3,0,0,'Données projet'!$E$10+1,1))</f>
        <v>150.05970318721711</v>
      </c>
      <c r="AO64" s="62">
        <f t="shared" si="36"/>
        <v>230.8269864623847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84.094516296343315</v>
      </c>
      <c r="AV64" s="23">
        <f>EXP(-LN(2)/25)*AV63+(1-EXP(-LN(2)/25))/(LN(2)/25)*Calculateur!AQ64*Calculateur!AS64*VLOOKUP('Données projet'!$B$10,Paramètres!$A$1:$I$89,3,0)*0.475*44/12</f>
        <v>2.1226119948353399</v>
      </c>
      <c r="AW64" s="23">
        <f>EXP(-LN(2)/2)*AW63+(1-EXP(-LN(2)/2))/(LN(2)/2)*AQ64*AT64*VLOOKUP('Données projet'!$B$10,Paramètres!$A$1:$I$89,3,0)*0.475*44/12</f>
        <v>0.88458991081806204</v>
      </c>
      <c r="AX64" s="23">
        <f t="shared" si="6"/>
        <v>87.101718201996718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7</v>
      </c>
      <c r="BD64" s="13">
        <f>IF('Données projet'!$A$88&gt;35,BD63+BC64-BL63,IF(A64&lt;'Données projet'!$A$88,$BA$205^A64,IF(A64='Données projet'!$A$88,'Données projet'!$B$88,BD63+BC64-BL63)))</f>
        <v>201.00000000000003</v>
      </c>
      <c r="BE64" s="14">
        <f>BD64*VLOOKUP('Données projet'!$B$11,Paramètres!$A$1:$I$89,3,0)*VLOOKUP('Données projet'!$B$11,Paramètres!$A$1:$I$89,5,0)</f>
        <v>181.86480000000003</v>
      </c>
      <c r="BF64" s="14">
        <f t="shared" si="37"/>
        <v>45.73682061391029</v>
      </c>
      <c r="BG64" s="22">
        <f t="shared" si="7"/>
        <v>396.40615590256044</v>
      </c>
      <c r="BH64" s="62">
        <f t="shared" si="8"/>
        <v>689.73948923589376</v>
      </c>
      <c r="BI64" s="62">
        <f ca="1">AVERAGE(OFFSET($BH$3,0,0,'Données projet'!$E$11+1,1))-AVERAGE(OFFSET($H$3,0,0,'Données projet'!$E$11+1,1))</f>
        <v>278.41778972502732</v>
      </c>
      <c r="BJ64" s="62">
        <f t="shared" si="38"/>
        <v>157.75772798974242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0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34.658000000000008</v>
      </c>
      <c r="D65" s="12">
        <f t="shared" si="32"/>
        <v>10.571154864281649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349.13733579445488</v>
      </c>
      <c r="H65" s="70">
        <f t="shared" si="1"/>
        <v>372.10744472195717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15.5</v>
      </c>
      <c r="N65" s="14">
        <f>IF('Données projet'!$A$36&gt;35,N64+M65-V64,IF(A65&lt;'Données projet'!$A$36,$K$205^A65,IF(A65='Données projet'!$A$36,'Données projet'!$B$36,N64+M65-V64)))</f>
        <v>440.99999999999989</v>
      </c>
      <c r="O65" s="14">
        <f>N65*VLOOKUP('Données projet'!$B$9,Paramètres!$A$1:$I$89,3,0)*VLOOKUP('Données projet'!$B$9,Paramètres!$A$1:$I$89,5,0)</f>
        <v>206.38799999999995</v>
      </c>
      <c r="P65" s="14">
        <f t="shared" si="33"/>
        <v>51.145477584014834</v>
      </c>
      <c r="Q65" s="22">
        <f t="shared" si="53"/>
        <v>448.53747345882579</v>
      </c>
      <c r="R65" s="62">
        <f t="shared" si="0"/>
        <v>741.8708067921591</v>
      </c>
      <c r="S65" s="62">
        <f ca="1">AVERAGE(OFFSET($R$3,0,0,'Données projet'!$E$9+1,1))-AVERAGE(OFFSET($H$3,0,0,'Données projet'!$E$9+1,1))</f>
        <v>302.30714066618623</v>
      </c>
      <c r="T65" s="62">
        <f t="shared" si="34"/>
        <v>218.81984836501334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-1.7053025658242404E-13</v>
      </c>
      <c r="AJ65" s="14">
        <f>AI65*VLOOKUP('Données projet'!$B$10,Paramètres!$A$1:$I$89,3,0)*VLOOKUP('Données projet'!$B$10,Paramètres!$A$1:$I$89,5,0)</f>
        <v>-1.0197709343628959E-13</v>
      </c>
      <c r="AK65" s="14" t="e">
        <f t="shared" si="35"/>
        <v>#NUM!</v>
      </c>
      <c r="AL65" s="22" t="e">
        <f t="shared" si="4"/>
        <v>#NUM!</v>
      </c>
      <c r="AM65" s="62" t="e">
        <f t="shared" si="5"/>
        <v>#NUM!</v>
      </c>
      <c r="AN65" s="62">
        <f ca="1">AVERAGE(OFFSET($AM$3,0,0,'Données projet'!$E$10+1,1))-AVERAGE(OFFSET($H$3,0,0,'Données projet'!$E$10+1,1))</f>
        <v>150.05970318721711</v>
      </c>
      <c r="AO65" s="62">
        <f t="shared" si="36"/>
        <v>230.8269864623847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82.445474124362235</v>
      </c>
      <c r="AV65" s="23">
        <f>EXP(-LN(2)/25)*AV64+(1-EXP(-LN(2)/25))/(LN(2)/25)*Calculateur!AQ65*Calculateur!AS65*VLOOKUP('Données projet'!$B$10,Paramètres!$A$1:$I$89,3,0)*0.475*44/12</f>
        <v>2.0645690582132539</v>
      </c>
      <c r="AW65" s="23">
        <f>EXP(-LN(2)/2)*AW64+(1-EXP(-LN(2)/2))/(LN(2)/2)*AQ65*AT65*VLOOKUP('Données projet'!$B$10,Paramètres!$A$1:$I$89,3,0)*0.475*44/12</f>
        <v>0.62549952450865498</v>
      </c>
      <c r="AX65" s="23">
        <f t="shared" si="6"/>
        <v>85.135542707084142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7</v>
      </c>
      <c r="BD65" s="13">
        <f>IF('Données projet'!$A$88&gt;35,BD64+BC65-BL64,IF(A65&lt;'Données projet'!$A$88,$BA$205^A65,IF(A65='Données projet'!$A$88,'Données projet'!$B$88,BD64+BC65-BL64)))</f>
        <v>208.00000000000003</v>
      </c>
      <c r="BE65" s="14">
        <f>BD65*VLOOKUP('Données projet'!$B$11,Paramètres!$A$1:$I$89,3,0)*VLOOKUP('Données projet'!$B$11,Paramètres!$A$1:$I$89,5,0)</f>
        <v>188.19840000000002</v>
      </c>
      <c r="BF65" s="14">
        <f t="shared" si="37"/>
        <v>47.141424081428013</v>
      </c>
      <c r="BG65" s="22">
        <f t="shared" si="7"/>
        <v>409.88352694182049</v>
      </c>
      <c r="BH65" s="62">
        <f t="shared" si="8"/>
        <v>703.21686027515375</v>
      </c>
      <c r="BI65" s="62">
        <f ca="1">AVERAGE(OFFSET($BH$3,0,0,'Données projet'!$E$11+1,1))-AVERAGE(OFFSET($H$3,0,0,'Données projet'!$E$11+1,1))</f>
        <v>278.41778972502732</v>
      </c>
      <c r="BJ65" s="62">
        <f t="shared" si="38"/>
        <v>157.75772798974242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0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35.217000000000006</v>
      </c>
      <c r="D66" s="12">
        <f t="shared" si="32"/>
        <v>10.721670290761447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354.6142969813165</v>
      </c>
      <c r="H66" s="70">
        <f t="shared" si="1"/>
        <v>373.34318408974286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15.5</v>
      </c>
      <c r="N66" s="14">
        <f>IF('Données projet'!$A$36&gt;35,N65+M66-V65,IF(A66&lt;'Données projet'!$A$36,$K$205^A66,IF(A66='Données projet'!$A$36,'Données projet'!$B$36,N65+M66-V65)))</f>
        <v>456.49999999999989</v>
      </c>
      <c r="O66" s="14">
        <f>N66*VLOOKUP('Données projet'!$B$9,Paramètres!$A$1:$I$89,3,0)*VLOOKUP('Données projet'!$B$9,Paramètres!$A$1:$I$89,5,0)</f>
        <v>213.64199999999994</v>
      </c>
      <c r="P66" s="14">
        <f t="shared" si="33"/>
        <v>52.730656153675348</v>
      </c>
      <c r="Q66" s="22">
        <f t="shared" si="53"/>
        <v>463.93237613431779</v>
      </c>
      <c r="R66" s="62">
        <f t="shared" si="0"/>
        <v>757.26570946765105</v>
      </c>
      <c r="S66" s="62">
        <f ca="1">AVERAGE(OFFSET($R$3,0,0,'Données projet'!$E$9+1,1))-AVERAGE(OFFSET($H$3,0,0,'Données projet'!$E$9+1,1))</f>
        <v>302.30714066618623</v>
      </c>
      <c r="T66" s="62">
        <f t="shared" si="34"/>
        <v>218.81984836501334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-1.7053025658242404E-13</v>
      </c>
      <c r="AJ66" s="14">
        <f>AI66*VLOOKUP('Données projet'!$B$10,Paramètres!$A$1:$I$89,3,0)*VLOOKUP('Données projet'!$B$10,Paramètres!$A$1:$I$89,5,0)</f>
        <v>-1.0197709343628959E-13</v>
      </c>
      <c r="AK66" s="14" t="e">
        <f t="shared" si="35"/>
        <v>#NUM!</v>
      </c>
      <c r="AL66" s="22" t="e">
        <f t="shared" si="4"/>
        <v>#NUM!</v>
      </c>
      <c r="AM66" s="62" t="e">
        <f t="shared" si="5"/>
        <v>#NUM!</v>
      </c>
      <c r="AN66" s="62">
        <f ca="1">AVERAGE(OFFSET($AM$3,0,0,'Données projet'!$E$10+1,1))-AVERAGE(OFFSET($H$3,0,0,'Données projet'!$E$10+1,1))</f>
        <v>150.05970318721711</v>
      </c>
      <c r="AO66" s="62">
        <f t="shared" si="36"/>
        <v>230.8269864623847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80.828768663557298</v>
      </c>
      <c r="AV66" s="23">
        <f>EXP(-LN(2)/25)*AV65+(1-EXP(-LN(2)/25))/(LN(2)/25)*Calculateur!AQ66*Calculateur!AS66*VLOOKUP('Données projet'!$B$10,Paramètres!$A$1:$I$89,3,0)*0.475*44/12</f>
        <v>2.0081133087454441</v>
      </c>
      <c r="AW66" s="23">
        <f>EXP(-LN(2)/2)*AW65+(1-EXP(-LN(2)/2))/(LN(2)/2)*AQ66*AT66*VLOOKUP('Données projet'!$B$10,Paramètres!$A$1:$I$89,3,0)*0.475*44/12</f>
        <v>0.44229495540903102</v>
      </c>
      <c r="AX66" s="23">
        <f t="shared" si="6"/>
        <v>83.279176927711774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7</v>
      </c>
      <c r="BD66" s="13">
        <f>IF('Données projet'!$A$88&gt;35,BD65+BC66-BL65,IF(A66&lt;'Données projet'!$A$88,$BA$205^A66,IF(A66='Données projet'!$A$88,'Données projet'!$B$88,BD65+BC66-BL65)))</f>
        <v>215.00000000000003</v>
      </c>
      <c r="BE66" s="14">
        <f>BD66*VLOOKUP('Données projet'!$B$11,Paramètres!$A$1:$I$89,3,0)*VLOOKUP('Données projet'!$B$11,Paramètres!$A$1:$I$89,5,0)</f>
        <v>194.53200000000001</v>
      </c>
      <c r="BF66" s="14">
        <f t="shared" si="37"/>
        <v>48.540534952652621</v>
      </c>
      <c r="BG66" s="22">
        <f t="shared" si="7"/>
        <v>423.35133170920335</v>
      </c>
      <c r="BH66" s="62">
        <f t="shared" si="8"/>
        <v>716.68466504253661</v>
      </c>
      <c r="BI66" s="62">
        <f ca="1">AVERAGE(OFFSET($BH$3,0,0,'Données projet'!$E$11+1,1))-AVERAGE(OFFSET($H$3,0,0,'Données projet'!$E$11+1,1))</f>
        <v>278.41778972502732</v>
      </c>
      <c r="BJ66" s="62">
        <f t="shared" si="38"/>
        <v>157.75772798974242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0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35.776000000000003</v>
      </c>
      <c r="D67" s="12">
        <f t="shared" si="32"/>
        <v>10.871907866485202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360.0891133553244</v>
      </c>
      <c r="H67" s="70">
        <f t="shared" si="1"/>
        <v>374.57843953412839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15.5</v>
      </c>
      <c r="N67" s="14">
        <f>IF('Données projet'!$A$36&gt;35,N66+M67-V66,IF(A67&lt;'Données projet'!$A$36,$K$205^A67,IF(A67='Données projet'!$A$36,'Données projet'!$B$36,N66+M67-V66)))</f>
        <v>471.99999999999989</v>
      </c>
      <c r="O67" s="14">
        <f>N67*VLOOKUP('Données projet'!$B$9,Paramètres!$A$1:$I$89,3,0)*VLOOKUP('Données projet'!$B$9,Paramètres!$A$1:$I$89,5,0)</f>
        <v>220.89599999999996</v>
      </c>
      <c r="P67" s="14">
        <f t="shared" si="33"/>
        <v>54.309580803412281</v>
      </c>
      <c r="Q67" s="22">
        <f t="shared" ref="Q67:Q98" si="54">(O67+P67)*0.475*44/12</f>
        <v>479.31638656594299</v>
      </c>
      <c r="R67" s="62">
        <f t="shared" ref="R67:R130" si="55">Q67+(I67+J67)*44/12</f>
        <v>772.64971989927631</v>
      </c>
      <c r="S67" s="62">
        <f ca="1">AVERAGE(OFFSET($R$3,0,0,'Données projet'!$E$9+1,1))-AVERAGE(OFFSET($H$3,0,0,'Données projet'!$E$9+1,1))</f>
        <v>302.30714066618623</v>
      </c>
      <c r="T67" s="62">
        <f t="shared" si="34"/>
        <v>218.81984836501334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-1.7053025658242404E-13</v>
      </c>
      <c r="AJ67" s="14">
        <f>AI67*VLOOKUP('Données projet'!$B$10,Paramètres!$A$1:$I$89,3,0)*VLOOKUP('Données projet'!$B$10,Paramètres!$A$1:$I$89,5,0)</f>
        <v>-1.0197709343628959E-13</v>
      </c>
      <c r="AK67" s="14" t="e">
        <f t="shared" si="35"/>
        <v>#NUM!</v>
      </c>
      <c r="AL67" s="22" t="e">
        <f t="shared" si="4"/>
        <v>#NUM!</v>
      </c>
      <c r="AM67" s="62" t="e">
        <f t="shared" si="5"/>
        <v>#NUM!</v>
      </c>
      <c r="AN67" s="62">
        <f ca="1">AVERAGE(OFFSET($AM$3,0,0,'Données projet'!$E$10+1,1))-AVERAGE(OFFSET($H$3,0,0,'Données projet'!$E$10+1,1))</f>
        <v>150.05970318721711</v>
      </c>
      <c r="AO67" s="62">
        <f t="shared" si="36"/>
        <v>230.8269864623847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79.243765810745785</v>
      </c>
      <c r="AV67" s="23">
        <f>EXP(-LN(2)/25)*AV66+(1-EXP(-LN(2)/25))/(LN(2)/25)*Calculateur!AQ67*Calculateur!AS67*VLOOKUP('Données projet'!$B$10,Paramètres!$A$1:$I$89,3,0)*0.475*44/12</f>
        <v>1.9532013447157106</v>
      </c>
      <c r="AW67" s="23">
        <f>EXP(-LN(2)/2)*AW66+(1-EXP(-LN(2)/2))/(LN(2)/2)*AQ67*AT67*VLOOKUP('Données projet'!$B$10,Paramètres!$A$1:$I$89,3,0)*0.475*44/12</f>
        <v>0.31274976225432749</v>
      </c>
      <c r="AX67" s="23">
        <f t="shared" si="6"/>
        <v>81.509716917715821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7</v>
      </c>
      <c r="BD67" s="13">
        <f>IF('Données projet'!$A$88&gt;35,BD66+BC67-BL66,IF(A67&lt;'Données projet'!$A$88,$BA$205^A67,IF(A67='Données projet'!$A$88,'Données projet'!$B$88,BD66+BC67-BL66)))</f>
        <v>222.00000000000003</v>
      </c>
      <c r="BE67" s="14">
        <f>BD67*VLOOKUP('Données projet'!$B$11,Paramètres!$A$1:$I$89,3,0)*VLOOKUP('Données projet'!$B$11,Paramètres!$A$1:$I$89,5,0)</f>
        <v>200.86560000000003</v>
      </c>
      <c r="BF67" s="14">
        <f t="shared" si="37"/>
        <v>49.934352565642953</v>
      </c>
      <c r="BG67" s="22">
        <f t="shared" si="7"/>
        <v>436.8099173851615</v>
      </c>
      <c r="BH67" s="62">
        <f t="shared" si="8"/>
        <v>730.14325071849476</v>
      </c>
      <c r="BI67" s="62">
        <f ca="1">AVERAGE(OFFSET($BH$3,0,0,'Données projet'!$E$11+1,1))-AVERAGE(OFFSET($H$3,0,0,'Données projet'!$E$11+1,1))</f>
        <v>278.41778972502732</v>
      </c>
      <c r="BJ67" s="62">
        <f t="shared" si="38"/>
        <v>157.75772798974242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0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36.335000000000001</v>
      </c>
      <c r="D68" s="12">
        <f t="shared" si="32"/>
        <v>11.02187243420407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365.56182229911923</v>
      </c>
      <c r="H68" s="70">
        <f t="shared" ref="H68:H131" si="56">(B68+E68+F68)*44/12+(C68+D68)*0.475*44/12</f>
        <v>375.81321948957208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15.5</v>
      </c>
      <c r="N68" s="14">
        <f>IF('Données projet'!$A$36&gt;35,N67+M68-V67,IF(A68&lt;'Données projet'!$A$36,$K$205^A68,IF(A68='Données projet'!$A$36,'Données projet'!$B$36,N67+M68-V67)))</f>
        <v>487.49999999999989</v>
      </c>
      <c r="O68" s="14">
        <f>N68*VLOOKUP('Données projet'!$B$9,Paramètres!$A$1:$I$89,3,0)*VLOOKUP('Données projet'!$B$9,Paramètres!$A$1:$I$89,5,0)</f>
        <v>228.14999999999992</v>
      </c>
      <c r="P68" s="14">
        <f t="shared" si="33"/>
        <v>55.882480456847652</v>
      </c>
      <c r="Q68" s="22">
        <f t="shared" si="54"/>
        <v>494.68990346234278</v>
      </c>
      <c r="R68" s="62">
        <f t="shared" si="55"/>
        <v>788.0232367956761</v>
      </c>
      <c r="S68" s="62">
        <f ca="1">AVERAGE(OFFSET($R$3,0,0,'Données projet'!$E$9+1,1))-AVERAGE(OFFSET($H$3,0,0,'Données projet'!$E$9+1,1))</f>
        <v>302.30714066618623</v>
      </c>
      <c r="T68" s="62">
        <f t="shared" si="34"/>
        <v>218.81984836501334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-1.7053025658242404E-13</v>
      </c>
      <c r="AJ68" s="14">
        <f>AI68*VLOOKUP('Données projet'!$B$10,Paramètres!$A$1:$I$89,3,0)*VLOOKUP('Données projet'!$B$10,Paramètres!$A$1:$I$89,5,0)</f>
        <v>-1.0197709343628959E-13</v>
      </c>
      <c r="AK68" s="14" t="e">
        <f t="shared" si="35"/>
        <v>#NUM!</v>
      </c>
      <c r="AL68" s="22" t="e">
        <f t="shared" ref="AL68:AL131" si="58">(AJ68+AK68)*0.475*44/12</f>
        <v>#NUM!</v>
      </c>
      <c r="AM68" s="62" t="e">
        <f t="shared" ref="AM68:AM131" si="59">AL68+(AD68+AE68)*44/12</f>
        <v>#NUM!</v>
      </c>
      <c r="AN68" s="62">
        <f ca="1">AVERAGE(OFFSET($AM$3,0,0,'Données projet'!$E$10+1,1))-AVERAGE(OFFSET($H$3,0,0,'Données projet'!$E$10+1,1))</f>
        <v>150.05970318721711</v>
      </c>
      <c r="AO68" s="62">
        <f t="shared" si="36"/>
        <v>230.8269864623847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77.689843897121619</v>
      </c>
      <c r="AV68" s="23">
        <f>EXP(-LN(2)/25)*AV67+(1-EXP(-LN(2)/25))/(LN(2)/25)*Calculateur!AQ68*Calculateur!AS68*VLOOKUP('Données projet'!$B$10,Paramètres!$A$1:$I$89,3,0)*0.475*44/12</f>
        <v>1.8997909512300648</v>
      </c>
      <c r="AW68" s="23">
        <f>EXP(-LN(2)/2)*AW67+(1-EXP(-LN(2)/2))/(LN(2)/2)*AQ68*AT68*VLOOKUP('Données projet'!$B$10,Paramètres!$A$1:$I$89,3,0)*0.475*44/12</f>
        <v>0.22114747770451551</v>
      </c>
      <c r="AX68" s="23">
        <f t="shared" ref="AX68:AX131" si="60">SUM(AU68:AW68)</f>
        <v>79.810782326056199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229</v>
      </c>
      <c r="BB68" s="13">
        <f>VLOOKUP(A68,'Données projet'!$A$87:$I$107,9,0)</f>
        <v>7</v>
      </c>
      <c r="BC68" s="13">
        <f t="array" ref="BC68">INDEX(BB:BB,MIN(IF(ISNUMBER(BB68:BB264),ROW(BB68:BB264),"")))</f>
        <v>7</v>
      </c>
      <c r="BD68" s="13">
        <f>IF('Données projet'!$A$88&gt;35,BD67+BC68-BL67,IF(A68&lt;'Données projet'!$A$88,$BA$205^A68,IF(A68='Données projet'!$A$88,'Données projet'!$B$88,BD67+BC68-BL67)))</f>
        <v>229.00000000000003</v>
      </c>
      <c r="BE68" s="14">
        <f>BD68*VLOOKUP('Données projet'!$B$11,Paramètres!$A$1:$I$89,3,0)*VLOOKUP('Données projet'!$B$11,Paramètres!$A$1:$I$89,5,0)</f>
        <v>207.19919999999999</v>
      </c>
      <c r="BF68" s="14">
        <f t="shared" si="37"/>
        <v>51.32306297366555</v>
      </c>
      <c r="BG68" s="22">
        <f t="shared" ref="BG68:BG131" si="61">(BE68+BF68)*0.475*44/12</f>
        <v>450.25960801246742</v>
      </c>
      <c r="BH68" s="62">
        <f t="shared" ref="BH68:BH131" si="62">BG68+(AY68+AZ68)*44/12</f>
        <v>743.59294134580068</v>
      </c>
      <c r="BI68" s="62">
        <f ca="1">AVERAGE(OFFSET($BH$3,0,0,'Données projet'!$E$11+1,1))-AVERAGE(OFFSET($H$3,0,0,'Données projet'!$E$11+1,1))</f>
        <v>278.41778972502732</v>
      </c>
      <c r="BJ68" s="62">
        <f t="shared" si="38"/>
        <v>157.75772798974242</v>
      </c>
      <c r="BK68" s="16">
        <f>IF(ISNA(VLOOKUP(A68,'Données projet'!$A$87:$I$107,3,0)),0,VLOOKUP(A68,'Données projet'!$A$87:$I$107,3,0))</f>
        <v>9</v>
      </c>
      <c r="BL68" s="16">
        <f>IF(ISNA(VLOOKUP(A68,'Données projet'!$A$87:$I$107,4,0)),0,VLOOKUP(A68,'Données projet'!$A$87:$I$107,4,0))</f>
        <v>21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0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36.893999999999998</v>
      </c>
      <c r="D69" s="12">
        <f t="shared" ref="D69:D132" si="86">IFERROR(EXP(-1.0587+0.8836*LN(C69)+0.284),0)</f>
        <v>11.17156867911179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371.03245997910858</v>
      </c>
      <c r="H69" s="70">
        <f t="shared" si="56"/>
        <v>377.04753211611967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15.5</v>
      </c>
      <c r="N69" s="14">
        <f>IF('Données projet'!$A$36&gt;35,N68+M69-V68,IF(A69&lt;'Données projet'!$A$36,$K$205^A69,IF(A69='Données projet'!$A$36,'Données projet'!$B$36,N68+M69-V68)))</f>
        <v>502.99999999999989</v>
      </c>
      <c r="O69" s="14">
        <f>N69*VLOOKUP('Données projet'!$B$9,Paramètres!$A$1:$I$89,3,0)*VLOOKUP('Données projet'!$B$9,Paramètres!$A$1:$I$89,5,0)</f>
        <v>235.40399999999994</v>
      </c>
      <c r="P69" s="14">
        <f t="shared" ref="P69:P132" si="87">EXP(-1.0587+0.8836*LN(O69)+0.284)</f>
        <v>57.449568653781753</v>
      </c>
      <c r="Q69" s="22">
        <f t="shared" si="54"/>
        <v>510.05329873866975</v>
      </c>
      <c r="R69" s="62">
        <f t="shared" si="55"/>
        <v>803.38663207200307</v>
      </c>
      <c r="S69" s="62">
        <f ca="1">AVERAGE(OFFSET($R$3,0,0,'Données projet'!$E$9+1,1))-AVERAGE(OFFSET($H$3,0,0,'Données projet'!$E$9+1,1))</f>
        <v>302.30714066618623</v>
      </c>
      <c r="T69" s="62">
        <f t="shared" ref="T69:T132" si="88">$T$3</f>
        <v>218.81984836501334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-1.7053025658242404E-13</v>
      </c>
      <c r="AJ69" s="14">
        <f>AI69*VLOOKUP('Données projet'!$B$10,Paramètres!$A$1:$I$89,3,0)*VLOOKUP('Données projet'!$B$10,Paramètres!$A$1:$I$89,5,0)</f>
        <v>-1.0197709343628959E-13</v>
      </c>
      <c r="AK69" s="14" t="e">
        <f t="shared" ref="AK69:AK132" si="89">EXP(-1.0587+0.8836*LN(AJ69)+0.284)</f>
        <v>#NUM!</v>
      </c>
      <c r="AL69" s="22" t="e">
        <f t="shared" si="58"/>
        <v>#NUM!</v>
      </c>
      <c r="AM69" s="62" t="e">
        <f t="shared" si="59"/>
        <v>#NUM!</v>
      </c>
      <c r="AN69" s="62">
        <f ca="1">AVERAGE(OFFSET($AM$3,0,0,'Données projet'!$E$10+1,1))-AVERAGE(OFFSET($H$3,0,0,'Données projet'!$E$10+1,1))</f>
        <v>150.05970318721711</v>
      </c>
      <c r="AO69" s="62">
        <f t="shared" ref="AO69:AO132" si="90">$AO$3</f>
        <v>230.8269864623847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76.166393444424855</v>
      </c>
      <c r="AV69" s="23">
        <f>EXP(-LN(2)/25)*AV68+(1-EXP(-LN(2)/25))/(LN(2)/25)*Calculateur!AQ69*Calculateur!AS69*VLOOKUP('Données projet'!$B$10,Paramètres!$A$1:$I$89,3,0)*0.475*44/12</f>
        <v>1.8478410677630146</v>
      </c>
      <c r="AW69" s="23">
        <f>EXP(-LN(2)/2)*AW68+(1-EXP(-LN(2)/2))/(LN(2)/2)*AQ69*AT69*VLOOKUP('Données projet'!$B$10,Paramètres!$A$1:$I$89,3,0)*0.475*44/12</f>
        <v>0.15637488112716375</v>
      </c>
      <c r="AX69" s="23">
        <f t="shared" si="60"/>
        <v>78.170609393315033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6.8</v>
      </c>
      <c r="BD69" s="13">
        <f>IF('Données projet'!$A$88&gt;35,BD68+BC69-BL68,IF(A69&lt;'Données projet'!$A$88,$BA$205^A69,IF(A69='Données projet'!$A$88,'Données projet'!$B$88,BD68+BC69-BL68)))</f>
        <v>214.80000000000004</v>
      </c>
      <c r="BE69" s="14">
        <f>BD69*VLOOKUP('Données projet'!$B$11,Paramètres!$A$1:$I$89,3,0)*VLOOKUP('Données projet'!$B$11,Paramètres!$A$1:$I$89,5,0)</f>
        <v>194.35104000000004</v>
      </c>
      <c r="BF69" s="14">
        <f t="shared" ref="BF69:BF132" si="91">EXP(-1.0587+0.8836*LN(BE69)+0.284)</f>
        <v>48.500634729810159</v>
      </c>
      <c r="BG69" s="22">
        <f t="shared" si="61"/>
        <v>422.96666682108616</v>
      </c>
      <c r="BH69" s="62">
        <f t="shared" si="62"/>
        <v>716.30000015441942</v>
      </c>
      <c r="BI69" s="62">
        <f ca="1">AVERAGE(OFFSET($BH$3,0,0,'Données projet'!$E$11+1,1))-AVERAGE(OFFSET($H$3,0,0,'Données projet'!$E$11+1,1))</f>
        <v>278.41778972502732</v>
      </c>
      <c r="BJ69" s="62">
        <f t="shared" ref="BJ69:BJ132" si="92">$BJ$3</f>
        <v>157.75772798974242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0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37.452999999999996</v>
      </c>
      <c r="D70" s="12">
        <f t="shared" si="86"/>
        <v>11.321001136278802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376.50106140285385</v>
      </c>
      <c r="H70" s="70">
        <f t="shared" si="56"/>
        <v>378.2813853123522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15.5</v>
      </c>
      <c r="N70" s="14">
        <f>IF('Données projet'!$A$36&gt;35,N69+M70-V69,IF(A70&lt;'Données projet'!$A$36,$K$205^A70,IF(A70='Données projet'!$A$36,'Données projet'!$B$36,N69+M70-V69)))</f>
        <v>518.49999999999989</v>
      </c>
      <c r="O70" s="14">
        <f>N70*VLOOKUP('Données projet'!$B$9,Paramètres!$A$1:$I$89,3,0)*VLOOKUP('Données projet'!$B$9,Paramètres!$A$1:$I$89,5,0)</f>
        <v>242.65799999999993</v>
      </c>
      <c r="P70" s="14">
        <f t="shared" si="87"/>
        <v>59.011045025839607</v>
      </c>
      <c r="Q70" s="22">
        <f t="shared" si="54"/>
        <v>525.40692008667054</v>
      </c>
      <c r="R70" s="62">
        <f t="shared" si="55"/>
        <v>818.74025342000391</v>
      </c>
      <c r="S70" s="62">
        <f ca="1">AVERAGE(OFFSET($R$3,0,0,'Données projet'!$E$9+1,1))-AVERAGE(OFFSET($H$3,0,0,'Données projet'!$E$9+1,1))</f>
        <v>302.30714066618623</v>
      </c>
      <c r="T70" s="62">
        <f t="shared" si="88"/>
        <v>218.81984836501334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-1.7053025658242404E-13</v>
      </c>
      <c r="AJ70" s="14">
        <f>AI70*VLOOKUP('Données projet'!$B$10,Paramètres!$A$1:$I$89,3,0)*VLOOKUP('Données projet'!$B$10,Paramètres!$A$1:$I$89,5,0)</f>
        <v>-1.0197709343628959E-13</v>
      </c>
      <c r="AK70" s="14" t="e">
        <f t="shared" si="89"/>
        <v>#NUM!</v>
      </c>
      <c r="AL70" s="22" t="e">
        <f t="shared" si="58"/>
        <v>#NUM!</v>
      </c>
      <c r="AM70" s="62" t="e">
        <f t="shared" si="59"/>
        <v>#NUM!</v>
      </c>
      <c r="AN70" s="62">
        <f ca="1">AVERAGE(OFFSET($AM$3,0,0,'Données projet'!$E$10+1,1))-AVERAGE(OFFSET($H$3,0,0,'Données projet'!$E$10+1,1))</f>
        <v>150.05970318721711</v>
      </c>
      <c r="AO70" s="62">
        <f t="shared" si="90"/>
        <v>230.8269864623847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74.672816925892448</v>
      </c>
      <c r="AV70" s="23">
        <f>EXP(-LN(2)/25)*AV69+(1-EXP(-LN(2)/25))/(LN(2)/25)*Calculateur!AQ70*Calculateur!AS70*VLOOKUP('Données projet'!$B$10,Paramètres!$A$1:$I$89,3,0)*0.475*44/12</f>
        <v>1.7973117565912966</v>
      </c>
      <c r="AW70" s="23">
        <f>EXP(-LN(2)/2)*AW69+(1-EXP(-LN(2)/2))/(LN(2)/2)*AQ70*AT70*VLOOKUP('Données projet'!$B$10,Paramètres!$A$1:$I$89,3,0)*0.475*44/12</f>
        <v>0.11057373885225776</v>
      </c>
      <c r="AX70" s="23">
        <f t="shared" si="60"/>
        <v>76.580702421335999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6.8</v>
      </c>
      <c r="BD70" s="13">
        <f>IF('Données projet'!$A$88&gt;35,BD69+BC70-BL69,IF(A70&lt;'Données projet'!$A$88,$BA$205^A70,IF(A70='Données projet'!$A$88,'Données projet'!$B$88,BD69+BC70-BL69)))</f>
        <v>221.60000000000005</v>
      </c>
      <c r="BE70" s="14">
        <f>BD70*VLOOKUP('Données projet'!$B$11,Paramètres!$A$1:$I$89,3,0)*VLOOKUP('Données projet'!$B$11,Paramètres!$A$1:$I$89,5,0)</f>
        <v>200.50368000000003</v>
      </c>
      <c r="BF70" s="14">
        <f t="shared" si="91"/>
        <v>49.854845135229887</v>
      </c>
      <c r="BG70" s="22">
        <f t="shared" si="61"/>
        <v>436.04109794385869</v>
      </c>
      <c r="BH70" s="62">
        <f t="shared" si="62"/>
        <v>729.374431277192</v>
      </c>
      <c r="BI70" s="62">
        <f ca="1">AVERAGE(OFFSET($BH$3,0,0,'Données projet'!$E$11+1,1))-AVERAGE(OFFSET($H$3,0,0,'Données projet'!$E$11+1,1))</f>
        <v>278.41778972502732</v>
      </c>
      <c r="BJ70" s="62">
        <f t="shared" si="92"/>
        <v>157.75772798974242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0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38.011999999999993</v>
      </c>
      <c r="D71" s="12">
        <f t="shared" si="86"/>
        <v>11.470174197629985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381.96766047293323</v>
      </c>
      <c r="H71" s="70">
        <f t="shared" si="56"/>
        <v>379.51478672753888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15.5</v>
      </c>
      <c r="N71" s="14">
        <f>IF('Données projet'!$A$36&gt;35,N70+M71-V70,IF(A71&lt;'Données projet'!$A$36,$K$205^A71,IF(A71='Données projet'!$A$36,'Données projet'!$B$36,N70+M71-V70)))</f>
        <v>533.99999999999989</v>
      </c>
      <c r="O71" s="14">
        <f>N71*VLOOKUP('Données projet'!$B$9,Paramètres!$A$1:$I$89,3,0)*VLOOKUP('Données projet'!$B$9,Paramètres!$A$1:$I$89,5,0)</f>
        <v>249.91199999999995</v>
      </c>
      <c r="P71" s="14">
        <f t="shared" si="87"/>
        <v>60.56709659070836</v>
      </c>
      <c r="Q71" s="22">
        <f t="shared" si="54"/>
        <v>540.7510932288169</v>
      </c>
      <c r="R71" s="62">
        <f t="shared" si="55"/>
        <v>834.08442656215016</v>
      </c>
      <c r="S71" s="62">
        <f ca="1">AVERAGE(OFFSET($R$3,0,0,'Données projet'!$E$9+1,1))-AVERAGE(OFFSET($H$3,0,0,'Données projet'!$E$9+1,1))</f>
        <v>302.30714066618623</v>
      </c>
      <c r="T71" s="62">
        <f t="shared" si="88"/>
        <v>218.81984836501334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-1.7053025658242404E-13</v>
      </c>
      <c r="AJ71" s="14">
        <f>AI71*VLOOKUP('Données projet'!$B$10,Paramètres!$A$1:$I$89,3,0)*VLOOKUP('Données projet'!$B$10,Paramètres!$A$1:$I$89,5,0)</f>
        <v>-1.0197709343628959E-13</v>
      </c>
      <c r="AK71" s="14" t="e">
        <f t="shared" si="89"/>
        <v>#NUM!</v>
      </c>
      <c r="AL71" s="22" t="e">
        <f t="shared" si="58"/>
        <v>#NUM!</v>
      </c>
      <c r="AM71" s="62" t="e">
        <f t="shared" si="59"/>
        <v>#NUM!</v>
      </c>
      <c r="AN71" s="62">
        <f ca="1">AVERAGE(OFFSET($AM$3,0,0,'Données projet'!$E$10+1,1))-AVERAGE(OFFSET($H$3,0,0,'Données projet'!$E$10+1,1))</f>
        <v>150.05970318721711</v>
      </c>
      <c r="AO71" s="62">
        <f t="shared" si="90"/>
        <v>230.8269864623847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73.208528531896732</v>
      </c>
      <c r="AV71" s="23">
        <f>EXP(-LN(2)/25)*AV70+(1-EXP(-LN(2)/25))/(LN(2)/25)*Calculateur!AQ71*Calculateur!AS71*VLOOKUP('Données projet'!$B$10,Paramètres!$A$1:$I$89,3,0)*0.475*44/12</f>
        <v>1.7481641720907901</v>
      </c>
      <c r="AW71" s="23">
        <f>EXP(-LN(2)/2)*AW70+(1-EXP(-LN(2)/2))/(LN(2)/2)*AQ71*AT71*VLOOKUP('Données projet'!$B$10,Paramètres!$A$1:$I$89,3,0)*0.475*44/12</f>
        <v>7.8187440563581873E-2</v>
      </c>
      <c r="AX71" s="23">
        <f t="shared" si="60"/>
        <v>75.03488014455111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6.8</v>
      </c>
      <c r="BD71" s="13">
        <f>IF('Données projet'!$A$88&gt;35,BD70+BC71-BL70,IF(A71&lt;'Données projet'!$A$88,$BA$205^A71,IF(A71='Données projet'!$A$88,'Données projet'!$B$88,BD70+BC71-BL70)))</f>
        <v>228.40000000000006</v>
      </c>
      <c r="BE71" s="14">
        <f>BD71*VLOOKUP('Données projet'!$B$11,Paramètres!$A$1:$I$89,3,0)*VLOOKUP('Données projet'!$B$11,Paramètres!$A$1:$I$89,5,0)</f>
        <v>206.65632000000005</v>
      </c>
      <c r="BF71" s="14">
        <f t="shared" si="91"/>
        <v>51.20422634371338</v>
      </c>
      <c r="BG71" s="22">
        <f t="shared" si="61"/>
        <v>449.10711821530089</v>
      </c>
      <c r="BH71" s="62">
        <f t="shared" si="62"/>
        <v>742.4404515486342</v>
      </c>
      <c r="BI71" s="62">
        <f ca="1">AVERAGE(OFFSET($BH$3,0,0,'Données projet'!$E$11+1,1))-AVERAGE(OFFSET($H$3,0,0,'Données projet'!$E$11+1,1))</f>
        <v>278.41778972502732</v>
      </c>
      <c r="BJ71" s="62">
        <f t="shared" si="92"/>
        <v>157.75772798974242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0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38.570999999999991</v>
      </c>
      <c r="D72" s="12">
        <f t="shared" si="86"/>
        <v>11.619092118500239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387.43229003754567</v>
      </c>
      <c r="H72" s="70">
        <f t="shared" si="56"/>
        <v>380.74774377305454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15.5</v>
      </c>
      <c r="N72" s="14">
        <f>IF('Données projet'!$A$36&gt;35,N71+M72-V71,IF(A72&lt;'Données projet'!$A$36,$K$205^A72,IF(A72='Données projet'!$A$36,'Données projet'!$B$36,N71+M72-V71)))</f>
        <v>549.49999999999989</v>
      </c>
      <c r="O72" s="14">
        <f>N72*VLOOKUP('Données projet'!$B$9,Paramètres!$A$1:$I$89,3,0)*VLOOKUP('Données projet'!$B$9,Paramètres!$A$1:$I$89,5,0)</f>
        <v>257.16599999999994</v>
      </c>
      <c r="P72" s="14">
        <f t="shared" si="87"/>
        <v>62.117898891884423</v>
      </c>
      <c r="Q72" s="22">
        <f t="shared" si="54"/>
        <v>556.08612390336521</v>
      </c>
      <c r="R72" s="62">
        <f t="shared" si="55"/>
        <v>849.41945723669846</v>
      </c>
      <c r="S72" s="62">
        <f ca="1">AVERAGE(OFFSET($R$3,0,0,'Données projet'!$E$9+1,1))-AVERAGE(OFFSET($H$3,0,0,'Données projet'!$E$9+1,1))</f>
        <v>302.30714066618623</v>
      </c>
      <c r="T72" s="62">
        <f t="shared" si="88"/>
        <v>218.81984836501334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-1.7053025658242404E-13</v>
      </c>
      <c r="AJ72" s="14">
        <f>AI72*VLOOKUP('Données projet'!$B$10,Paramètres!$A$1:$I$89,3,0)*VLOOKUP('Données projet'!$B$10,Paramètres!$A$1:$I$89,5,0)</f>
        <v>-1.0197709343628959E-13</v>
      </c>
      <c r="AK72" s="14" t="e">
        <f t="shared" si="89"/>
        <v>#NUM!</v>
      </c>
      <c r="AL72" s="22" t="e">
        <f t="shared" si="58"/>
        <v>#NUM!</v>
      </c>
      <c r="AM72" s="62" t="e">
        <f t="shared" si="59"/>
        <v>#NUM!</v>
      </c>
      <c r="AN72" s="62">
        <f ca="1">AVERAGE(OFFSET($AM$3,0,0,'Données projet'!$E$10+1,1))-AVERAGE(OFFSET($H$3,0,0,'Données projet'!$E$10+1,1))</f>
        <v>150.05970318721711</v>
      </c>
      <c r="AO72" s="62">
        <f t="shared" si="90"/>
        <v>230.8269864623847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71.772953940179548</v>
      </c>
      <c r="AV72" s="23">
        <f>EXP(-LN(2)/25)*AV71+(1-EXP(-LN(2)/25))/(LN(2)/25)*Calculateur!AQ72*Calculateur!AS72*VLOOKUP('Données projet'!$B$10,Paramètres!$A$1:$I$89,3,0)*0.475*44/12</f>
        <v>1.7003605308730092</v>
      </c>
      <c r="AW72" s="23">
        <f>EXP(-LN(2)/2)*AW71+(1-EXP(-LN(2)/2))/(LN(2)/2)*AQ72*AT72*VLOOKUP('Données projet'!$B$10,Paramètres!$A$1:$I$89,3,0)*0.475*44/12</f>
        <v>5.5286869426128878E-2</v>
      </c>
      <c r="AX72" s="23">
        <f t="shared" si="60"/>
        <v>73.528601340478687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6.8</v>
      </c>
      <c r="BD72" s="13">
        <f>IF('Données projet'!$A$88&gt;35,BD71+BC72-BL71,IF(A72&lt;'Données projet'!$A$88,$BA$205^A72,IF(A72='Données projet'!$A$88,'Données projet'!$B$88,BD71+BC72-BL71)))</f>
        <v>235.20000000000007</v>
      </c>
      <c r="BE72" s="14">
        <f>BD72*VLOOKUP('Données projet'!$B$11,Paramètres!$A$1:$I$89,3,0)*VLOOKUP('Données projet'!$B$11,Paramètres!$A$1:$I$89,5,0)</f>
        <v>212.80896000000004</v>
      </c>
      <c r="BF72" s="14">
        <f t="shared" si="91"/>
        <v>52.54893863748589</v>
      </c>
      <c r="BG72" s="22">
        <f t="shared" si="61"/>
        <v>462.16500679362139</v>
      </c>
      <c r="BH72" s="62">
        <f t="shared" si="62"/>
        <v>755.49834012695464</v>
      </c>
      <c r="BI72" s="62">
        <f ca="1">AVERAGE(OFFSET($BH$3,0,0,'Données projet'!$E$11+1,1))-AVERAGE(OFFSET($H$3,0,0,'Données projet'!$E$11+1,1))</f>
        <v>278.41778972502732</v>
      </c>
      <c r="BJ72" s="62">
        <f t="shared" si="92"/>
        <v>157.75772798974242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0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39.129999999999988</v>
      </c>
      <c r="D73" s="12">
        <f t="shared" si="86"/>
        <v>11.767759023799293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392.89498193809976</v>
      </c>
      <c r="H73" s="70">
        <f t="shared" si="56"/>
        <v>381.98026363311709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565</v>
      </c>
      <c r="L73" s="13">
        <f>VLOOKUP(A73,'Données projet'!$A$35:$I$55,9,0)</f>
        <v>15.5</v>
      </c>
      <c r="M73" s="13">
        <f t="array" ref="M73">INDEX(L:L,MIN(IF(ISNUMBER(L73:L269),ROW(L73:L269),"")))</f>
        <v>15.5</v>
      </c>
      <c r="N73" s="14">
        <f>IF('Données projet'!$A$36&gt;35,N72+M73-V72,IF(A73&lt;'Données projet'!$A$36,$K$205^A73,IF(A73='Données projet'!$A$36,'Données projet'!$B$36,N72+M73-V72)))</f>
        <v>564.99999999999989</v>
      </c>
      <c r="O73" s="14">
        <f>N73*VLOOKUP('Données projet'!$B$9,Paramètres!$A$1:$I$89,3,0)*VLOOKUP('Données projet'!$B$9,Paramètres!$A$1:$I$89,5,0)</f>
        <v>264.41999999999996</v>
      </c>
      <c r="P73" s="14">
        <f t="shared" si="87"/>
        <v>63.663617006208391</v>
      </c>
      <c r="Q73" s="22">
        <f t="shared" si="54"/>
        <v>571.41229961914621</v>
      </c>
      <c r="R73" s="62">
        <f t="shared" si="55"/>
        <v>864.74563295247958</v>
      </c>
      <c r="S73" s="62">
        <f ca="1">AVERAGE(OFFSET($R$3,0,0,'Données projet'!$E$9+1,1))-AVERAGE(OFFSET($H$3,0,0,'Données projet'!$E$9+1,1))</f>
        <v>302.30714066618623</v>
      </c>
      <c r="T73" s="62">
        <f t="shared" si="88"/>
        <v>218.81984836501334</v>
      </c>
      <c r="U73" s="16">
        <f>IF(ISNA(VLOOKUP(A73,'Données projet'!$A$35:$I$55,3,0)),0,VLOOKUP(A73,'Données projet'!$A$35:$I$55,3,0))</f>
        <v>6</v>
      </c>
      <c r="V73" s="16">
        <f>IF(ISNA(VLOOKUP(A73,'Données projet'!$A$35:$I$55,4,0)),0,VLOOKUP(A73,'Données projet'!$A$35:$I$55,4,0))</f>
        <v>113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-1.7053025658242404E-13</v>
      </c>
      <c r="AJ73" s="14">
        <f>AI73*VLOOKUP('Données projet'!$B$10,Paramètres!$A$1:$I$89,3,0)*VLOOKUP('Données projet'!$B$10,Paramètres!$A$1:$I$89,5,0)</f>
        <v>-1.0197709343628959E-13</v>
      </c>
      <c r="AK73" s="14" t="e">
        <f t="shared" si="89"/>
        <v>#NUM!</v>
      </c>
      <c r="AL73" s="22" t="e">
        <f t="shared" si="58"/>
        <v>#NUM!</v>
      </c>
      <c r="AM73" s="62" t="e">
        <f t="shared" si="59"/>
        <v>#NUM!</v>
      </c>
      <c r="AN73" s="62">
        <f ca="1">AVERAGE(OFFSET($AM$3,0,0,'Données projet'!$E$10+1,1))-AVERAGE(OFFSET($H$3,0,0,'Données projet'!$E$10+1,1))</f>
        <v>150.05970318721711</v>
      </c>
      <c r="AO73" s="62">
        <f t="shared" si="90"/>
        <v>230.8269864623847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70.365530090591889</v>
      </c>
      <c r="AV73" s="23">
        <f>EXP(-LN(2)/25)*AV72+(1-EXP(-LN(2)/25))/(LN(2)/25)*Calculateur!AQ73*Calculateur!AS73*VLOOKUP('Données projet'!$B$10,Paramètres!$A$1:$I$89,3,0)*0.475*44/12</f>
        <v>1.6538640827382127</v>
      </c>
      <c r="AW73" s="23">
        <f>EXP(-LN(2)/2)*AW72+(1-EXP(-LN(2)/2))/(LN(2)/2)*AQ73*AT73*VLOOKUP('Données projet'!$B$10,Paramètres!$A$1:$I$89,3,0)*0.475*44/12</f>
        <v>3.9093720281790936E-2</v>
      </c>
      <c r="AX73" s="23">
        <f t="shared" si="60"/>
        <v>72.058487893611897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242</v>
      </c>
      <c r="BB73" s="13">
        <f>VLOOKUP(A73,'Données projet'!$A$87:$I$107,9,0)</f>
        <v>6.8</v>
      </c>
      <c r="BC73" s="13">
        <f t="array" ref="BC73">INDEX(BB:BB,MIN(IF(ISNUMBER(BB73:BB269),ROW(BB73:BB269),"")))</f>
        <v>6.8</v>
      </c>
      <c r="BD73" s="13">
        <f>IF('Données projet'!$A$88&gt;35,BD72+BC73-BL72,IF(A73&lt;'Données projet'!$A$88,$BA$205^A73,IF(A73='Données projet'!$A$88,'Données projet'!$B$88,BD72+BC73-BL72)))</f>
        <v>242.00000000000009</v>
      </c>
      <c r="BE73" s="14">
        <f>BD73*VLOOKUP('Données projet'!$B$11,Paramètres!$A$1:$I$89,3,0)*VLOOKUP('Données projet'!$B$11,Paramètres!$A$1:$I$89,5,0)</f>
        <v>218.96160000000006</v>
      </c>
      <c r="BF73" s="14">
        <f t="shared" si="91"/>
        <v>53.88913250370743</v>
      </c>
      <c r="BG73" s="22">
        <f t="shared" si="61"/>
        <v>475.21502577729046</v>
      </c>
      <c r="BH73" s="62">
        <f t="shared" si="62"/>
        <v>768.54835911062378</v>
      </c>
      <c r="BI73" s="62">
        <f ca="1">AVERAGE(OFFSET($BH$3,0,0,'Données projet'!$E$11+1,1))-AVERAGE(OFFSET($H$3,0,0,'Données projet'!$E$11+1,1))</f>
        <v>278.41778972502732</v>
      </c>
      <c r="BJ73" s="62">
        <f t="shared" si="92"/>
        <v>157.75772798974242</v>
      </c>
      <c r="BK73" s="16">
        <f>IF(ISNA(VLOOKUP(A73,'Données projet'!$A$87:$I$107,3,0)),0,VLOOKUP(A73,'Données projet'!$A$87:$I$107,3,0))</f>
        <v>10</v>
      </c>
      <c r="BL73" s="16">
        <f>IF(ISNA(VLOOKUP(A73,'Données projet'!$A$87:$I$107,4,0)),0,VLOOKUP(A73,'Données projet'!$A$87:$I$107,4,0))</f>
        <v>21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0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39.688999999999986</v>
      </c>
      <c r="D74" s="12">
        <f t="shared" si="86"/>
        <v>11.916178913814131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398.35576705400371</v>
      </c>
      <c r="H74" s="70">
        <f t="shared" si="56"/>
        <v>383.21235327489291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17</v>
      </c>
      <c r="N74" s="14">
        <f>IF('Données projet'!$A$36&gt;35,N73+M74-V73,IF(A74&lt;'Données projet'!$A$36,$K$205^A74,IF(A74='Données projet'!$A$36,'Données projet'!$B$36,N73+M74-V73)))</f>
        <v>468.99999999999989</v>
      </c>
      <c r="O74" s="14">
        <f>N74*VLOOKUP('Données projet'!$B$9,Paramètres!$A$1:$I$89,3,0)*VLOOKUP('Données projet'!$B$9,Paramètres!$A$1:$I$89,5,0)</f>
        <v>219.49199999999993</v>
      </c>
      <c r="P74" s="14">
        <f t="shared" si="87"/>
        <v>54.004459579686618</v>
      </c>
      <c r="Q74" s="22">
        <f t="shared" si="54"/>
        <v>476.33966710128726</v>
      </c>
      <c r="R74" s="62">
        <f t="shared" si="55"/>
        <v>769.67300043462058</v>
      </c>
      <c r="S74" s="62">
        <f ca="1">AVERAGE(OFFSET($R$3,0,0,'Données projet'!$E$9+1,1))-AVERAGE(OFFSET($H$3,0,0,'Données projet'!$E$9+1,1))</f>
        <v>302.30714066618623</v>
      </c>
      <c r="T74" s="62">
        <f t="shared" si="88"/>
        <v>218.81984836501334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-1.7053025658242404E-13</v>
      </c>
      <c r="AJ74" s="14">
        <f>AI74*VLOOKUP('Données projet'!$B$10,Paramètres!$A$1:$I$89,3,0)*VLOOKUP('Données projet'!$B$10,Paramètres!$A$1:$I$89,5,0)</f>
        <v>-1.0197709343628959E-13</v>
      </c>
      <c r="AK74" s="14" t="e">
        <f t="shared" si="89"/>
        <v>#NUM!</v>
      </c>
      <c r="AL74" s="22" t="e">
        <f t="shared" si="58"/>
        <v>#NUM!</v>
      </c>
      <c r="AM74" s="62" t="e">
        <f t="shared" si="59"/>
        <v>#NUM!</v>
      </c>
      <c r="AN74" s="62">
        <f ca="1">AVERAGE(OFFSET($AM$3,0,0,'Données projet'!$E$10+1,1))-AVERAGE(OFFSET($H$3,0,0,'Données projet'!$E$10+1,1))</f>
        <v>150.05970318721711</v>
      </c>
      <c r="AO74" s="62">
        <f t="shared" si="90"/>
        <v>230.8269864623847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68.985704964250871</v>
      </c>
      <c r="AV74" s="23">
        <f>EXP(-LN(2)/25)*AV73+(1-EXP(-LN(2)/25))/(LN(2)/25)*Calculateur!AQ74*Calculateur!AS74*VLOOKUP('Données projet'!$B$10,Paramètres!$A$1:$I$89,3,0)*0.475*44/12</f>
        <v>1.6086390824228041</v>
      </c>
      <c r="AW74" s="23">
        <f>EXP(-LN(2)/2)*AW73+(1-EXP(-LN(2)/2))/(LN(2)/2)*AQ74*AT74*VLOOKUP('Données projet'!$B$10,Paramètres!$A$1:$I$89,3,0)*0.475*44/12</f>
        <v>2.7643434713064439E-2</v>
      </c>
      <c r="AX74" s="23">
        <f t="shared" si="60"/>
        <v>70.621987481386739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6.4</v>
      </c>
      <c r="BD74" s="13">
        <f>IF('Données projet'!$A$88&gt;35,BD73+BC74-BL73,IF(A74&lt;'Données projet'!$A$88,$BA$205^A74,IF(A74='Données projet'!$A$88,'Données projet'!$B$88,BD73+BC74-BL73)))</f>
        <v>227.40000000000009</v>
      </c>
      <c r="BE74" s="14">
        <f>BD74*VLOOKUP('Données projet'!$B$11,Paramètres!$A$1:$I$89,3,0)*VLOOKUP('Données projet'!$B$11,Paramètres!$A$1:$I$89,5,0)</f>
        <v>205.75152000000008</v>
      </c>
      <c r="BF74" s="14">
        <f t="shared" si="91"/>
        <v>51.006084477955554</v>
      </c>
      <c r="BG74" s="22">
        <f t="shared" si="61"/>
        <v>447.18616113243934</v>
      </c>
      <c r="BH74" s="62">
        <f t="shared" si="62"/>
        <v>740.5194944657726</v>
      </c>
      <c r="BI74" s="62">
        <f ca="1">AVERAGE(OFFSET($BH$3,0,0,'Données projet'!$E$11+1,1))-AVERAGE(OFFSET($H$3,0,0,'Données projet'!$E$11+1,1))</f>
        <v>278.41778972502732</v>
      </c>
      <c r="BJ74" s="62">
        <f t="shared" si="92"/>
        <v>157.75772798974242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0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40.247999999999983</v>
      </c>
      <c r="D75" s="12">
        <f t="shared" si="86"/>
        <v>12.064355669675358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403.81467534486228</v>
      </c>
      <c r="H75" s="70">
        <f t="shared" si="56"/>
        <v>384.44401945801786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17</v>
      </c>
      <c r="N75" s="14">
        <f>IF('Données projet'!$A$36&gt;35,N74+M75-V74,IF(A75&lt;'Données projet'!$A$36,$K$205^A75,IF(A75='Données projet'!$A$36,'Données projet'!$B$36,N74+M75-V74)))</f>
        <v>485.99999999999989</v>
      </c>
      <c r="O75" s="14">
        <f>N75*VLOOKUP('Données projet'!$B$9,Paramètres!$A$1:$I$89,3,0)*VLOOKUP('Données projet'!$B$9,Paramètres!$A$1:$I$89,5,0)</f>
        <v>227.44799999999995</v>
      </c>
      <c r="P75" s="14">
        <f t="shared" si="87"/>
        <v>55.730521649800686</v>
      </c>
      <c r="Q75" s="22">
        <f t="shared" si="54"/>
        <v>493.20259187340275</v>
      </c>
      <c r="R75" s="62">
        <f t="shared" si="55"/>
        <v>786.53592520673601</v>
      </c>
      <c r="S75" s="62">
        <f ca="1">AVERAGE(OFFSET($R$3,0,0,'Données projet'!$E$9+1,1))-AVERAGE(OFFSET($H$3,0,0,'Données projet'!$E$9+1,1))</f>
        <v>302.30714066618623</v>
      </c>
      <c r="T75" s="62">
        <f t="shared" si="88"/>
        <v>218.81984836501334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-1.7053025658242404E-13</v>
      </c>
      <c r="AJ75" s="14">
        <f>AI75*VLOOKUP('Données projet'!$B$10,Paramètres!$A$1:$I$89,3,0)*VLOOKUP('Données projet'!$B$10,Paramètres!$A$1:$I$89,5,0)</f>
        <v>-1.0197709343628959E-13</v>
      </c>
      <c r="AK75" s="14" t="e">
        <f t="shared" si="89"/>
        <v>#NUM!</v>
      </c>
      <c r="AL75" s="22" t="e">
        <f t="shared" si="58"/>
        <v>#NUM!</v>
      </c>
      <c r="AM75" s="62" t="e">
        <f t="shared" si="59"/>
        <v>#NUM!</v>
      </c>
      <c r="AN75" s="62">
        <f ca="1">AVERAGE(OFFSET($AM$3,0,0,'Données projet'!$E$10+1,1))-AVERAGE(OFFSET($H$3,0,0,'Données projet'!$E$10+1,1))</f>
        <v>150.05970318721711</v>
      </c>
      <c r="AO75" s="62">
        <f t="shared" si="90"/>
        <v>230.8269864623847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67.632937367027168</v>
      </c>
      <c r="AV75" s="23">
        <f>EXP(-LN(2)/25)*AV74+(1-EXP(-LN(2)/25))/(LN(2)/25)*Calculateur!AQ75*Calculateur!AS75*VLOOKUP('Données projet'!$B$10,Paramètres!$A$1:$I$89,3,0)*0.475*44/12</f>
        <v>1.5646507621192998</v>
      </c>
      <c r="AW75" s="23">
        <f>EXP(-LN(2)/2)*AW74+(1-EXP(-LN(2)/2))/(LN(2)/2)*AQ75*AT75*VLOOKUP('Données projet'!$B$10,Paramètres!$A$1:$I$89,3,0)*0.475*44/12</f>
        <v>1.9546860140895468E-2</v>
      </c>
      <c r="AX75" s="23">
        <f t="shared" si="60"/>
        <v>69.217134989287359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6.4</v>
      </c>
      <c r="BD75" s="13">
        <f>IF('Données projet'!$A$88&gt;35,BD74+BC75-BL74,IF(A75&lt;'Données projet'!$A$88,$BA$205^A75,IF(A75='Données projet'!$A$88,'Données projet'!$B$88,BD74+BC75-BL74)))</f>
        <v>233.8000000000001</v>
      </c>
      <c r="BE75" s="14">
        <f>BD75*VLOOKUP('Données projet'!$B$11,Paramètres!$A$1:$I$89,3,0)*VLOOKUP('Données projet'!$B$11,Paramètres!$A$1:$I$89,5,0)</f>
        <v>211.54224000000008</v>
      </c>
      <c r="BF75" s="14">
        <f t="shared" si="91"/>
        <v>52.272460284041784</v>
      </c>
      <c r="BG75" s="22">
        <f t="shared" si="61"/>
        <v>459.47726966137287</v>
      </c>
      <c r="BH75" s="62">
        <f t="shared" si="62"/>
        <v>752.81060299470619</v>
      </c>
      <c r="BI75" s="62">
        <f ca="1">AVERAGE(OFFSET($BH$3,0,0,'Données projet'!$E$11+1,1))-AVERAGE(OFFSET($H$3,0,0,'Données projet'!$E$11+1,1))</f>
        <v>278.41778972502732</v>
      </c>
      <c r="BJ75" s="62">
        <f t="shared" si="92"/>
        <v>157.75772798974242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0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40.806999999999981</v>
      </c>
      <c r="D76" s="12">
        <f t="shared" si="86"/>
        <v>12.212293058511113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409.27173589026114</v>
      </c>
      <c r="H76" s="70">
        <f t="shared" si="56"/>
        <v>385.67526874357344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17</v>
      </c>
      <c r="N76" s="14">
        <f>IF('Données projet'!$A$36&gt;35,N75+M76-V75,IF(A76&lt;'Données projet'!$A$36,$K$205^A76,IF(A76='Données projet'!$A$36,'Données projet'!$B$36,N75+M76-V75)))</f>
        <v>502.99999999999989</v>
      </c>
      <c r="O76" s="14">
        <f>N76*VLOOKUP('Données projet'!$B$9,Paramètres!$A$1:$I$89,3,0)*VLOOKUP('Données projet'!$B$9,Paramètres!$A$1:$I$89,5,0)</f>
        <v>235.40399999999994</v>
      </c>
      <c r="P76" s="14">
        <f t="shared" si="87"/>
        <v>57.449568653781753</v>
      </c>
      <c r="Q76" s="22">
        <f t="shared" si="54"/>
        <v>510.05329873866975</v>
      </c>
      <c r="R76" s="62">
        <f t="shared" si="55"/>
        <v>803.38663207200307</v>
      </c>
      <c r="S76" s="62">
        <f ca="1">AVERAGE(OFFSET($R$3,0,0,'Données projet'!$E$9+1,1))-AVERAGE(OFFSET($H$3,0,0,'Données projet'!$E$9+1,1))</f>
        <v>302.30714066618623</v>
      </c>
      <c r="T76" s="62">
        <f t="shared" si="88"/>
        <v>218.81984836501334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-1.7053025658242404E-13</v>
      </c>
      <c r="AJ76" s="14">
        <f>AI76*VLOOKUP('Données projet'!$B$10,Paramètres!$A$1:$I$89,3,0)*VLOOKUP('Données projet'!$B$10,Paramètres!$A$1:$I$89,5,0)</f>
        <v>-1.0197709343628959E-13</v>
      </c>
      <c r="AK76" s="14" t="e">
        <f t="shared" si="89"/>
        <v>#NUM!</v>
      </c>
      <c r="AL76" s="22" t="e">
        <f t="shared" si="58"/>
        <v>#NUM!</v>
      </c>
      <c r="AM76" s="62" t="e">
        <f t="shared" si="59"/>
        <v>#NUM!</v>
      </c>
      <c r="AN76" s="62">
        <f ca="1">AVERAGE(OFFSET($AM$3,0,0,'Données projet'!$E$10+1,1))-AVERAGE(OFFSET($H$3,0,0,'Données projet'!$E$10+1,1))</f>
        <v>150.05970318721711</v>
      </c>
      <c r="AO76" s="62">
        <f t="shared" si="90"/>
        <v>230.8269864623847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66.306696717278257</v>
      </c>
      <c r="AV76" s="23">
        <f>EXP(-LN(2)/25)*AV75+(1-EXP(-LN(2)/25))/(LN(2)/25)*Calculateur!AQ76*Calculateur!AS76*VLOOKUP('Données projet'!$B$10,Paramètres!$A$1:$I$89,3,0)*0.475*44/12</f>
        <v>1.52186530474774</v>
      </c>
      <c r="AW76" s="23">
        <f>EXP(-LN(2)/2)*AW75+(1-EXP(-LN(2)/2))/(LN(2)/2)*AQ76*AT76*VLOOKUP('Données projet'!$B$10,Paramètres!$A$1:$I$89,3,0)*0.475*44/12</f>
        <v>1.3821717356532219E-2</v>
      </c>
      <c r="AX76" s="23">
        <f t="shared" si="60"/>
        <v>67.842383739382527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6.4</v>
      </c>
      <c r="BD76" s="13">
        <f>IF('Données projet'!$A$88&gt;35,BD75+BC76-BL75,IF(A76&lt;'Données projet'!$A$88,$BA$205^A76,IF(A76='Données projet'!$A$88,'Données projet'!$B$88,BD75+BC76-BL75)))</f>
        <v>240.2000000000001</v>
      </c>
      <c r="BE76" s="14">
        <f>BD76*VLOOKUP('Données projet'!$B$11,Paramètres!$A$1:$I$89,3,0)*VLOOKUP('Données projet'!$B$11,Paramètres!$A$1:$I$89,5,0)</f>
        <v>217.3329600000001</v>
      </c>
      <c r="BF76" s="14">
        <f t="shared" si="91"/>
        <v>53.53480691026855</v>
      </c>
      <c r="BG76" s="22">
        <f t="shared" si="61"/>
        <v>471.76136070205121</v>
      </c>
      <c r="BH76" s="62">
        <f t="shared" si="62"/>
        <v>765.09469403538446</v>
      </c>
      <c r="BI76" s="62">
        <f ca="1">AVERAGE(OFFSET($BH$3,0,0,'Données projet'!$E$11+1,1))-AVERAGE(OFFSET($H$3,0,0,'Données projet'!$E$11+1,1))</f>
        <v>278.41778972502732</v>
      </c>
      <c r="BJ76" s="62">
        <f t="shared" si="92"/>
        <v>157.75772798974242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0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41.365999999999978</v>
      </c>
      <c r="D77" s="12">
        <f t="shared" si="86"/>
        <v>12.359994738310659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414.72697692731026</v>
      </c>
      <c r="H77" s="70">
        <f t="shared" si="56"/>
        <v>386.90610750255769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17</v>
      </c>
      <c r="N77" s="14">
        <f>IF('Données projet'!$A$36&gt;35,N76+M77-V76,IF(A77&lt;'Données projet'!$A$36,$K$205^A77,IF(A77='Données projet'!$A$36,'Données projet'!$B$36,N76+M77-V76)))</f>
        <v>519.99999999999989</v>
      </c>
      <c r="O77" s="14">
        <f>N77*VLOOKUP('Données projet'!$B$9,Paramètres!$A$1:$I$89,3,0)*VLOOKUP('Données projet'!$B$9,Paramètres!$A$1:$I$89,5,0)</f>
        <v>243.35999999999996</v>
      </c>
      <c r="P77" s="14">
        <f t="shared" si="87"/>
        <v>59.161864860837127</v>
      </c>
      <c r="Q77" s="22">
        <f t="shared" si="54"/>
        <v>526.89224796595784</v>
      </c>
      <c r="R77" s="62">
        <f t="shared" si="55"/>
        <v>820.22558129929121</v>
      </c>
      <c r="S77" s="62">
        <f ca="1">AVERAGE(OFFSET($R$3,0,0,'Données projet'!$E$9+1,1))-AVERAGE(OFFSET($H$3,0,0,'Données projet'!$E$9+1,1))</f>
        <v>302.30714066618623</v>
      </c>
      <c r="T77" s="62">
        <f t="shared" si="88"/>
        <v>218.81984836501334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-1.7053025658242404E-13</v>
      </c>
      <c r="AJ77" s="14">
        <f>AI77*VLOOKUP('Données projet'!$B$10,Paramètres!$A$1:$I$89,3,0)*VLOOKUP('Données projet'!$B$10,Paramètres!$A$1:$I$89,5,0)</f>
        <v>-1.0197709343628959E-13</v>
      </c>
      <c r="AK77" s="14" t="e">
        <f t="shared" si="89"/>
        <v>#NUM!</v>
      </c>
      <c r="AL77" s="22" t="e">
        <f t="shared" si="58"/>
        <v>#NUM!</v>
      </c>
      <c r="AM77" s="62" t="e">
        <f t="shared" si="59"/>
        <v>#NUM!</v>
      </c>
      <c r="AN77" s="62">
        <f ca="1">AVERAGE(OFFSET($AM$3,0,0,'Données projet'!$E$10+1,1))-AVERAGE(OFFSET($H$3,0,0,'Données projet'!$E$10+1,1))</f>
        <v>150.05970318721711</v>
      </c>
      <c r="AO77" s="62">
        <f t="shared" si="90"/>
        <v>230.8269864623847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65.00646283774401</v>
      </c>
      <c r="AV77" s="23">
        <f>EXP(-LN(2)/25)*AV76+(1-EXP(-LN(2)/25))/(LN(2)/25)*Calculateur!AQ77*Calculateur!AS77*VLOOKUP('Données projet'!$B$10,Paramètres!$A$1:$I$89,3,0)*0.475*44/12</f>
        <v>1.4802498179579948</v>
      </c>
      <c r="AW77" s="23">
        <f>EXP(-LN(2)/2)*AW76+(1-EXP(-LN(2)/2))/(LN(2)/2)*AQ77*AT77*VLOOKUP('Données projet'!$B$10,Paramètres!$A$1:$I$89,3,0)*0.475*44/12</f>
        <v>9.7734300704477341E-3</v>
      </c>
      <c r="AX77" s="23">
        <f t="shared" si="60"/>
        <v>66.49648608577246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6.4</v>
      </c>
      <c r="BD77" s="13">
        <f>IF('Données projet'!$A$88&gt;35,BD76+BC77-BL76,IF(A77&lt;'Données projet'!$A$88,$BA$205^A77,IF(A77='Données projet'!$A$88,'Données projet'!$B$88,BD76+BC77-BL76)))</f>
        <v>246.60000000000011</v>
      </c>
      <c r="BE77" s="14">
        <f>BD77*VLOOKUP('Données projet'!$B$11,Paramètres!$A$1:$I$89,3,0)*VLOOKUP('Données projet'!$B$11,Paramètres!$A$1:$I$89,5,0)</f>
        <v>223.12368000000009</v>
      </c>
      <c r="BF77" s="14">
        <f t="shared" si="91"/>
        <v>54.793244051140647</v>
      </c>
      <c r="BG77" s="22">
        <f t="shared" si="61"/>
        <v>484.03864272240349</v>
      </c>
      <c r="BH77" s="62">
        <f t="shared" si="62"/>
        <v>777.37197605573681</v>
      </c>
      <c r="BI77" s="62">
        <f ca="1">AVERAGE(OFFSET($BH$3,0,0,'Données projet'!$E$11+1,1))-AVERAGE(OFFSET($H$3,0,0,'Données projet'!$E$11+1,1))</f>
        <v>278.41778972502732</v>
      </c>
      <c r="BJ77" s="62">
        <f t="shared" si="92"/>
        <v>157.75772798974242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0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41.924999999999976</v>
      </c>
      <c r="D78" s="12">
        <f t="shared" si="86"/>
        <v>12.507464262517514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420.18042588609995</v>
      </c>
      <c r="H78" s="70">
        <f t="shared" si="56"/>
        <v>388.13654192388464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17</v>
      </c>
      <c r="N78" s="14">
        <f>IF('Données projet'!$A$36&gt;35,N77+M78-V77,IF(A78&lt;'Données projet'!$A$36,$K$205^A78,IF(A78='Données projet'!$A$36,'Données projet'!$B$36,N77+M78-V77)))</f>
        <v>536.99999999999989</v>
      </c>
      <c r="O78" s="14">
        <f>N78*VLOOKUP('Données projet'!$B$9,Paramètres!$A$1:$I$89,3,0)*VLOOKUP('Données projet'!$B$9,Paramètres!$A$1:$I$89,5,0)</f>
        <v>251.31599999999997</v>
      </c>
      <c r="P78" s="14">
        <f t="shared" si="87"/>
        <v>60.86765628024984</v>
      </c>
      <c r="Q78" s="22">
        <f t="shared" si="54"/>
        <v>543.71986802143499</v>
      </c>
      <c r="R78" s="62">
        <f t="shared" si="55"/>
        <v>837.05320135476836</v>
      </c>
      <c r="S78" s="62">
        <f ca="1">AVERAGE(OFFSET($R$3,0,0,'Données projet'!$E$9+1,1))-AVERAGE(OFFSET($H$3,0,0,'Données projet'!$E$9+1,1))</f>
        <v>302.30714066618623</v>
      </c>
      <c r="T78" s="62">
        <f t="shared" si="88"/>
        <v>218.81984836501334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-1.7053025658242404E-13</v>
      </c>
      <c r="AJ78" s="14">
        <f>AI78*VLOOKUP('Données projet'!$B$10,Paramètres!$A$1:$I$89,3,0)*VLOOKUP('Données projet'!$B$10,Paramètres!$A$1:$I$89,5,0)</f>
        <v>-1.0197709343628959E-13</v>
      </c>
      <c r="AK78" s="14" t="e">
        <f t="shared" si="89"/>
        <v>#NUM!</v>
      </c>
      <c r="AL78" s="22" t="e">
        <f t="shared" si="58"/>
        <v>#NUM!</v>
      </c>
      <c r="AM78" s="62" t="e">
        <f t="shared" si="59"/>
        <v>#NUM!</v>
      </c>
      <c r="AN78" s="62">
        <f ca="1">AVERAGE(OFFSET($AM$3,0,0,'Données projet'!$E$10+1,1))-AVERAGE(OFFSET($H$3,0,0,'Données projet'!$E$10+1,1))</f>
        <v>150.05970318721711</v>
      </c>
      <c r="AO78" s="62">
        <f t="shared" si="90"/>
        <v>230.8269864623847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63.731725751523065</v>
      </c>
      <c r="AV78" s="23">
        <f>EXP(-LN(2)/25)*AV77+(1-EXP(-LN(2)/25))/(LN(2)/25)*Calculateur!AQ78*Calculateur!AS78*VLOOKUP('Données projet'!$B$10,Paramètres!$A$1:$I$89,3,0)*0.475*44/12</f>
        <v>1.4397723088429786</v>
      </c>
      <c r="AW78" s="23">
        <f>EXP(-LN(2)/2)*AW77+(1-EXP(-LN(2)/2))/(LN(2)/2)*AQ78*AT78*VLOOKUP('Données projet'!$B$10,Paramètres!$A$1:$I$89,3,0)*0.475*44/12</f>
        <v>6.9108586782661097E-3</v>
      </c>
      <c r="AX78" s="23">
        <f t="shared" si="60"/>
        <v>65.178408919044315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253</v>
      </c>
      <c r="BB78" s="13">
        <f>VLOOKUP(A78,'Données projet'!$A$87:$I$107,9,0)</f>
        <v>6.4</v>
      </c>
      <c r="BC78" s="13">
        <f t="array" ref="BC78">INDEX(BB:BB,MIN(IF(ISNUMBER(BB78:BB274),ROW(BB78:BB274),"")))</f>
        <v>6.4</v>
      </c>
      <c r="BD78" s="13">
        <f>IF('Données projet'!$A$88&gt;35,BD77+BC78-BL77,IF(A78&lt;'Données projet'!$A$88,$BA$205^A78,IF(A78='Données projet'!$A$88,'Données projet'!$B$88,BD77+BC78-BL77)))</f>
        <v>253.00000000000011</v>
      </c>
      <c r="BE78" s="14">
        <f>BD78*VLOOKUP('Données projet'!$B$11,Paramètres!$A$1:$I$89,3,0)*VLOOKUP('Données projet'!$B$11,Paramètres!$A$1:$I$89,5,0)</f>
        <v>228.91440000000011</v>
      </c>
      <c r="BF78" s="14">
        <f t="shared" si="91"/>
        <v>56.047884834417474</v>
      </c>
      <c r="BG78" s="22">
        <f t="shared" si="61"/>
        <v>496.30931275327725</v>
      </c>
      <c r="BH78" s="62">
        <f t="shared" si="62"/>
        <v>789.64264608661051</v>
      </c>
      <c r="BI78" s="62">
        <f ca="1">AVERAGE(OFFSET($BH$3,0,0,'Données projet'!$E$11+1,1))-AVERAGE(OFFSET($H$3,0,0,'Données projet'!$E$11+1,1))</f>
        <v>278.41778972502732</v>
      </c>
      <c r="BJ78" s="62">
        <f t="shared" si="92"/>
        <v>157.75772798974242</v>
      </c>
      <c r="BK78" s="16">
        <f>IF(ISNA(VLOOKUP(A78,'Données projet'!$A$87:$I$107,3,0)),0,VLOOKUP(A78,'Données projet'!$A$87:$I$107,3,0))</f>
        <v>11</v>
      </c>
      <c r="BL78" s="16">
        <f>IF(ISNA(VLOOKUP(A78,'Données projet'!$A$87:$I$107,4,0)),0,VLOOKUP(A78,'Données projet'!$A$87:$I$107,4,0))</f>
        <v>21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0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42.483999999999973</v>
      </c>
      <c r="D79" s="12">
        <f t="shared" si="86"/>
        <v>12.654705084370672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425.63210942321194</v>
      </c>
      <c r="H79" s="70">
        <f t="shared" si="56"/>
        <v>389.36657802194554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17</v>
      </c>
      <c r="N79" s="14">
        <f>IF('Données projet'!$A$36&gt;35,N78+M79-V78,IF(A79&lt;'Données projet'!$A$36,$K$205^A79,IF(A79='Données projet'!$A$36,'Données projet'!$B$36,N78+M79-V78)))</f>
        <v>553.99999999999989</v>
      </c>
      <c r="O79" s="14">
        <f>N79*VLOOKUP('Données projet'!$B$9,Paramètres!$A$1:$I$89,3,0)*VLOOKUP('Données projet'!$B$9,Paramètres!$A$1:$I$89,5,0)</f>
        <v>259.27199999999993</v>
      </c>
      <c r="P79" s="14">
        <f t="shared" si="87"/>
        <v>62.567172460757938</v>
      </c>
      <c r="Q79" s="22">
        <f t="shared" si="54"/>
        <v>560.53655870248667</v>
      </c>
      <c r="R79" s="62">
        <f t="shared" si="55"/>
        <v>853.86989203581993</v>
      </c>
      <c r="S79" s="62">
        <f ca="1">AVERAGE(OFFSET($R$3,0,0,'Données projet'!$E$9+1,1))-AVERAGE(OFFSET($H$3,0,0,'Données projet'!$E$9+1,1))</f>
        <v>302.30714066618623</v>
      </c>
      <c r="T79" s="62">
        <f t="shared" si="88"/>
        <v>218.81984836501334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-1.7053025658242404E-13</v>
      </c>
      <c r="AJ79" s="14">
        <f>AI79*VLOOKUP('Données projet'!$B$10,Paramètres!$A$1:$I$89,3,0)*VLOOKUP('Données projet'!$B$10,Paramètres!$A$1:$I$89,5,0)</f>
        <v>-1.0197709343628959E-13</v>
      </c>
      <c r="AK79" s="14" t="e">
        <f t="shared" si="89"/>
        <v>#NUM!</v>
      </c>
      <c r="AL79" s="22" t="e">
        <f t="shared" si="58"/>
        <v>#NUM!</v>
      </c>
      <c r="AM79" s="62" t="e">
        <f t="shared" si="59"/>
        <v>#NUM!</v>
      </c>
      <c r="AN79" s="62">
        <f ca="1">AVERAGE(OFFSET($AM$3,0,0,'Données projet'!$E$10+1,1))-AVERAGE(OFFSET($H$3,0,0,'Données projet'!$E$10+1,1))</f>
        <v>150.05970318721711</v>
      </c>
      <c r="AO79" s="62">
        <f t="shared" si="90"/>
        <v>230.8269864623847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62.481985482050064</v>
      </c>
      <c r="AV79" s="23">
        <f>EXP(-LN(2)/25)*AV78+(1-EXP(-LN(2)/25))/(LN(2)/25)*Calculateur!AQ79*Calculateur!AS79*VLOOKUP('Données projet'!$B$10,Paramètres!$A$1:$I$89,3,0)*0.475*44/12</f>
        <v>1.4004016593433322</v>
      </c>
      <c r="AW79" s="23">
        <f>EXP(-LN(2)/2)*AW78+(1-EXP(-LN(2)/2))/(LN(2)/2)*AQ79*AT79*VLOOKUP('Données projet'!$B$10,Paramètres!$A$1:$I$89,3,0)*0.475*44/12</f>
        <v>4.886715035223867E-3</v>
      </c>
      <c r="AX79" s="23">
        <f t="shared" si="60"/>
        <v>63.887273856428621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10.199999999999999</v>
      </c>
      <c r="BD79" s="13">
        <f>IF('Données projet'!$A$88&gt;35,BD78+BC79-BL78,IF(A79&lt;'Données projet'!$A$88,$BA$205^A79,IF(A79='Données projet'!$A$88,'Données projet'!$B$88,BD78+BC79-BL78)))</f>
        <v>242.2000000000001</v>
      </c>
      <c r="BE79" s="14">
        <f>BD79*VLOOKUP('Données projet'!$B$11,Paramètres!$A$1:$I$89,3,0)*VLOOKUP('Données projet'!$B$11,Paramètres!$A$1:$I$89,5,0)</f>
        <v>219.14256000000009</v>
      </c>
      <c r="BF79" s="14">
        <f t="shared" si="91"/>
        <v>53.928483039139756</v>
      </c>
      <c r="BG79" s="22">
        <f t="shared" si="61"/>
        <v>475.59873329316855</v>
      </c>
      <c r="BH79" s="62">
        <f t="shared" si="62"/>
        <v>768.93206662650186</v>
      </c>
      <c r="BI79" s="62">
        <f ca="1">AVERAGE(OFFSET($BH$3,0,0,'Données projet'!$E$11+1,1))-AVERAGE(OFFSET($H$3,0,0,'Données projet'!$E$11+1,1))</f>
        <v>278.41778972502732</v>
      </c>
      <c r="BJ79" s="62">
        <f t="shared" si="92"/>
        <v>157.75772798974242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0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43.042999999999971</v>
      </c>
      <c r="D80" s="12">
        <f t="shared" si="86"/>
        <v>12.80172056101086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431.08205345341702</v>
      </c>
      <c r="H80" s="70">
        <f t="shared" si="56"/>
        <v>390.59622164376049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17</v>
      </c>
      <c r="N80" s="14">
        <f>IF('Données projet'!$A$36&gt;35,N79+M80-V79,IF(A80&lt;'Données projet'!$A$36,$K$205^A80,IF(A80='Données projet'!$A$36,'Données projet'!$B$36,N79+M80-V79)))</f>
        <v>570.99999999999989</v>
      </c>
      <c r="O80" s="14">
        <f>N80*VLOOKUP('Données projet'!$B$9,Paramètres!$A$1:$I$89,3,0)*VLOOKUP('Données projet'!$B$9,Paramètres!$A$1:$I$89,5,0)</f>
        <v>267.22799999999995</v>
      </c>
      <c r="P80" s="14">
        <f t="shared" si="87"/>
        <v>64.260628062866161</v>
      </c>
      <c r="Q80" s="22">
        <f t="shared" si="54"/>
        <v>577.34269387615848</v>
      </c>
      <c r="R80" s="62">
        <f t="shared" si="55"/>
        <v>870.67602720949185</v>
      </c>
      <c r="S80" s="62">
        <f ca="1">AVERAGE(OFFSET($R$3,0,0,'Données projet'!$E$9+1,1))-AVERAGE(OFFSET($H$3,0,0,'Données projet'!$E$9+1,1))</f>
        <v>302.30714066618623</v>
      </c>
      <c r="T80" s="62">
        <f t="shared" si="88"/>
        <v>218.81984836501334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-1.7053025658242404E-13</v>
      </c>
      <c r="AJ80" s="14">
        <f>AI80*VLOOKUP('Données projet'!$B$10,Paramètres!$A$1:$I$89,3,0)*VLOOKUP('Données projet'!$B$10,Paramètres!$A$1:$I$89,5,0)</f>
        <v>-1.0197709343628959E-13</v>
      </c>
      <c r="AK80" s="14" t="e">
        <f t="shared" si="89"/>
        <v>#NUM!</v>
      </c>
      <c r="AL80" s="22" t="e">
        <f t="shared" si="58"/>
        <v>#NUM!</v>
      </c>
      <c r="AM80" s="62" t="e">
        <f t="shared" si="59"/>
        <v>#NUM!</v>
      </c>
      <c r="AN80" s="62">
        <f ca="1">AVERAGE(OFFSET($AM$3,0,0,'Données projet'!$E$10+1,1))-AVERAGE(OFFSET($H$3,0,0,'Données projet'!$E$10+1,1))</f>
        <v>150.05970318721711</v>
      </c>
      <c r="AO80" s="62">
        <f t="shared" si="90"/>
        <v>230.8269864623847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61.25675185699513</v>
      </c>
      <c r="AV80" s="23">
        <f>EXP(-LN(2)/25)*AV79+(1-EXP(-LN(2)/25))/(LN(2)/25)*Calculateur!AQ80*Calculateur!AS80*VLOOKUP('Données projet'!$B$10,Paramètres!$A$1:$I$89,3,0)*0.475*44/12</f>
        <v>1.3621076023246661</v>
      </c>
      <c r="AW80" s="23">
        <f>EXP(-LN(2)/2)*AW79+(1-EXP(-LN(2)/2))/(LN(2)/2)*AQ80*AT80*VLOOKUP('Données projet'!$B$10,Paramètres!$A$1:$I$89,3,0)*0.475*44/12</f>
        <v>3.4554293391330549E-3</v>
      </c>
      <c r="AX80" s="23">
        <f t="shared" si="60"/>
        <v>62.622314888658927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10.199999999999999</v>
      </c>
      <c r="BD80" s="13">
        <f>IF('Données projet'!$A$88&gt;35,BD79+BC80-BL79,IF(A80&lt;'Données projet'!$A$88,$BA$205^A80,IF(A80='Données projet'!$A$88,'Données projet'!$B$88,BD79+BC80-BL79)))</f>
        <v>252.40000000000009</v>
      </c>
      <c r="BE80" s="14">
        <f>BD80*VLOOKUP('Données projet'!$B$11,Paramètres!$A$1:$I$89,3,0)*VLOOKUP('Données projet'!$B$11,Paramètres!$A$1:$I$89,5,0)</f>
        <v>228.37152000000009</v>
      </c>
      <c r="BF80" s="14">
        <f t="shared" si="91"/>
        <v>55.930420599111578</v>
      </c>
      <c r="BG80" s="22">
        <f t="shared" si="61"/>
        <v>495.1592132101195</v>
      </c>
      <c r="BH80" s="62">
        <f t="shared" si="62"/>
        <v>788.49254654345282</v>
      </c>
      <c r="BI80" s="62">
        <f ca="1">AVERAGE(OFFSET($BH$3,0,0,'Données projet'!$E$11+1,1))-AVERAGE(OFFSET($H$3,0,0,'Données projet'!$E$11+1,1))</f>
        <v>278.41778972502732</v>
      </c>
      <c r="BJ80" s="62">
        <f t="shared" si="92"/>
        <v>157.75772798974242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0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43.601999999999968</v>
      </c>
      <c r="D81" s="12">
        <f t="shared" si="86"/>
        <v>12.948513957367386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436.53028317967784</v>
      </c>
      <c r="H81" s="70">
        <f t="shared" si="56"/>
        <v>391.82547847574813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17</v>
      </c>
      <c r="N81" s="14">
        <f>IF('Données projet'!$A$36&gt;35,N80+M81-V80,IF(A81&lt;'Données projet'!$A$36,$K$205^A81,IF(A81='Données projet'!$A$36,'Données projet'!$B$36,N80+M81-V80)))</f>
        <v>587.99999999999989</v>
      </c>
      <c r="O81" s="14">
        <f>N81*VLOOKUP('Données projet'!$B$9,Paramètres!$A$1:$I$89,3,0)*VLOOKUP('Données projet'!$B$9,Paramètres!$A$1:$I$89,5,0)</f>
        <v>275.18399999999997</v>
      </c>
      <c r="P81" s="14">
        <f t="shared" si="87"/>
        <v>65.948224238651079</v>
      </c>
      <c r="Q81" s="22">
        <f t="shared" si="54"/>
        <v>594.13862388231712</v>
      </c>
      <c r="R81" s="62">
        <f t="shared" si="55"/>
        <v>887.47195721565049</v>
      </c>
      <c r="S81" s="62">
        <f ca="1">AVERAGE(OFFSET($R$3,0,0,'Données projet'!$E$9+1,1))-AVERAGE(OFFSET($H$3,0,0,'Données projet'!$E$9+1,1))</f>
        <v>302.30714066618623</v>
      </c>
      <c r="T81" s="62">
        <f t="shared" si="88"/>
        <v>218.81984836501334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-1.7053025658242404E-13</v>
      </c>
      <c r="AJ81" s="14">
        <f>AI81*VLOOKUP('Données projet'!$B$10,Paramètres!$A$1:$I$89,3,0)*VLOOKUP('Données projet'!$B$10,Paramètres!$A$1:$I$89,5,0)</f>
        <v>-1.0197709343628959E-13</v>
      </c>
      <c r="AK81" s="14" t="e">
        <f t="shared" si="89"/>
        <v>#NUM!</v>
      </c>
      <c r="AL81" s="22" t="e">
        <f t="shared" si="58"/>
        <v>#NUM!</v>
      </c>
      <c r="AM81" s="62" t="e">
        <f t="shared" si="59"/>
        <v>#NUM!</v>
      </c>
      <c r="AN81" s="62">
        <f ca="1">AVERAGE(OFFSET($AM$3,0,0,'Données projet'!$E$10+1,1))-AVERAGE(OFFSET($H$3,0,0,'Données projet'!$E$10+1,1))</f>
        <v>150.05970318721711</v>
      </c>
      <c r="AO81" s="62">
        <f t="shared" si="90"/>
        <v>230.8269864623847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60.055544316008806</v>
      </c>
      <c r="AV81" s="23">
        <f>EXP(-LN(2)/25)*AV80+(1-EXP(-LN(2)/25))/(LN(2)/25)*Calculateur!AQ81*Calculateur!AS81*VLOOKUP('Données projet'!$B$10,Paramètres!$A$1:$I$89,3,0)*0.475*44/12</f>
        <v>1.3248606983089724</v>
      </c>
      <c r="AW81" s="23">
        <f>EXP(-LN(2)/2)*AW80+(1-EXP(-LN(2)/2))/(LN(2)/2)*AQ81*AT81*VLOOKUP('Données projet'!$B$10,Paramètres!$A$1:$I$89,3,0)*0.475*44/12</f>
        <v>2.4433575176119335E-3</v>
      </c>
      <c r="AX81" s="23">
        <f t="shared" si="60"/>
        <v>61.382848371835394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10.199999999999999</v>
      </c>
      <c r="BD81" s="13">
        <f>IF('Données projet'!$A$88&gt;35,BD80+BC81-BL80,IF(A81&lt;'Données projet'!$A$88,$BA$205^A81,IF(A81='Données projet'!$A$88,'Données projet'!$B$88,BD80+BC81-BL80)))</f>
        <v>262.60000000000008</v>
      </c>
      <c r="BE81" s="14">
        <f>BD81*VLOOKUP('Données projet'!$B$11,Paramètres!$A$1:$I$89,3,0)*VLOOKUP('Données projet'!$B$11,Paramètres!$A$1:$I$89,5,0)</f>
        <v>237.60048000000009</v>
      </c>
      <c r="BF81" s="14">
        <f t="shared" si="91"/>
        <v>57.922960533442108</v>
      </c>
      <c r="BG81" s="22">
        <f t="shared" si="61"/>
        <v>514.70332559574524</v>
      </c>
      <c r="BH81" s="62">
        <f t="shared" si="62"/>
        <v>808.03665892907861</v>
      </c>
      <c r="BI81" s="62">
        <f ca="1">AVERAGE(OFFSET($BH$3,0,0,'Données projet'!$E$11+1,1))-AVERAGE(OFFSET($H$3,0,0,'Données projet'!$E$11+1,1))</f>
        <v>278.41778972502732</v>
      </c>
      <c r="BJ81" s="62">
        <f t="shared" si="92"/>
        <v>157.75772798974242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0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44.160999999999966</v>
      </c>
      <c r="D82" s="12">
        <f t="shared" si="86"/>
        <v>13.095088449839977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441.9768231215715</v>
      </c>
      <c r="H82" s="70">
        <f t="shared" si="56"/>
        <v>393.05435405013787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17</v>
      </c>
      <c r="N82" s="14">
        <f>IF('Données projet'!$A$36&gt;35,N81+M82-V81,IF(A82&lt;'Données projet'!$A$36,$K$205^A82,IF(A82='Données projet'!$A$36,'Données projet'!$B$36,N81+M82-V81)))</f>
        <v>604.99999999999989</v>
      </c>
      <c r="O82" s="14">
        <f>N82*VLOOKUP('Données projet'!$B$9,Paramètres!$A$1:$I$89,3,0)*VLOOKUP('Données projet'!$B$9,Paramètres!$A$1:$I$89,5,0)</f>
        <v>283.13999999999993</v>
      </c>
      <c r="P82" s="14">
        <f t="shared" si="87"/>
        <v>67.630149847511944</v>
      </c>
      <c r="Q82" s="22">
        <f t="shared" si="54"/>
        <v>610.92467765108313</v>
      </c>
      <c r="R82" s="62">
        <f t="shared" si="55"/>
        <v>904.25801098441639</v>
      </c>
      <c r="S82" s="62">
        <f ca="1">AVERAGE(OFFSET($R$3,0,0,'Données projet'!$E$9+1,1))-AVERAGE(OFFSET($H$3,0,0,'Données projet'!$E$9+1,1))</f>
        <v>302.30714066618623</v>
      </c>
      <c r="T82" s="62">
        <f t="shared" si="88"/>
        <v>218.81984836501334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-1.7053025658242404E-13</v>
      </c>
      <c r="AJ82" s="14">
        <f>AI82*VLOOKUP('Données projet'!$B$10,Paramètres!$A$1:$I$89,3,0)*VLOOKUP('Données projet'!$B$10,Paramètres!$A$1:$I$89,5,0)</f>
        <v>-1.0197709343628959E-13</v>
      </c>
      <c r="AK82" s="14" t="e">
        <f t="shared" si="89"/>
        <v>#NUM!</v>
      </c>
      <c r="AL82" s="22" t="e">
        <f t="shared" si="58"/>
        <v>#NUM!</v>
      </c>
      <c r="AM82" s="62" t="e">
        <f t="shared" si="59"/>
        <v>#NUM!</v>
      </c>
      <c r="AN82" s="62">
        <f ca="1">AVERAGE(OFFSET($AM$3,0,0,'Données projet'!$E$10+1,1))-AVERAGE(OFFSET($H$3,0,0,'Données projet'!$E$10+1,1))</f>
        <v>150.05970318721711</v>
      </c>
      <c r="AO82" s="62">
        <f t="shared" si="90"/>
        <v>230.8269864623847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58.877891722236967</v>
      </c>
      <c r="AV82" s="23">
        <f>EXP(-LN(2)/25)*AV81+(1-EXP(-LN(2)/25))/(LN(2)/25)*Calculateur!AQ82*Calculateur!AS82*VLOOKUP('Données projet'!$B$10,Paramètres!$A$1:$I$89,3,0)*0.475*44/12</f>
        <v>1.2886323128423174</v>
      </c>
      <c r="AW82" s="23">
        <f>EXP(-LN(2)/2)*AW81+(1-EXP(-LN(2)/2))/(LN(2)/2)*AQ82*AT82*VLOOKUP('Données projet'!$B$10,Paramètres!$A$1:$I$89,3,0)*0.475*44/12</f>
        <v>1.7277146695665274E-3</v>
      </c>
      <c r="AX82" s="23">
        <f t="shared" si="60"/>
        <v>60.168251749748848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10.199999999999999</v>
      </c>
      <c r="BD82" s="13">
        <f>IF('Données projet'!$A$88&gt;35,BD81+BC82-BL81,IF(A82&lt;'Données projet'!$A$88,$BA$205^A82,IF(A82='Données projet'!$A$88,'Données projet'!$B$88,BD81+BC82-BL81)))</f>
        <v>272.80000000000007</v>
      </c>
      <c r="BE82" s="14">
        <f>BD82*VLOOKUP('Données projet'!$B$11,Paramètres!$A$1:$I$89,3,0)*VLOOKUP('Données projet'!$B$11,Paramètres!$A$1:$I$89,5,0)</f>
        <v>246.82944000000003</v>
      </c>
      <c r="BF82" s="14">
        <f t="shared" si="91"/>
        <v>59.906509645447485</v>
      </c>
      <c r="BG82" s="22">
        <f t="shared" si="61"/>
        <v>534.23177896582104</v>
      </c>
      <c r="BH82" s="62">
        <f t="shared" si="62"/>
        <v>827.56511229915441</v>
      </c>
      <c r="BI82" s="62">
        <f ca="1">AVERAGE(OFFSET($BH$3,0,0,'Données projet'!$E$11+1,1))-AVERAGE(OFFSET($H$3,0,0,'Données projet'!$E$11+1,1))</f>
        <v>278.41778972502732</v>
      </c>
      <c r="BJ82" s="62">
        <f t="shared" si="92"/>
        <v>157.75772798974242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0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44.719999999999963</v>
      </c>
      <c r="D83" s="12">
        <f t="shared" si="86"/>
        <v>13.24144712978892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447.42169714222996</v>
      </c>
      <c r="H83" s="70">
        <f t="shared" si="56"/>
        <v>394.28285375104895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622</v>
      </c>
      <c r="L83" s="13">
        <f>VLOOKUP(A83,'Données projet'!$A$35:$I$55,9,0)</f>
        <v>17</v>
      </c>
      <c r="M83" s="13">
        <f t="array" ref="M83">INDEX(L:L,MIN(IF(ISNUMBER(L83:L279),ROW(L83:L279),"")))</f>
        <v>17</v>
      </c>
      <c r="N83" s="14">
        <f>IF('Données projet'!$A$36&gt;35,N82+M83-V82,IF(A83&lt;'Données projet'!$A$36,$K$205^A83,IF(A83='Données projet'!$A$36,'Données projet'!$B$36,N82+M83-V82)))</f>
        <v>621.99999999999989</v>
      </c>
      <c r="O83" s="14">
        <f>N83*VLOOKUP('Données projet'!$B$9,Paramètres!$A$1:$I$89,3,0)*VLOOKUP('Données projet'!$B$9,Paramètres!$A$1:$I$89,5,0)</f>
        <v>291.09599999999995</v>
      </c>
      <c r="P83" s="14">
        <f t="shared" si="87"/>
        <v>69.306582531434373</v>
      </c>
      <c r="Q83" s="22">
        <f t="shared" si="54"/>
        <v>627.7011645755814</v>
      </c>
      <c r="R83" s="62">
        <f t="shared" si="55"/>
        <v>921.03449790891477</v>
      </c>
      <c r="S83" s="62">
        <f ca="1">AVERAGE(OFFSET($R$3,0,0,'Données projet'!$E$9+1,1))-AVERAGE(OFFSET($H$3,0,0,'Données projet'!$E$9+1,1))</f>
        <v>302.30714066618623</v>
      </c>
      <c r="T83" s="62">
        <f t="shared" si="88"/>
        <v>218.81984836501334</v>
      </c>
      <c r="U83" s="16">
        <f>IF(ISNA(VLOOKUP(A83,'Données projet'!$A$35:$I$55,3,0)),0,VLOOKUP(A83,'Données projet'!$A$35:$I$55,3,0))</f>
        <v>7</v>
      </c>
      <c r="V83" s="16">
        <f>IF(ISNA(VLOOKUP(A83,'Données projet'!$A$35:$I$55,4,0)),0,VLOOKUP(A83,'Données projet'!$A$35:$I$55,4,0))</f>
        <v>124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-1.7053025658242404E-13</v>
      </c>
      <c r="AJ83" s="14">
        <f>AI83*VLOOKUP('Données projet'!$B$10,Paramètres!$A$1:$I$89,3,0)*VLOOKUP('Données projet'!$B$10,Paramètres!$A$1:$I$89,5,0)</f>
        <v>-1.0197709343628959E-13</v>
      </c>
      <c r="AK83" s="14" t="e">
        <f t="shared" si="89"/>
        <v>#NUM!</v>
      </c>
      <c r="AL83" s="22" t="e">
        <f t="shared" si="58"/>
        <v>#NUM!</v>
      </c>
      <c r="AM83" s="62" t="e">
        <f t="shared" si="59"/>
        <v>#NUM!</v>
      </c>
      <c r="AN83" s="62">
        <f ca="1">AVERAGE(OFFSET($AM$3,0,0,'Données projet'!$E$10+1,1))-AVERAGE(OFFSET($H$3,0,0,'Données projet'!$E$10+1,1))</f>
        <v>150.05970318721711</v>
      </c>
      <c r="AO83" s="62">
        <f t="shared" si="90"/>
        <v>230.8269864623847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57.723332177531837</v>
      </c>
      <c r="AV83" s="23">
        <f>EXP(-LN(2)/25)*AV82+(1-EXP(-LN(2)/25))/(LN(2)/25)*Calculateur!AQ83*Calculateur!AS83*VLOOKUP('Données projet'!$B$10,Paramètres!$A$1:$I$89,3,0)*0.475*44/12</f>
        <v>1.253394594481416</v>
      </c>
      <c r="AW83" s="23">
        <f>EXP(-LN(2)/2)*AW82+(1-EXP(-LN(2)/2))/(LN(2)/2)*AQ83*AT83*VLOOKUP('Données projet'!$B$10,Paramètres!$A$1:$I$89,3,0)*0.475*44/12</f>
        <v>1.2216787588059668E-3</v>
      </c>
      <c r="AX83" s="23">
        <f t="shared" si="60"/>
        <v>58.977948450772054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283</v>
      </c>
      <c r="BB83" s="13">
        <f>VLOOKUP(A83,'Données projet'!$A$87:$I$107,9,0)</f>
        <v>10.199999999999999</v>
      </c>
      <c r="BC83" s="13">
        <f t="array" ref="BC83">INDEX(BB:BB,MIN(IF(ISNUMBER(BB83:BB279),ROW(BB83:BB279),"")))</f>
        <v>10.199999999999999</v>
      </c>
      <c r="BD83" s="13">
        <f>IF('Données projet'!$A$88&gt;35,BD82+BC83-BL82,IF(A83&lt;'Données projet'!$A$88,$BA$205^A83,IF(A83='Données projet'!$A$88,'Données projet'!$B$88,BD82+BC83-BL82)))</f>
        <v>283.00000000000006</v>
      </c>
      <c r="BE83" s="14">
        <f>BD83*VLOOKUP('Données projet'!$B$11,Paramètres!$A$1:$I$89,3,0)*VLOOKUP('Données projet'!$B$11,Paramètres!$A$1:$I$89,5,0)</f>
        <v>256.05840000000001</v>
      </c>
      <c r="BF83" s="14">
        <f t="shared" si="91"/>
        <v>61.881442594256484</v>
      </c>
      <c r="BG83" s="22">
        <f t="shared" si="61"/>
        <v>553.74522585166335</v>
      </c>
      <c r="BH83" s="62">
        <f t="shared" si="62"/>
        <v>847.07855918499672</v>
      </c>
      <c r="BI83" s="62">
        <f ca="1">AVERAGE(OFFSET($BH$3,0,0,'Données projet'!$E$11+1,1))-AVERAGE(OFFSET($H$3,0,0,'Données projet'!$E$11+1,1))</f>
        <v>278.41778972502732</v>
      </c>
      <c r="BJ83" s="62">
        <f t="shared" si="92"/>
        <v>157.75772798974242</v>
      </c>
      <c r="BK83" s="16">
        <f>IF(ISNA(VLOOKUP(A83,'Données projet'!$A$87:$I$107,3,0)),0,VLOOKUP(A83,'Données projet'!$A$87:$I$107,3,0))</f>
        <v>12</v>
      </c>
      <c r="BL83" s="23">
        <f>IF(ISNA(VLOOKUP(A83,'Données projet'!$A$87:$I$107,4,0)),0,VLOOKUP(A83,'Données projet'!$A$87:$I$107,4,0))</f>
        <v>21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0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45.278999999999961</v>
      </c>
      <c r="D84" s="12">
        <f t="shared" si="86"/>
        <v>13.387593006845686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452.86492847389621</v>
      </c>
      <c r="H84" s="70">
        <f t="shared" si="56"/>
        <v>395.51098282025612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17.5</v>
      </c>
      <c r="N84" s="14">
        <f>IF('Données projet'!$A$36&gt;35,N83+M84-V83,IF(A84&lt;'Données projet'!$A$36,$K$205^A84,IF(A84='Données projet'!$A$36,'Données projet'!$B$36,N83+M84-V83)))</f>
        <v>515.49999999999989</v>
      </c>
      <c r="O84" s="14">
        <f>N84*VLOOKUP('Données projet'!$B$9,Paramètres!$A$1:$I$89,3,0)*VLOOKUP('Données projet'!$B$9,Paramètres!$A$1:$I$89,5,0)</f>
        <v>241.25399999999996</v>
      </c>
      <c r="P84" s="14">
        <f t="shared" si="87"/>
        <v>58.70925280391986</v>
      </c>
      <c r="Q84" s="22">
        <f t="shared" si="54"/>
        <v>522.43599863349357</v>
      </c>
      <c r="R84" s="62">
        <f t="shared" si="55"/>
        <v>815.76933196682694</v>
      </c>
      <c r="S84" s="62">
        <f ca="1">AVERAGE(OFFSET($R$3,0,0,'Données projet'!$E$9+1,1))-AVERAGE(OFFSET($H$3,0,0,'Données projet'!$E$9+1,1))</f>
        <v>302.30714066618623</v>
      </c>
      <c r="T84" s="62">
        <f t="shared" si="88"/>
        <v>218.81984836501334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-1.7053025658242404E-13</v>
      </c>
      <c r="AJ84" s="14">
        <f>AI84*VLOOKUP('Données projet'!$B$10,Paramètres!$A$1:$I$89,3,0)*VLOOKUP('Données projet'!$B$10,Paramètres!$A$1:$I$89,5,0)</f>
        <v>-1.0197709343628959E-13</v>
      </c>
      <c r="AK84" s="14" t="e">
        <f t="shared" si="89"/>
        <v>#NUM!</v>
      </c>
      <c r="AL84" s="22" t="e">
        <f t="shared" si="58"/>
        <v>#NUM!</v>
      </c>
      <c r="AM84" s="62" t="e">
        <f t="shared" si="59"/>
        <v>#NUM!</v>
      </c>
      <c r="AN84" s="62">
        <f ca="1">AVERAGE(OFFSET($AM$3,0,0,'Données projet'!$E$10+1,1))-AVERAGE(OFFSET($H$3,0,0,'Données projet'!$E$10+1,1))</f>
        <v>150.05970318721711</v>
      </c>
      <c r="AO84" s="62">
        <f t="shared" si="90"/>
        <v>230.8269864623847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56.591412841286591</v>
      </c>
      <c r="AV84" s="23">
        <f>EXP(-LN(2)/25)*AV83+(1-EXP(-LN(2)/25))/(LN(2)/25)*Calculateur!AQ84*Calculateur!AS84*VLOOKUP('Données projet'!$B$10,Paramètres!$A$1:$I$89,3,0)*0.475*44/12</f>
        <v>1.2191204533821647</v>
      </c>
      <c r="AW84" s="23">
        <f>EXP(-LN(2)/2)*AW83+(1-EXP(-LN(2)/2))/(LN(2)/2)*AQ84*AT84*VLOOKUP('Données projet'!$B$10,Paramètres!$A$1:$I$89,3,0)*0.475*44/12</f>
        <v>8.6385733478326371E-4</v>
      </c>
      <c r="AX84" s="23">
        <f t="shared" si="60"/>
        <v>57.811397152003543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5.6</v>
      </c>
      <c r="BD84" s="13">
        <f>IF('Données projet'!$A$88&gt;35,BD83+BC84-BL83,IF(A84&lt;'Données projet'!$A$88,$BA$205^A84,IF(A84='Données projet'!$A$88,'Données projet'!$B$88,BD83+BC84-BL83)))</f>
        <v>267.60000000000008</v>
      </c>
      <c r="BE84" s="14">
        <f>BD84*VLOOKUP('Données projet'!$B$11,Paramètres!$A$1:$I$89,3,0)*VLOOKUP('Données projet'!$B$11,Paramètres!$A$1:$I$89,5,0)</f>
        <v>242.12448000000006</v>
      </c>
      <c r="BF84" s="14">
        <f t="shared" si="91"/>
        <v>58.896387987806008</v>
      </c>
      <c r="BG84" s="22">
        <f t="shared" si="61"/>
        <v>524.2780117454289</v>
      </c>
      <c r="BH84" s="62">
        <f t="shared" si="62"/>
        <v>817.61134507876227</v>
      </c>
      <c r="BI84" s="62">
        <f ca="1">AVERAGE(OFFSET($BH$3,0,0,'Données projet'!$E$11+1,1))-AVERAGE(OFFSET($H$3,0,0,'Données projet'!$E$11+1,1))</f>
        <v>278.41778972502732</v>
      </c>
      <c r="BJ84" s="62">
        <f t="shared" si="92"/>
        <v>157.75772798974242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0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45.837999999999958</v>
      </c>
      <c r="D85" s="12">
        <f t="shared" si="86"/>
        <v>13.533529012055453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458.30653974218217</v>
      </c>
      <c r="H85" s="70">
        <f t="shared" si="56"/>
        <v>396.73874636266316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17.5</v>
      </c>
      <c r="N85" s="14">
        <f>IF('Données projet'!$A$36&gt;35,N84+M85-V84,IF(A85&lt;'Données projet'!$A$36,$K$205^A85,IF(A85='Données projet'!$A$36,'Données projet'!$B$36,N84+M85-V84)))</f>
        <v>532.99999999999989</v>
      </c>
      <c r="O85" s="14">
        <f>N85*VLOOKUP('Données projet'!$B$9,Paramètres!$A$1:$I$89,3,0)*VLOOKUP('Données projet'!$B$9,Paramètres!$A$1:$I$89,5,0)</f>
        <v>249.44399999999993</v>
      </c>
      <c r="P85" s="14">
        <f t="shared" si="87"/>
        <v>60.466866397117599</v>
      </c>
      <c r="Q85" s="22">
        <f t="shared" si="54"/>
        <v>539.76142564164627</v>
      </c>
      <c r="R85" s="62">
        <f t="shared" si="55"/>
        <v>833.09475897497964</v>
      </c>
      <c r="S85" s="62">
        <f ca="1">AVERAGE(OFFSET($R$3,0,0,'Données projet'!$E$9+1,1))-AVERAGE(OFFSET($H$3,0,0,'Données projet'!$E$9+1,1))</f>
        <v>302.30714066618623</v>
      </c>
      <c r="T85" s="62">
        <f t="shared" si="88"/>
        <v>218.81984836501334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-1.7053025658242404E-13</v>
      </c>
      <c r="AJ85" s="14">
        <f>AI85*VLOOKUP('Données projet'!$B$10,Paramètres!$A$1:$I$89,3,0)*VLOOKUP('Données projet'!$B$10,Paramètres!$A$1:$I$89,5,0)</f>
        <v>-1.0197709343628959E-13</v>
      </c>
      <c r="AK85" s="14" t="e">
        <f t="shared" si="89"/>
        <v>#NUM!</v>
      </c>
      <c r="AL85" s="22" t="e">
        <f t="shared" si="58"/>
        <v>#NUM!</v>
      </c>
      <c r="AM85" s="62" t="e">
        <f t="shared" si="59"/>
        <v>#NUM!</v>
      </c>
      <c r="AN85" s="62">
        <f ca="1">AVERAGE(OFFSET($AM$3,0,0,'Données projet'!$E$10+1,1))-AVERAGE(OFFSET($H$3,0,0,'Données projet'!$E$10+1,1))</f>
        <v>150.05970318721711</v>
      </c>
      <c r="AO85" s="62">
        <f t="shared" si="90"/>
        <v>230.8269864623847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55.48168975282249</v>
      </c>
      <c r="AV85" s="23">
        <f>EXP(-LN(2)/25)*AV84+(1-EXP(-LN(2)/25))/(LN(2)/25)*Calculateur!AQ85*Calculateur!AS85*VLOOKUP('Données projet'!$B$10,Paramètres!$A$1:$I$89,3,0)*0.475*44/12</f>
        <v>1.1857835404736712</v>
      </c>
      <c r="AW85" s="23">
        <f>EXP(-LN(2)/2)*AW84+(1-EXP(-LN(2)/2))/(LN(2)/2)*AQ85*AT85*VLOOKUP('Données projet'!$B$10,Paramètres!$A$1:$I$89,3,0)*0.475*44/12</f>
        <v>6.1083937940298338E-4</v>
      </c>
      <c r="AX85" s="23">
        <f t="shared" si="60"/>
        <v>56.668084132675567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5.6</v>
      </c>
      <c r="BD85" s="13">
        <f>IF('Données projet'!$A$88&gt;35,BD84+BC85-BL84,IF(A85&lt;'Données projet'!$A$88,$BA$205^A85,IF(A85='Données projet'!$A$88,'Données projet'!$B$88,BD84+BC85-BL84)))</f>
        <v>273.2000000000001</v>
      </c>
      <c r="BE85" s="14">
        <f>BD85*VLOOKUP('Données projet'!$B$11,Paramètres!$A$1:$I$89,3,0)*VLOOKUP('Données projet'!$B$11,Paramètres!$A$1:$I$89,5,0)</f>
        <v>247.19136000000009</v>
      </c>
      <c r="BF85" s="14">
        <f t="shared" si="91"/>
        <v>59.984117969781614</v>
      </c>
      <c r="BG85" s="22">
        <f t="shared" si="61"/>
        <v>534.99729079736971</v>
      </c>
      <c r="BH85" s="62">
        <f t="shared" si="62"/>
        <v>828.33062413070297</v>
      </c>
      <c r="BI85" s="62">
        <f ca="1">AVERAGE(OFFSET($BH$3,0,0,'Données projet'!$E$11+1,1))-AVERAGE(OFFSET($H$3,0,0,'Données projet'!$E$11+1,1))</f>
        <v>278.41778972502732</v>
      </c>
      <c r="BJ85" s="62">
        <f t="shared" si="92"/>
        <v>157.75772798974242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0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46.396999999999956</v>
      </c>
      <c r="D86" s="12">
        <f t="shared" si="86"/>
        <v>13.679258000861923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463.7465529891092</v>
      </c>
      <c r="H86" s="70">
        <f t="shared" si="56"/>
        <v>397.96614935150109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17.5</v>
      </c>
      <c r="N86" s="14">
        <f>IF('Données projet'!$A$36&gt;35,N85+M86-V85,IF(A86&lt;'Données projet'!$A$36,$K$205^A86,IF(A86='Données projet'!$A$36,'Données projet'!$B$36,N85+M86-V85)))</f>
        <v>550.49999999999989</v>
      </c>
      <c r="O86" s="14">
        <f>N86*VLOOKUP('Données projet'!$B$9,Paramètres!$A$1:$I$89,3,0)*VLOOKUP('Données projet'!$B$9,Paramètres!$A$1:$I$89,5,0)</f>
        <v>257.63399999999996</v>
      </c>
      <c r="P86" s="14">
        <f t="shared" si="87"/>
        <v>62.217774353261795</v>
      </c>
      <c r="Q86" s="22">
        <f t="shared" si="54"/>
        <v>557.07517366526417</v>
      </c>
      <c r="R86" s="62">
        <f t="shared" si="55"/>
        <v>850.40850699859743</v>
      </c>
      <c r="S86" s="62">
        <f ca="1">AVERAGE(OFFSET($R$3,0,0,'Données projet'!$E$9+1,1))-AVERAGE(OFFSET($H$3,0,0,'Données projet'!$E$9+1,1))</f>
        <v>302.30714066618623</v>
      </c>
      <c r="T86" s="62">
        <f t="shared" si="88"/>
        <v>218.81984836501334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-1.7053025658242404E-13</v>
      </c>
      <c r="AJ86" s="14">
        <f>AI86*VLOOKUP('Données projet'!$B$10,Paramètres!$A$1:$I$89,3,0)*VLOOKUP('Données projet'!$B$10,Paramètres!$A$1:$I$89,5,0)</f>
        <v>-1.0197709343628959E-13</v>
      </c>
      <c r="AK86" s="14" t="e">
        <f t="shared" si="89"/>
        <v>#NUM!</v>
      </c>
      <c r="AL86" s="22" t="e">
        <f t="shared" si="58"/>
        <v>#NUM!</v>
      </c>
      <c r="AM86" s="62" t="e">
        <f t="shared" si="59"/>
        <v>#NUM!</v>
      </c>
      <c r="AN86" s="62">
        <f ca="1">AVERAGE(OFFSET($AM$3,0,0,'Données projet'!$E$10+1,1))-AVERAGE(OFFSET($H$3,0,0,'Données projet'!$E$10+1,1))</f>
        <v>150.05970318721711</v>
      </c>
      <c r="AO86" s="62">
        <f t="shared" si="90"/>
        <v>230.8269864623847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54.393727657258921</v>
      </c>
      <c r="AV86" s="23">
        <f>EXP(-LN(2)/25)*AV85+(1-EXP(-LN(2)/25))/(LN(2)/25)*Calculateur!AQ86*Calculateur!AS86*VLOOKUP('Données projet'!$B$10,Paramètres!$A$1:$I$89,3,0)*0.475*44/12</f>
        <v>1.1533582272017724</v>
      </c>
      <c r="AW86" s="23">
        <f>EXP(-LN(2)/2)*AW85+(1-EXP(-LN(2)/2))/(LN(2)/2)*AQ86*AT86*VLOOKUP('Données projet'!$B$10,Paramètres!$A$1:$I$89,3,0)*0.475*44/12</f>
        <v>4.3192866739163186E-4</v>
      </c>
      <c r="AX86" s="23">
        <f t="shared" si="60"/>
        <v>55.547517813128081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5.6</v>
      </c>
      <c r="BD86" s="13">
        <f>IF('Données projet'!$A$88&gt;35,BD85+BC86-BL85,IF(A86&lt;'Données projet'!$A$88,$BA$205^A86,IF(A86='Données projet'!$A$88,'Données projet'!$B$88,BD85+BC86-BL85)))</f>
        <v>278.80000000000013</v>
      </c>
      <c r="BE86" s="14">
        <f>BD86*VLOOKUP('Données projet'!$B$11,Paramètres!$A$1:$I$89,3,0)*VLOOKUP('Données projet'!$B$11,Paramètres!$A$1:$I$89,5,0)</f>
        <v>252.25824000000011</v>
      </c>
      <c r="BF86" s="14">
        <f t="shared" si="91"/>
        <v>61.069255590263836</v>
      </c>
      <c r="BG86" s="22">
        <f t="shared" si="61"/>
        <v>545.71205481970969</v>
      </c>
      <c r="BH86" s="62">
        <f t="shared" si="62"/>
        <v>839.04538815304295</v>
      </c>
      <c r="BI86" s="62">
        <f ca="1">AVERAGE(OFFSET($BH$3,0,0,'Données projet'!$E$11+1,1))-AVERAGE(OFFSET($H$3,0,0,'Données projet'!$E$11+1,1))</f>
        <v>278.41778972502732</v>
      </c>
      <c r="BJ86" s="62">
        <f t="shared" si="92"/>
        <v>157.75772798974242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0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46.955999999999953</v>
      </c>
      <c r="D87" s="12">
        <f t="shared" si="86"/>
        <v>13.824782755944199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469.18498969500752</v>
      </c>
      <c r="H87" s="70">
        <f t="shared" si="56"/>
        <v>399.19319663326939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17.5</v>
      </c>
      <c r="N87" s="14">
        <f>IF('Données projet'!$A$36&gt;35,N86+M87-V86,IF(A87&lt;'Données projet'!$A$36,$K$205^A87,IF(A87='Données projet'!$A$36,'Données projet'!$B$36,N86+M87-V86)))</f>
        <v>567.99999999999989</v>
      </c>
      <c r="O87" s="14">
        <f>N87*VLOOKUP('Données projet'!$B$9,Paramètres!$A$1:$I$89,3,0)*VLOOKUP('Données projet'!$B$9,Paramètres!$A$1:$I$89,5,0)</f>
        <v>265.82399999999996</v>
      </c>
      <c r="P87" s="14">
        <f t="shared" si="87"/>
        <v>63.962214293903529</v>
      </c>
      <c r="Q87" s="22">
        <f t="shared" si="54"/>
        <v>574.37765656188185</v>
      </c>
      <c r="R87" s="62">
        <f t="shared" si="55"/>
        <v>867.71098989521511</v>
      </c>
      <c r="S87" s="62">
        <f ca="1">AVERAGE(OFFSET($R$3,0,0,'Données projet'!$E$9+1,1))-AVERAGE(OFFSET($H$3,0,0,'Données projet'!$E$9+1,1))</f>
        <v>302.30714066618623</v>
      </c>
      <c r="T87" s="62">
        <f t="shared" si="88"/>
        <v>218.81984836501334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-1.7053025658242404E-13</v>
      </c>
      <c r="AJ87" s="14">
        <f>AI87*VLOOKUP('Données projet'!$B$10,Paramètres!$A$1:$I$89,3,0)*VLOOKUP('Données projet'!$B$10,Paramètres!$A$1:$I$89,5,0)</f>
        <v>-1.0197709343628959E-13</v>
      </c>
      <c r="AK87" s="14" t="e">
        <f t="shared" si="89"/>
        <v>#NUM!</v>
      </c>
      <c r="AL87" s="22" t="e">
        <f t="shared" si="58"/>
        <v>#NUM!</v>
      </c>
      <c r="AM87" s="62" t="e">
        <f t="shared" si="59"/>
        <v>#NUM!</v>
      </c>
      <c r="AN87" s="62">
        <f ca="1">AVERAGE(OFFSET($AM$3,0,0,'Données projet'!$E$10+1,1))-AVERAGE(OFFSET($H$3,0,0,'Données projet'!$E$10+1,1))</f>
        <v>150.05970318721711</v>
      </c>
      <c r="AO87" s="62">
        <f t="shared" si="90"/>
        <v>230.8269864623847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53.327099834797998</v>
      </c>
      <c r="AV87" s="23">
        <f>EXP(-LN(2)/25)*AV86+(1-EXP(-LN(2)/25))/(LN(2)/25)*Calculateur!AQ87*Calculateur!AS87*VLOOKUP('Données projet'!$B$10,Paramètres!$A$1:$I$89,3,0)*0.475*44/12</f>
        <v>1.1218195858264668</v>
      </c>
      <c r="AW87" s="23">
        <f>EXP(-LN(2)/2)*AW86+(1-EXP(-LN(2)/2))/(LN(2)/2)*AQ87*AT87*VLOOKUP('Données projet'!$B$10,Paramètres!$A$1:$I$89,3,0)*0.475*44/12</f>
        <v>3.0541968970149169E-4</v>
      </c>
      <c r="AX87" s="23">
        <f t="shared" si="60"/>
        <v>54.449224840314166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5.6</v>
      </c>
      <c r="BD87" s="13">
        <f>IF('Données projet'!$A$88&gt;35,BD86+BC87-BL86,IF(A87&lt;'Données projet'!$A$88,$BA$205^A87,IF(A87='Données projet'!$A$88,'Données projet'!$B$88,BD86+BC87-BL86)))</f>
        <v>284.40000000000015</v>
      </c>
      <c r="BE87" s="14">
        <f>BD87*VLOOKUP('Données projet'!$B$11,Paramètres!$A$1:$I$89,3,0)*VLOOKUP('Données projet'!$B$11,Paramètres!$A$1:$I$89,5,0)</f>
        <v>257.32512000000014</v>
      </c>
      <c r="BF87" s="14">
        <f t="shared" si="91"/>
        <v>62.151858920612703</v>
      </c>
      <c r="BG87" s="22">
        <f t="shared" si="61"/>
        <v>556.42240495340059</v>
      </c>
      <c r="BH87" s="62">
        <f t="shared" si="62"/>
        <v>849.75573828673396</v>
      </c>
      <c r="BI87" s="62">
        <f ca="1">AVERAGE(OFFSET($BH$3,0,0,'Données projet'!$E$11+1,1))-AVERAGE(OFFSET($H$3,0,0,'Données projet'!$E$11+1,1))</f>
        <v>278.41778972502732</v>
      </c>
      <c r="BJ87" s="62">
        <f t="shared" si="92"/>
        <v>157.75772798974242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0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47.514999999999951</v>
      </c>
      <c r="D88" s="12">
        <f t="shared" si="86"/>
        <v>13.970105989914776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474.62187079934182</v>
      </c>
      <c r="H88" s="70">
        <f t="shared" si="56"/>
        <v>400.41989293243478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17.5</v>
      </c>
      <c r="N88" s="14">
        <f>IF('Données projet'!$A$36&gt;35,N87+M88-V87,IF(A88&lt;'Données projet'!$A$36,$K$205^A88,IF(A88='Données projet'!$A$36,'Données projet'!$B$36,N87+M88-V87)))</f>
        <v>585.49999999999989</v>
      </c>
      <c r="O88" s="14">
        <f>N88*VLOOKUP('Données projet'!$B$9,Paramètres!$A$1:$I$89,3,0)*VLOOKUP('Données projet'!$B$9,Paramètres!$A$1:$I$89,5,0)</f>
        <v>274.01399999999995</v>
      </c>
      <c r="P88" s="14">
        <f t="shared" si="87"/>
        <v>65.700408366571935</v>
      </c>
      <c r="Q88" s="22">
        <f t="shared" si="54"/>
        <v>591.66926123844598</v>
      </c>
      <c r="R88" s="62">
        <f t="shared" si="55"/>
        <v>885.00259457177935</v>
      </c>
      <c r="S88" s="62">
        <f ca="1">AVERAGE(OFFSET($R$3,0,0,'Données projet'!$E$9+1,1))-AVERAGE(OFFSET($H$3,0,0,'Données projet'!$E$9+1,1))</f>
        <v>302.30714066618623</v>
      </c>
      <c r="T88" s="62">
        <f t="shared" si="88"/>
        <v>218.81984836501334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-1.7053025658242404E-13</v>
      </c>
      <c r="AJ88" s="14">
        <f>AI88*VLOOKUP('Données projet'!$B$10,Paramètres!$A$1:$I$89,3,0)*VLOOKUP('Données projet'!$B$10,Paramètres!$A$1:$I$89,5,0)</f>
        <v>-1.0197709343628959E-13</v>
      </c>
      <c r="AK88" s="14" t="e">
        <f t="shared" si="89"/>
        <v>#NUM!</v>
      </c>
      <c r="AL88" s="22" t="e">
        <f t="shared" si="58"/>
        <v>#NUM!</v>
      </c>
      <c r="AM88" s="62" t="e">
        <f t="shared" si="59"/>
        <v>#NUM!</v>
      </c>
      <c r="AN88" s="62">
        <f ca="1">AVERAGE(OFFSET($AM$3,0,0,'Données projet'!$E$10+1,1))-AVERAGE(OFFSET($H$3,0,0,'Données projet'!$E$10+1,1))</f>
        <v>150.05970318721711</v>
      </c>
      <c r="AO88" s="62">
        <f t="shared" si="90"/>
        <v>230.8269864623847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52.281387933356804</v>
      </c>
      <c r="AV88" s="23">
        <f>EXP(-LN(2)/25)*AV87+(1-EXP(-LN(2)/25))/(LN(2)/25)*Calculateur!AQ88*Calculateur!AS88*VLOOKUP('Données projet'!$B$10,Paramètres!$A$1:$I$89,3,0)*0.475*44/12</f>
        <v>1.0911433702581139</v>
      </c>
      <c r="AW88" s="23">
        <f>EXP(-LN(2)/2)*AW87+(1-EXP(-LN(2)/2))/(LN(2)/2)*AQ88*AT88*VLOOKUP('Données projet'!$B$10,Paramètres!$A$1:$I$89,3,0)*0.475*44/12</f>
        <v>2.1596433369581593E-4</v>
      </c>
      <c r="AX88" s="23">
        <f t="shared" si="60"/>
        <v>53.372747267948618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>
        <f>VLOOKUP(A88,'Données projet'!$A$87:$I$107,2,0)</f>
        <v>290</v>
      </c>
      <c r="BB88" s="13">
        <f>VLOOKUP(A88,'Données projet'!$A$87:$I$107,9,0)</f>
        <v>5.6</v>
      </c>
      <c r="BC88" s="13">
        <f t="array" ref="BC88">INDEX(BB:BB,MIN(IF(ISNUMBER(BB88:BB284),ROW(BB88:BB284),"")))</f>
        <v>5.6</v>
      </c>
      <c r="BD88" s="13">
        <f>IF('Données projet'!$A$88&gt;35,BD87+BC88-BL87,IF(A88&lt;'Données projet'!$A$88,$BA$205^A88,IF(A88='Données projet'!$A$88,'Données projet'!$B$88,BD87+BC88-BL87)))</f>
        <v>290.00000000000017</v>
      </c>
      <c r="BE88" s="14">
        <f>BD88*VLOOKUP('Données projet'!$B$11,Paramètres!$A$1:$I$89,3,0)*VLOOKUP('Données projet'!$B$11,Paramètres!$A$1:$I$89,5,0)</f>
        <v>262.39200000000011</v>
      </c>
      <c r="BF88" s="14">
        <f t="shared" si="91"/>
        <v>63.231983614474998</v>
      </c>
      <c r="BG88" s="22">
        <f t="shared" si="61"/>
        <v>567.12843812854408</v>
      </c>
      <c r="BH88" s="62">
        <f t="shared" si="62"/>
        <v>860.46177146187733</v>
      </c>
      <c r="BI88" s="62">
        <f ca="1">AVERAGE(OFFSET($BH$3,0,0,'Données projet'!$E$11+1,1))-AVERAGE(OFFSET($H$3,0,0,'Données projet'!$E$11+1,1))</f>
        <v>278.41778972502732</v>
      </c>
      <c r="BJ88" s="62">
        <f t="shared" si="92"/>
        <v>157.75772798974242</v>
      </c>
      <c r="BK88" s="16">
        <f>IF(ISNA(VLOOKUP(A88,'Données projet'!$A$87:$I$107,3,0)),0,VLOOKUP(A88,'Données projet'!$A$87:$I$107,3,0))</f>
        <v>13</v>
      </c>
      <c r="BL88" s="16">
        <f>IF(ISNA(VLOOKUP(A88,'Données projet'!$A$87:$I$107,4,0)),0,VLOOKUP(A88,'Données projet'!$A$87:$I$107,4,0))</f>
        <v>21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0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48.073999999999948</v>
      </c>
      <c r="D89" s="12">
        <f t="shared" si="86"/>
        <v>14.115230347886868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480.05721672052988</v>
      </c>
      <c r="H89" s="70">
        <f t="shared" si="56"/>
        <v>401.64624285590287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17.5</v>
      </c>
      <c r="N89" s="14">
        <f>IF('Données projet'!$A$36&gt;35,N88+M89-V88,IF(A89&lt;'Données projet'!$A$36,$K$205^A89,IF(A89='Données projet'!$A$36,'Données projet'!$B$36,N88+M89-V88)))</f>
        <v>602.99999999999989</v>
      </c>
      <c r="O89" s="14">
        <f>N89*VLOOKUP('Données projet'!$B$9,Paramètres!$A$1:$I$89,3,0)*VLOOKUP('Données projet'!$B$9,Paramètres!$A$1:$I$89,5,0)</f>
        <v>282.20399999999995</v>
      </c>
      <c r="P89" s="14">
        <f t="shared" si="87"/>
        <v>67.432564684485186</v>
      </c>
      <c r="Q89" s="22">
        <f t="shared" si="54"/>
        <v>608.9503501588116</v>
      </c>
      <c r="R89" s="62">
        <f t="shared" si="55"/>
        <v>902.28368349214497</v>
      </c>
      <c r="S89" s="62">
        <f ca="1">AVERAGE(OFFSET($R$3,0,0,'Données projet'!$E$9+1,1))-AVERAGE(OFFSET($H$3,0,0,'Données projet'!$E$9+1,1))</f>
        <v>302.30714066618623</v>
      </c>
      <c r="T89" s="62">
        <f t="shared" si="88"/>
        <v>218.81984836501334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-1.7053025658242404E-13</v>
      </c>
      <c r="AJ89" s="14">
        <f>AI89*VLOOKUP('Données projet'!$B$10,Paramètres!$A$1:$I$89,3,0)*VLOOKUP('Données projet'!$B$10,Paramètres!$A$1:$I$89,5,0)</f>
        <v>-1.0197709343628959E-13</v>
      </c>
      <c r="AK89" s="14" t="e">
        <f t="shared" si="89"/>
        <v>#NUM!</v>
      </c>
      <c r="AL89" s="22" t="e">
        <f t="shared" si="58"/>
        <v>#NUM!</v>
      </c>
      <c r="AM89" s="62" t="e">
        <f t="shared" si="59"/>
        <v>#NUM!</v>
      </c>
      <c r="AN89" s="62">
        <f ca="1">AVERAGE(OFFSET($AM$3,0,0,'Données projet'!$E$10+1,1))-AVERAGE(OFFSET($H$3,0,0,'Données projet'!$E$10+1,1))</f>
        <v>150.05970318721711</v>
      </c>
      <c r="AO89" s="62">
        <f t="shared" si="90"/>
        <v>230.8269864623847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51.256181804481592</v>
      </c>
      <c r="AV89" s="23">
        <f>EXP(-LN(2)/25)*AV88+(1-EXP(-LN(2)/25))/(LN(2)/25)*Calculateur!AQ89*Calculateur!AS89*VLOOKUP('Données projet'!$B$10,Paramètres!$A$1:$I$89,3,0)*0.475*44/12</f>
        <v>1.0613059974176697</v>
      </c>
      <c r="AW89" s="23">
        <f>EXP(-LN(2)/2)*AW88+(1-EXP(-LN(2)/2))/(LN(2)/2)*AQ89*AT89*VLOOKUP('Données projet'!$B$10,Paramètres!$A$1:$I$89,3,0)*0.475*44/12</f>
        <v>1.5270984485074584E-4</v>
      </c>
      <c r="AX89" s="23">
        <f t="shared" si="60"/>
        <v>52.317640511744109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5.4</v>
      </c>
      <c r="BD89" s="13">
        <f>IF('Données projet'!$A$88&gt;35,BD88+BC89-BL88,IF(A89&lt;'Données projet'!$A$88,$BA$205^A89,IF(A89='Données projet'!$A$88,'Données projet'!$B$88,BD88+BC89-BL88)))</f>
        <v>274.40000000000015</v>
      </c>
      <c r="BE89" s="14">
        <f>BD89*VLOOKUP('Données projet'!$B$11,Paramètres!$A$1:$I$89,3,0)*VLOOKUP('Données projet'!$B$11,Paramètres!$A$1:$I$89,5,0)</f>
        <v>248.27712000000011</v>
      </c>
      <c r="BF89" s="14">
        <f t="shared" si="91"/>
        <v>60.216863677580363</v>
      </c>
      <c r="BG89" s="22">
        <f t="shared" si="61"/>
        <v>537.29368823845255</v>
      </c>
      <c r="BH89" s="62">
        <f t="shared" si="62"/>
        <v>830.62702157178592</v>
      </c>
      <c r="BI89" s="62">
        <f ca="1">AVERAGE(OFFSET($BH$3,0,0,'Données projet'!$E$11+1,1))-AVERAGE(OFFSET($H$3,0,0,'Données projet'!$E$11+1,1))</f>
        <v>278.41778972502732</v>
      </c>
      <c r="BJ89" s="62">
        <f t="shared" si="92"/>
        <v>157.75772798974242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0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48.632999999999946</v>
      </c>
      <c r="D90" s="12">
        <f t="shared" si="86"/>
        <v>14.260158409918965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485.49104737481269</v>
      </c>
      <c r="H90" s="70">
        <f t="shared" si="56"/>
        <v>402.87225089727542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17.5</v>
      </c>
      <c r="N90" s="14">
        <f>IF('Données projet'!$A$36&gt;35,N89+M90-V89,IF(A90&lt;'Données projet'!$A$36,$K$205^A90,IF(A90='Données projet'!$A$36,'Données projet'!$B$36,N89+M90-V89)))</f>
        <v>620.49999999999989</v>
      </c>
      <c r="O90" s="14">
        <f>N90*VLOOKUP('Données projet'!$B$9,Paramètres!$A$1:$I$89,3,0)*VLOOKUP('Données projet'!$B$9,Paramètres!$A$1:$I$89,5,0)</f>
        <v>290.39399999999995</v>
      </c>
      <c r="P90" s="14">
        <f t="shared" si="87"/>
        <v>69.158878594433091</v>
      </c>
      <c r="Q90" s="22">
        <f t="shared" si="54"/>
        <v>626.22126355197076</v>
      </c>
      <c r="R90" s="62">
        <f t="shared" si="55"/>
        <v>919.55459688530414</v>
      </c>
      <c r="S90" s="62">
        <f ca="1">AVERAGE(OFFSET($R$3,0,0,'Données projet'!$E$9+1,1))-AVERAGE(OFFSET($H$3,0,0,'Données projet'!$E$9+1,1))</f>
        <v>302.30714066618623</v>
      </c>
      <c r="T90" s="62">
        <f t="shared" si="88"/>
        <v>218.81984836501334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-1.7053025658242404E-13</v>
      </c>
      <c r="AJ90" s="14">
        <f>AI90*VLOOKUP('Données projet'!$B$10,Paramètres!$A$1:$I$89,3,0)*VLOOKUP('Données projet'!$B$10,Paramètres!$A$1:$I$89,5,0)</f>
        <v>-1.0197709343628959E-13</v>
      </c>
      <c r="AK90" s="14" t="e">
        <f t="shared" si="89"/>
        <v>#NUM!</v>
      </c>
      <c r="AL90" s="22" t="e">
        <f t="shared" si="58"/>
        <v>#NUM!</v>
      </c>
      <c r="AM90" s="62" t="e">
        <f t="shared" si="59"/>
        <v>#NUM!</v>
      </c>
      <c r="AN90" s="62">
        <f ca="1">AVERAGE(OFFSET($AM$3,0,0,'Données projet'!$E$10+1,1))-AVERAGE(OFFSET($H$3,0,0,'Données projet'!$E$10+1,1))</f>
        <v>150.05970318721711</v>
      </c>
      <c r="AO90" s="62">
        <f t="shared" si="90"/>
        <v>230.8269864623847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50.251079342479628</v>
      </c>
      <c r="AV90" s="23">
        <f>EXP(-LN(2)/25)*AV89+(1-EXP(-LN(2)/25))/(LN(2)/25)*Calculateur!AQ90*Calculateur!AS90*VLOOKUP('Données projet'!$B$10,Paramètres!$A$1:$I$89,3,0)*0.475*44/12</f>
        <v>1.0322845291066267</v>
      </c>
      <c r="AW90" s="23">
        <f>EXP(-LN(2)/2)*AW89+(1-EXP(-LN(2)/2))/(LN(2)/2)*AQ90*AT90*VLOOKUP('Données projet'!$B$10,Paramètres!$A$1:$I$89,3,0)*0.475*44/12</f>
        <v>1.0798216684790796E-4</v>
      </c>
      <c r="AX90" s="23">
        <f t="shared" si="60"/>
        <v>51.283471853753099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5.4</v>
      </c>
      <c r="BD90" s="13">
        <f>IF('Données projet'!$A$88&gt;35,BD89+BC90-BL89,IF(A90&lt;'Données projet'!$A$88,$BA$205^A90,IF(A90='Données projet'!$A$88,'Données projet'!$B$88,BD89+BC90-BL89)))</f>
        <v>279.80000000000013</v>
      </c>
      <c r="BE90" s="14">
        <f>BD90*VLOOKUP('Données projet'!$B$11,Paramètres!$A$1:$I$89,3,0)*VLOOKUP('Données projet'!$B$11,Paramètres!$A$1:$I$89,5,0)</f>
        <v>253.16304000000008</v>
      </c>
      <c r="BF90" s="14">
        <f t="shared" si="91"/>
        <v>61.262761848635037</v>
      </c>
      <c r="BG90" s="22">
        <f t="shared" si="61"/>
        <v>547.62493821970611</v>
      </c>
      <c r="BH90" s="62">
        <f t="shared" si="62"/>
        <v>840.95827155303937</v>
      </c>
      <c r="BI90" s="62">
        <f ca="1">AVERAGE(OFFSET($BH$3,0,0,'Données projet'!$E$11+1,1))-AVERAGE(OFFSET($H$3,0,0,'Données projet'!$E$11+1,1))</f>
        <v>278.41778972502732</v>
      </c>
      <c r="BJ90" s="62">
        <f t="shared" si="92"/>
        <v>157.75772798974242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0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49.191999999999943</v>
      </c>
      <c r="D91" s="12">
        <f t="shared" si="86"/>
        <v>14.404892693343806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490.92338219423249</v>
      </c>
      <c r="H91" s="70">
        <f t="shared" si="56"/>
        <v>404.09792144090699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17.5</v>
      </c>
      <c r="N91" s="14">
        <f>IF('Données projet'!$A$36&gt;35,N90+M91-V90,IF(A91&lt;'Données projet'!$A$36,$K$205^A91,IF(A91='Données projet'!$A$36,'Données projet'!$B$36,N90+M91-V90)))</f>
        <v>637.99999999999989</v>
      </c>
      <c r="O91" s="14">
        <f>N91*VLOOKUP('Données projet'!$B$9,Paramètres!$A$1:$I$89,3,0)*VLOOKUP('Données projet'!$B$9,Paramètres!$A$1:$I$89,5,0)</f>
        <v>298.58399999999995</v>
      </c>
      <c r="P91" s="14">
        <f t="shared" si="87"/>
        <v>70.879533797607607</v>
      </c>
      <c r="Q91" s="22">
        <f t="shared" si="54"/>
        <v>643.48232136416652</v>
      </c>
      <c r="R91" s="62">
        <f t="shared" si="55"/>
        <v>936.81565469749989</v>
      </c>
      <c r="S91" s="62">
        <f ca="1">AVERAGE(OFFSET($R$3,0,0,'Données projet'!$E$9+1,1))-AVERAGE(OFFSET($H$3,0,0,'Données projet'!$E$9+1,1))</f>
        <v>302.30714066618623</v>
      </c>
      <c r="T91" s="62">
        <f t="shared" si="88"/>
        <v>218.81984836501334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-1.7053025658242404E-13</v>
      </c>
      <c r="AJ91" s="14">
        <f>AI91*VLOOKUP('Données projet'!$B$10,Paramètres!$A$1:$I$89,3,0)*VLOOKUP('Données projet'!$B$10,Paramètres!$A$1:$I$89,5,0)</f>
        <v>-1.0197709343628959E-13</v>
      </c>
      <c r="AK91" s="14" t="e">
        <f t="shared" si="89"/>
        <v>#NUM!</v>
      </c>
      <c r="AL91" s="22" t="e">
        <f t="shared" si="58"/>
        <v>#NUM!</v>
      </c>
      <c r="AM91" s="62" t="e">
        <f t="shared" si="59"/>
        <v>#NUM!</v>
      </c>
      <c r="AN91" s="62">
        <f ca="1">AVERAGE(OFFSET($AM$3,0,0,'Données projet'!$E$10+1,1))-AVERAGE(OFFSET($H$3,0,0,'Données projet'!$E$10+1,1))</f>
        <v>150.05970318721711</v>
      </c>
      <c r="AO91" s="62">
        <f t="shared" si="90"/>
        <v>230.8269864623847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49.265686326705548</v>
      </c>
      <c r="AV91" s="23">
        <f>EXP(-LN(2)/25)*AV90+(1-EXP(-LN(2)/25))/(LN(2)/25)*Calculateur!AQ91*Calculateur!AS91*VLOOKUP('Données projet'!$B$10,Paramètres!$A$1:$I$89,3,0)*0.475*44/12</f>
        <v>1.0040566543727218</v>
      </c>
      <c r="AW91" s="23">
        <f>EXP(-LN(2)/2)*AW90+(1-EXP(-LN(2)/2))/(LN(2)/2)*AQ91*AT91*VLOOKUP('Données projet'!$B$10,Paramètres!$A$1:$I$89,3,0)*0.475*44/12</f>
        <v>7.6354922425372922E-5</v>
      </c>
      <c r="AX91" s="23">
        <f t="shared" si="60"/>
        <v>50.269819336000701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5.4</v>
      </c>
      <c r="BD91" s="13">
        <f>IF('Données projet'!$A$88&gt;35,BD90+BC91-BL90,IF(A91&lt;'Données projet'!$A$88,$BA$205^A91,IF(A91='Données projet'!$A$88,'Données projet'!$B$88,BD90+BC91-BL90)))</f>
        <v>285.2000000000001</v>
      </c>
      <c r="BE91" s="14">
        <f>BD91*VLOOKUP('Données projet'!$B$11,Paramètres!$A$1:$I$89,3,0)*VLOOKUP('Données projet'!$B$11,Paramètres!$A$1:$I$89,5,0)</f>
        <v>258.04896000000008</v>
      </c>
      <c r="BF91" s="14">
        <f t="shared" si="91"/>
        <v>62.306312932555819</v>
      </c>
      <c r="BG91" s="22">
        <f t="shared" si="61"/>
        <v>557.95210035753485</v>
      </c>
      <c r="BH91" s="62">
        <f t="shared" si="62"/>
        <v>851.2854336908681</v>
      </c>
      <c r="BI91" s="62">
        <f ca="1">AVERAGE(OFFSET($BH$3,0,0,'Données projet'!$E$11+1,1))-AVERAGE(OFFSET($H$3,0,0,'Données projet'!$E$11+1,1))</f>
        <v>278.41778972502732</v>
      </c>
      <c r="BJ91" s="62">
        <f t="shared" si="92"/>
        <v>157.75772798974242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0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49.750999999999941</v>
      </c>
      <c r="D92" s="12">
        <f t="shared" si="86"/>
        <v>14.549435654988406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496.35424014376969</v>
      </c>
      <c r="H92" s="70">
        <f t="shared" si="56"/>
        <v>405.32325876577136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17.5</v>
      </c>
      <c r="N92" s="14">
        <f>IF('Données projet'!$A$36&gt;35,N91+M92-V91,IF(A92&lt;'Données projet'!$A$36,$K$205^A92,IF(A92='Données projet'!$A$36,'Données projet'!$B$36,N91+M92-V91)))</f>
        <v>655.49999999999989</v>
      </c>
      <c r="O92" s="14">
        <f>N92*VLOOKUP('Données projet'!$B$9,Paramètres!$A$1:$I$89,3,0)*VLOOKUP('Données projet'!$B$9,Paramètres!$A$1:$I$89,5,0)</f>
        <v>306.77399999999994</v>
      </c>
      <c r="P92" s="14">
        <f t="shared" si="87"/>
        <v>72.594703343999058</v>
      </c>
      <c r="Q92" s="22">
        <f t="shared" si="54"/>
        <v>660.73382499079833</v>
      </c>
      <c r="R92" s="62">
        <f t="shared" si="55"/>
        <v>954.0671583241317</v>
      </c>
      <c r="S92" s="62">
        <f ca="1">AVERAGE(OFFSET($R$3,0,0,'Données projet'!$E$9+1,1))-AVERAGE(OFFSET($H$3,0,0,'Données projet'!$E$9+1,1))</f>
        <v>302.30714066618623</v>
      </c>
      <c r="T92" s="62">
        <f t="shared" si="88"/>
        <v>218.81984836501334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-1.7053025658242404E-13</v>
      </c>
      <c r="AJ92" s="14">
        <f>AI92*VLOOKUP('Données projet'!$B$10,Paramètres!$A$1:$I$89,3,0)*VLOOKUP('Données projet'!$B$10,Paramètres!$A$1:$I$89,5,0)</f>
        <v>-1.0197709343628959E-13</v>
      </c>
      <c r="AK92" s="14" t="e">
        <f t="shared" si="89"/>
        <v>#NUM!</v>
      </c>
      <c r="AL92" s="22" t="e">
        <f t="shared" si="58"/>
        <v>#NUM!</v>
      </c>
      <c r="AM92" s="62" t="e">
        <f t="shared" si="59"/>
        <v>#NUM!</v>
      </c>
      <c r="AN92" s="62">
        <f ca="1">AVERAGE(OFFSET($AM$3,0,0,'Données projet'!$E$10+1,1))-AVERAGE(OFFSET($H$3,0,0,'Données projet'!$E$10+1,1))</f>
        <v>150.05970318721711</v>
      </c>
      <c r="AO92" s="62">
        <f t="shared" si="90"/>
        <v>230.8269864623847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48.299616266940411</v>
      </c>
      <c r="AV92" s="23">
        <f>EXP(-LN(2)/25)*AV91+(1-EXP(-LN(2)/25))/(LN(2)/25)*Calculateur!AQ92*Calculateur!AS92*VLOOKUP('Données projet'!$B$10,Paramètres!$A$1:$I$89,3,0)*0.475*44/12</f>
        <v>0.97660067235785508</v>
      </c>
      <c r="AW92" s="23">
        <f>EXP(-LN(2)/2)*AW91+(1-EXP(-LN(2)/2))/(LN(2)/2)*AQ92*AT92*VLOOKUP('Données projet'!$B$10,Paramètres!$A$1:$I$89,3,0)*0.475*44/12</f>
        <v>5.3991083423953982E-5</v>
      </c>
      <c r="AX92" s="23">
        <f t="shared" si="60"/>
        <v>49.276270930381692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5.4</v>
      </c>
      <c r="BD92" s="13">
        <f>IF('Données projet'!$A$88&gt;35,BD91+BC92-BL91,IF(A92&lt;'Données projet'!$A$88,$BA$205^A92,IF(A92='Données projet'!$A$88,'Données projet'!$B$88,BD91+BC92-BL91)))</f>
        <v>290.60000000000008</v>
      </c>
      <c r="BE92" s="14">
        <f>BD92*VLOOKUP('Données projet'!$B$11,Paramètres!$A$1:$I$89,3,0)*VLOOKUP('Données projet'!$B$11,Paramètres!$A$1:$I$89,5,0)</f>
        <v>262.93488000000008</v>
      </c>
      <c r="BF92" s="14">
        <f t="shared" si="91"/>
        <v>63.347566493432765</v>
      </c>
      <c r="BG92" s="22">
        <f t="shared" si="61"/>
        <v>568.27526097606221</v>
      </c>
      <c r="BH92" s="62">
        <f t="shared" si="62"/>
        <v>861.60859430939558</v>
      </c>
      <c r="BI92" s="62">
        <f ca="1">AVERAGE(OFFSET($BH$3,0,0,'Données projet'!$E$11+1,1))-AVERAGE(OFFSET($H$3,0,0,'Données projet'!$E$11+1,1))</f>
        <v>278.41778972502732</v>
      </c>
      <c r="BJ92" s="62">
        <f t="shared" si="92"/>
        <v>157.75772798974242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0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50.309999999999938</v>
      </c>
      <c r="D93" s="12">
        <f t="shared" si="86"/>
        <v>14.693789693291537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501.7836397376887</v>
      </c>
      <c r="H93" s="70">
        <f t="shared" si="56"/>
        <v>406.54826704914933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673</v>
      </c>
      <c r="L93" s="13">
        <f>VLOOKUP(A93,'Données projet'!$A$35:$I$55,9,0)</f>
        <v>17.5</v>
      </c>
      <c r="M93" s="13">
        <f t="array" ref="M93">INDEX(L:L,MIN(IF(ISNUMBER(L93:L289),ROW(L93:L289),"")))</f>
        <v>17.5</v>
      </c>
      <c r="N93" s="14">
        <f>IF('Données projet'!$A$36&gt;35,N92+M93-V92,IF(A93&lt;'Données projet'!$A$36,$K$205^A93,IF(A93='Données projet'!$A$36,'Données projet'!$B$36,N92+M93-V92)))</f>
        <v>672.99999999999989</v>
      </c>
      <c r="O93" s="14">
        <f>N93*VLOOKUP('Données projet'!$B$9,Paramètres!$A$1:$I$89,3,0)*VLOOKUP('Données projet'!$B$9,Paramètres!$A$1:$I$89,5,0)</f>
        <v>314.96399999999994</v>
      </c>
      <c r="P93" s="14">
        <f t="shared" si="87"/>
        <v>74.304550517616548</v>
      </c>
      <c r="Q93" s="22">
        <f t="shared" si="54"/>
        <v>677.97605881818208</v>
      </c>
      <c r="R93" s="62">
        <f t="shared" si="55"/>
        <v>971.30939215151534</v>
      </c>
      <c r="S93" s="62">
        <f ca="1">AVERAGE(OFFSET($R$3,0,0,'Données projet'!$E$9+1,1))-AVERAGE(OFFSET($H$3,0,0,'Données projet'!$E$9+1,1))</f>
        <v>302.30714066618623</v>
      </c>
      <c r="T93" s="62">
        <f t="shared" si="88"/>
        <v>218.81984836501334</v>
      </c>
      <c r="U93" s="16">
        <f>IF(ISNA(VLOOKUP(A93,'Données projet'!$A$35:$I$55,3,0)),0,VLOOKUP(A93,'Données projet'!$A$35:$I$55,3,0))</f>
        <v>8</v>
      </c>
      <c r="V93" s="16">
        <f>IF(ISNA(VLOOKUP(A93,'Données projet'!$A$35:$I$55,4,0)),0,VLOOKUP(A93,'Données projet'!$A$35:$I$55,4,0))</f>
        <v>135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-1.7053025658242404E-13</v>
      </c>
      <c r="AJ93" s="14">
        <f>AI93*VLOOKUP('Données projet'!$B$10,Paramètres!$A$1:$I$89,3,0)*VLOOKUP('Données projet'!$B$10,Paramètres!$A$1:$I$89,5,0)</f>
        <v>-1.0197709343628959E-13</v>
      </c>
      <c r="AK93" s="14" t="e">
        <f t="shared" si="89"/>
        <v>#NUM!</v>
      </c>
      <c r="AL93" s="22" t="e">
        <f t="shared" si="58"/>
        <v>#NUM!</v>
      </c>
      <c r="AM93" s="62" t="e">
        <f t="shared" si="59"/>
        <v>#NUM!</v>
      </c>
      <c r="AN93" s="62">
        <f ca="1">AVERAGE(OFFSET($AM$3,0,0,'Données projet'!$E$10+1,1))-AVERAGE(OFFSET($H$3,0,0,'Données projet'!$E$10+1,1))</f>
        <v>150.05970318721711</v>
      </c>
      <c r="AO93" s="62">
        <f t="shared" si="90"/>
        <v>230.8269864623847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47.352490251802713</v>
      </c>
      <c r="AV93" s="23">
        <f>EXP(-LN(2)/25)*AV92+(1-EXP(-LN(2)/25))/(LN(2)/25)*Calculateur!AQ93*Calculateur!AS93*VLOOKUP('Données projet'!$B$10,Paramètres!$A$1:$I$89,3,0)*0.475*44/12</f>
        <v>0.94989547561503218</v>
      </c>
      <c r="AW93" s="23">
        <f>EXP(-LN(2)/2)*AW92+(1-EXP(-LN(2)/2))/(LN(2)/2)*AQ93*AT93*VLOOKUP('Données projet'!$B$10,Paramètres!$A$1:$I$89,3,0)*0.475*44/12</f>
        <v>3.8177461212686461E-5</v>
      </c>
      <c r="AX93" s="23">
        <f t="shared" si="60"/>
        <v>48.302423904878957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>
        <f>VLOOKUP(A93,'Données projet'!$A$87:$I$107,2,0)</f>
        <v>296</v>
      </c>
      <c r="BB93" s="13">
        <f>VLOOKUP(A93,'Données projet'!$A$87:$I$107,9,0)</f>
        <v>5.4</v>
      </c>
      <c r="BC93" s="13">
        <f t="array" ref="BC93">INDEX(BB:BB,MIN(IF(ISNUMBER(BB93:BB289),ROW(BB93:BB289),"")))</f>
        <v>5.4</v>
      </c>
      <c r="BD93" s="13">
        <f>IF('Données projet'!$A$88&gt;35,BD92+BC93-BL92,IF(A93&lt;'Données projet'!$A$88,$BA$205^A93,IF(A93='Données projet'!$A$88,'Données projet'!$B$88,BD92+BC93-BL92)))</f>
        <v>296.00000000000006</v>
      </c>
      <c r="BE93" s="14">
        <f>BD93*VLOOKUP('Données projet'!$B$11,Paramètres!$A$1:$I$89,3,0)*VLOOKUP('Données projet'!$B$11,Paramètres!$A$1:$I$89,5,0)</f>
        <v>267.82080000000008</v>
      </c>
      <c r="BF93" s="14">
        <f t="shared" si="91"/>
        <v>64.386570147897373</v>
      </c>
      <c r="BG93" s="22">
        <f t="shared" si="61"/>
        <v>578.59450300758806</v>
      </c>
      <c r="BH93" s="62">
        <f t="shared" si="62"/>
        <v>871.92783634092143</v>
      </c>
      <c r="BI93" s="62">
        <f ca="1">AVERAGE(OFFSET($BH$3,0,0,'Données projet'!$E$11+1,1))-AVERAGE(OFFSET($H$3,0,0,'Données projet'!$E$11+1,1))</f>
        <v>278.41778972502732</v>
      </c>
      <c r="BJ93" s="62">
        <f t="shared" si="92"/>
        <v>157.75772798974242</v>
      </c>
      <c r="BK93" s="16">
        <f>IF(ISNA(VLOOKUP(A93,'Données projet'!$A$87:$I$107,3,0)),0,VLOOKUP(A93,'Données projet'!$A$87:$I$107,3,0))</f>
        <v>14</v>
      </c>
      <c r="BL93" s="16">
        <f>IF(ISNA(VLOOKUP(A93,'Données projet'!$A$87:$I$107,4,0)),0,VLOOKUP(A93,'Données projet'!$A$87:$I$107,4,0))</f>
        <v>21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0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50.868999999999936</v>
      </c>
      <c r="D94" s="12">
        <f t="shared" si="86"/>
        <v>14.837957150324335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507.21159905513474</v>
      </c>
      <c r="H94" s="70">
        <f t="shared" si="56"/>
        <v>407.77295037014807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18.5</v>
      </c>
      <c r="N94" s="14">
        <f>IF('Données projet'!$A$36&gt;35,N93+M94-V93,IF(A94&lt;'Données projet'!$A$36,$K$205^A94,IF(A94='Données projet'!$A$36,'Données projet'!$B$36,N93+M94-V93)))</f>
        <v>556.49999999999989</v>
      </c>
      <c r="O94" s="14">
        <f>N94*VLOOKUP('Données projet'!$B$9,Paramètres!$A$1:$I$89,3,0)*VLOOKUP('Données projet'!$B$9,Paramètres!$A$1:$I$89,5,0)</f>
        <v>260.44199999999995</v>
      </c>
      <c r="P94" s="14">
        <f t="shared" si="87"/>
        <v>62.816585178645781</v>
      </c>
      <c r="Q94" s="22">
        <f t="shared" si="54"/>
        <v>563.00870251947458</v>
      </c>
      <c r="R94" s="62">
        <f t="shared" si="55"/>
        <v>856.34203585280784</v>
      </c>
      <c r="S94" s="62">
        <f ca="1">AVERAGE(OFFSET($R$3,0,0,'Données projet'!$E$9+1,1))-AVERAGE(OFFSET($H$3,0,0,'Données projet'!$E$9+1,1))</f>
        <v>302.30714066618623</v>
      </c>
      <c r="T94" s="62">
        <f t="shared" si="88"/>
        <v>218.81984836501334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-1.7053025658242404E-13</v>
      </c>
      <c r="AJ94" s="14">
        <f>AI94*VLOOKUP('Données projet'!$B$10,Paramètres!$A$1:$I$89,3,0)*VLOOKUP('Données projet'!$B$10,Paramètres!$A$1:$I$89,5,0)</f>
        <v>-1.0197709343628959E-13</v>
      </c>
      <c r="AK94" s="14" t="e">
        <f t="shared" si="89"/>
        <v>#NUM!</v>
      </c>
      <c r="AL94" s="22" t="e">
        <f t="shared" si="58"/>
        <v>#NUM!</v>
      </c>
      <c r="AM94" s="62" t="e">
        <f t="shared" si="59"/>
        <v>#NUM!</v>
      </c>
      <c r="AN94" s="62">
        <f ca="1">AVERAGE(OFFSET($AM$3,0,0,'Données projet'!$E$10+1,1))-AVERAGE(OFFSET($H$3,0,0,'Données projet'!$E$10+1,1))</f>
        <v>150.05970318721711</v>
      </c>
      <c r="AO94" s="62">
        <f t="shared" si="90"/>
        <v>230.8269864623847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46.42393680013204</v>
      </c>
      <c r="AV94" s="23">
        <f>EXP(-LN(2)/25)*AV93+(1-EXP(-LN(2)/25))/(LN(2)/25)*Calculateur!AQ94*Calculateur!AS94*VLOOKUP('Données projet'!$B$10,Paramètres!$A$1:$I$89,3,0)*0.475*44/12</f>
        <v>0.92392053388150708</v>
      </c>
      <c r="AW94" s="23">
        <f>EXP(-LN(2)/2)*AW93+(1-EXP(-LN(2)/2))/(LN(2)/2)*AQ94*AT94*VLOOKUP('Données projet'!$B$10,Paramètres!$A$1:$I$89,3,0)*0.475*44/12</f>
        <v>2.6995541711976991E-5</v>
      </c>
      <c r="AX94" s="23">
        <f t="shared" si="60"/>
        <v>47.347884329555256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5</v>
      </c>
      <c r="BD94" s="13">
        <f>IF('Données projet'!$A$88&gt;35,BD93+BC94-BL93,IF(A94&lt;'Données projet'!$A$88,$BA$205^A94,IF(A94='Données projet'!$A$88,'Données projet'!$B$88,BD93+BC94-BL93)))</f>
        <v>280.00000000000006</v>
      </c>
      <c r="BE94" s="14">
        <f>BD94*VLOOKUP('Données projet'!$B$11,Paramètres!$A$1:$I$89,3,0)*VLOOKUP('Données projet'!$B$11,Paramètres!$A$1:$I$89,5,0)</f>
        <v>253.34400000000005</v>
      </c>
      <c r="BF94" s="14">
        <f t="shared" si="91"/>
        <v>61.301453431926305</v>
      </c>
      <c r="BG94" s="22">
        <f t="shared" si="61"/>
        <v>548.00749806060503</v>
      </c>
      <c r="BH94" s="62">
        <f t="shared" si="62"/>
        <v>841.34083139393829</v>
      </c>
      <c r="BI94" s="62">
        <f ca="1">AVERAGE(OFFSET($BH$3,0,0,'Données projet'!$E$11+1,1))-AVERAGE(OFFSET($H$3,0,0,'Données projet'!$E$11+1,1))</f>
        <v>278.41778972502732</v>
      </c>
      <c r="BJ94" s="62">
        <f t="shared" si="92"/>
        <v>157.75772798974242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0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51.427999999999933</v>
      </c>
      <c r="D95" s="12">
        <f t="shared" si="86"/>
        <v>14.981940313719656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512.63813575502843</v>
      </c>
      <c r="H95" s="70">
        <f t="shared" si="56"/>
        <v>408.9973127130616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18.5</v>
      </c>
      <c r="N95" s="14">
        <f>IF('Données projet'!$A$36&gt;35,N94+M95-V94,IF(A95&lt;'Données projet'!$A$36,$K$205^A95,IF(A95='Données projet'!$A$36,'Données projet'!$B$36,N94+M95-V94)))</f>
        <v>574.99999999999989</v>
      </c>
      <c r="O95" s="14">
        <f>N95*VLOOKUP('Données projet'!$B$9,Paramètres!$A$1:$I$89,3,0)*VLOOKUP('Données projet'!$B$9,Paramètres!$A$1:$I$89,5,0)</f>
        <v>269.09999999999991</v>
      </c>
      <c r="P95" s="14">
        <f t="shared" si="87"/>
        <v>64.658229472790993</v>
      </c>
      <c r="Q95" s="22">
        <f t="shared" si="54"/>
        <v>581.29558299844405</v>
      </c>
      <c r="R95" s="62">
        <f t="shared" si="55"/>
        <v>874.62891633177742</v>
      </c>
      <c r="S95" s="62">
        <f ca="1">AVERAGE(OFFSET($R$3,0,0,'Données projet'!$E$9+1,1))-AVERAGE(OFFSET($H$3,0,0,'Données projet'!$E$9+1,1))</f>
        <v>302.30714066618623</v>
      </c>
      <c r="T95" s="62">
        <f t="shared" si="88"/>
        <v>218.81984836501334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-1.7053025658242404E-13</v>
      </c>
      <c r="AJ95" s="14">
        <f>AI95*VLOOKUP('Données projet'!$B$10,Paramètres!$A$1:$I$89,3,0)*VLOOKUP('Données projet'!$B$10,Paramètres!$A$1:$I$89,5,0)</f>
        <v>-1.0197709343628959E-13</v>
      </c>
      <c r="AK95" s="14" t="e">
        <f t="shared" si="89"/>
        <v>#NUM!</v>
      </c>
      <c r="AL95" s="22" t="e">
        <f t="shared" si="58"/>
        <v>#NUM!</v>
      </c>
      <c r="AM95" s="62" t="e">
        <f t="shared" si="59"/>
        <v>#NUM!</v>
      </c>
      <c r="AN95" s="62">
        <f ca="1">AVERAGE(OFFSET($AM$3,0,0,'Données projet'!$E$10+1,1))-AVERAGE(OFFSET($H$3,0,0,'Données projet'!$E$10+1,1))</f>
        <v>150.05970318721711</v>
      </c>
      <c r="AO95" s="62">
        <f t="shared" si="90"/>
        <v>230.8269864623847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45.513591715286942</v>
      </c>
      <c r="AV95" s="23">
        <f>EXP(-LN(2)/25)*AV94+(1-EXP(-LN(2)/25))/(LN(2)/25)*Calculateur!AQ95*Calculateur!AS95*VLOOKUP('Données projet'!$B$10,Paramètres!$A$1:$I$89,3,0)*0.475*44/12</f>
        <v>0.89865587829564808</v>
      </c>
      <c r="AW95" s="23">
        <f>EXP(-LN(2)/2)*AW94+(1-EXP(-LN(2)/2))/(LN(2)/2)*AQ95*AT95*VLOOKUP('Données projet'!$B$10,Paramètres!$A$1:$I$89,3,0)*0.475*44/12</f>
        <v>1.9088730606343231E-5</v>
      </c>
      <c r="AX95" s="23">
        <f t="shared" si="60"/>
        <v>46.412266682313195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5</v>
      </c>
      <c r="BD95" s="13">
        <f>IF('Données projet'!$A$88&gt;35,BD94+BC95-BL94,IF(A95&lt;'Données projet'!$A$88,$BA$205^A95,IF(A95='Données projet'!$A$88,'Données projet'!$B$88,BD94+BC95-BL94)))</f>
        <v>285.00000000000006</v>
      </c>
      <c r="BE95" s="14">
        <f>BD95*VLOOKUP('Données projet'!$B$11,Paramètres!$A$1:$I$89,3,0)*VLOOKUP('Données projet'!$B$11,Paramètres!$A$1:$I$89,5,0)</f>
        <v>257.86800000000005</v>
      </c>
      <c r="BF95" s="14">
        <f t="shared" si="91"/>
        <v>62.267704162827528</v>
      </c>
      <c r="BG95" s="22">
        <f t="shared" si="61"/>
        <v>557.56968475025803</v>
      </c>
      <c r="BH95" s="62">
        <f t="shared" si="62"/>
        <v>850.90301808359141</v>
      </c>
      <c r="BI95" s="62">
        <f ca="1">AVERAGE(OFFSET($BH$3,0,0,'Données projet'!$E$11+1,1))-AVERAGE(OFFSET($H$3,0,0,'Données projet'!$E$11+1,1))</f>
        <v>278.41778972502732</v>
      </c>
      <c r="BJ95" s="62">
        <f t="shared" si="92"/>
        <v>157.75772798974242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0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51.986999999999931</v>
      </c>
      <c r="D96" s="12">
        <f t="shared" si="86"/>
        <v>15.125741418515025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518.06326709029088</v>
      </c>
      <c r="H96" s="70">
        <f t="shared" si="56"/>
        <v>410.22135797058019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18.5</v>
      </c>
      <c r="N96" s="14">
        <f>IF('Données projet'!$A$36&gt;35,N95+M96-V95,IF(A96&lt;'Données projet'!$A$36,$K$205^A96,IF(A96='Données projet'!$A$36,'Données projet'!$B$36,N95+M96-V95)))</f>
        <v>593.49999999999989</v>
      </c>
      <c r="O96" s="14">
        <f>N96*VLOOKUP('Données projet'!$B$9,Paramètres!$A$1:$I$89,3,0)*VLOOKUP('Données projet'!$B$9,Paramètres!$A$1:$I$89,5,0)</f>
        <v>277.75799999999992</v>
      </c>
      <c r="P96" s="14">
        <f t="shared" si="87"/>
        <v>66.492988372715388</v>
      </c>
      <c r="Q96" s="22">
        <f t="shared" si="54"/>
        <v>599.57047141581245</v>
      </c>
      <c r="R96" s="62">
        <f t="shared" si="55"/>
        <v>892.90380474914582</v>
      </c>
      <c r="S96" s="62">
        <f ca="1">AVERAGE(OFFSET($R$3,0,0,'Données projet'!$E$9+1,1))-AVERAGE(OFFSET($H$3,0,0,'Données projet'!$E$9+1,1))</f>
        <v>302.30714066618623</v>
      </c>
      <c r="T96" s="62">
        <f t="shared" si="88"/>
        <v>218.81984836501334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-1.7053025658242404E-13</v>
      </c>
      <c r="AJ96" s="14">
        <f>AI96*VLOOKUP('Données projet'!$B$10,Paramètres!$A$1:$I$89,3,0)*VLOOKUP('Données projet'!$B$10,Paramètres!$A$1:$I$89,5,0)</f>
        <v>-1.0197709343628959E-13</v>
      </c>
      <c r="AK96" s="14" t="e">
        <f t="shared" si="89"/>
        <v>#NUM!</v>
      </c>
      <c r="AL96" s="22" t="e">
        <f t="shared" si="58"/>
        <v>#NUM!</v>
      </c>
      <c r="AM96" s="62" t="e">
        <f t="shared" si="59"/>
        <v>#NUM!</v>
      </c>
      <c r="AN96" s="62">
        <f ca="1">AVERAGE(OFFSET($AM$3,0,0,'Données projet'!$E$10+1,1))-AVERAGE(OFFSET($H$3,0,0,'Données projet'!$E$10+1,1))</f>
        <v>150.05970318721711</v>
      </c>
      <c r="AO96" s="62">
        <f t="shared" si="90"/>
        <v>230.8269864623847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44.621097942299983</v>
      </c>
      <c r="AV96" s="23">
        <f>EXP(-LN(2)/25)*AV95+(1-EXP(-LN(2)/25))/(LN(2)/25)*Calculateur!AQ96*Calculateur!AS96*VLOOKUP('Données projet'!$B$10,Paramètres!$A$1:$I$89,3,0)*0.475*44/12</f>
        <v>0.87408208604539483</v>
      </c>
      <c r="AW96" s="23">
        <f>EXP(-LN(2)/2)*AW95+(1-EXP(-LN(2)/2))/(LN(2)/2)*AQ96*AT96*VLOOKUP('Données projet'!$B$10,Paramètres!$A$1:$I$89,3,0)*0.475*44/12</f>
        <v>1.3497770855988496E-5</v>
      </c>
      <c r="AX96" s="23">
        <f t="shared" si="60"/>
        <v>45.495193526116239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5</v>
      </c>
      <c r="BD96" s="13">
        <f>IF('Données projet'!$A$88&gt;35,BD95+BC96-BL95,IF(A96&lt;'Données projet'!$A$88,$BA$205^A96,IF(A96='Données projet'!$A$88,'Données projet'!$B$88,BD95+BC96-BL95)))</f>
        <v>290.00000000000006</v>
      </c>
      <c r="BE96" s="14">
        <f>BD96*VLOOKUP('Données projet'!$B$11,Paramètres!$A$1:$I$89,3,0)*VLOOKUP('Données projet'!$B$11,Paramètres!$A$1:$I$89,5,0)</f>
        <v>262.39200000000005</v>
      </c>
      <c r="BF96" s="14">
        <f t="shared" si="91"/>
        <v>63.231983614474998</v>
      </c>
      <c r="BG96" s="22">
        <f t="shared" si="61"/>
        <v>567.12843812854396</v>
      </c>
      <c r="BH96" s="62">
        <f t="shared" si="62"/>
        <v>860.46177146187733</v>
      </c>
      <c r="BI96" s="62">
        <f ca="1">AVERAGE(OFFSET($BH$3,0,0,'Données projet'!$E$11+1,1))-AVERAGE(OFFSET($H$3,0,0,'Données projet'!$E$11+1,1))</f>
        <v>278.41778972502732</v>
      </c>
      <c r="BJ96" s="62">
        <f t="shared" si="92"/>
        <v>157.75772798974242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0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52.545999999999928</v>
      </c>
      <c r="D97" s="12">
        <f t="shared" si="86"/>
        <v>15.269362648914145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523.487009921442</v>
      </c>
      <c r="H97" s="70">
        <f t="shared" si="56"/>
        <v>411.44508994685867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18.5</v>
      </c>
      <c r="N97" s="14">
        <f>IF('Données projet'!$A$36&gt;35,N96+M97-V96,IF(A97&lt;'Données projet'!$A$36,$K$205^A97,IF(A97='Données projet'!$A$36,'Données projet'!$B$36,N96+M97-V96)))</f>
        <v>611.99999999999989</v>
      </c>
      <c r="O97" s="14">
        <f>N97*VLOOKUP('Données projet'!$B$9,Paramètres!$A$1:$I$89,3,0)*VLOOKUP('Données projet'!$B$9,Paramètres!$A$1:$I$89,5,0)</f>
        <v>286.41599999999994</v>
      </c>
      <c r="P97" s="14">
        <f t="shared" si="87"/>
        <v>68.321101129951188</v>
      </c>
      <c r="Q97" s="22">
        <f t="shared" si="54"/>
        <v>617.83378446799827</v>
      </c>
      <c r="R97" s="62">
        <f t="shared" si="55"/>
        <v>911.16711780133164</v>
      </c>
      <c r="S97" s="62">
        <f ca="1">AVERAGE(OFFSET($R$3,0,0,'Données projet'!$E$9+1,1))-AVERAGE(OFFSET($H$3,0,0,'Données projet'!$E$9+1,1))</f>
        <v>302.30714066618623</v>
      </c>
      <c r="T97" s="62">
        <f t="shared" si="88"/>
        <v>218.81984836501334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-1.7053025658242404E-13</v>
      </c>
      <c r="AJ97" s="14">
        <f>AI97*VLOOKUP('Données projet'!$B$10,Paramètres!$A$1:$I$89,3,0)*VLOOKUP('Données projet'!$B$10,Paramètres!$A$1:$I$89,5,0)</f>
        <v>-1.0197709343628959E-13</v>
      </c>
      <c r="AK97" s="14" t="e">
        <f t="shared" si="89"/>
        <v>#NUM!</v>
      </c>
      <c r="AL97" s="22" t="e">
        <f t="shared" si="58"/>
        <v>#NUM!</v>
      </c>
      <c r="AM97" s="62" t="e">
        <f t="shared" si="59"/>
        <v>#NUM!</v>
      </c>
      <c r="AN97" s="62">
        <f ca="1">AVERAGE(OFFSET($AM$3,0,0,'Données projet'!$E$10+1,1))-AVERAGE(OFFSET($H$3,0,0,'Données projet'!$E$10+1,1))</f>
        <v>150.05970318721711</v>
      </c>
      <c r="AO97" s="62">
        <f t="shared" si="90"/>
        <v>230.8269864623847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43.746105427833847</v>
      </c>
      <c r="AV97" s="23">
        <f>EXP(-LN(2)/25)*AV96+(1-EXP(-LN(2)/25))/(LN(2)/25)*Calculateur!AQ97*Calculateur!AS97*VLOOKUP('Données projet'!$B$10,Paramètres!$A$1:$I$89,3,0)*0.475*44/12</f>
        <v>0.85018026543650438</v>
      </c>
      <c r="AW97" s="23">
        <f>EXP(-LN(2)/2)*AW96+(1-EXP(-LN(2)/2))/(LN(2)/2)*AQ97*AT97*VLOOKUP('Données projet'!$B$10,Paramètres!$A$1:$I$89,3,0)*0.475*44/12</f>
        <v>9.5443653031716153E-6</v>
      </c>
      <c r="AX97" s="23">
        <f t="shared" si="60"/>
        <v>44.596295237635658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5</v>
      </c>
      <c r="BD97" s="13">
        <f>IF('Données projet'!$A$88&gt;35,BD96+BC97-BL96,IF(A97&lt;'Données projet'!$A$88,$BA$205^A97,IF(A97='Données projet'!$A$88,'Données projet'!$B$88,BD96+BC97-BL96)))</f>
        <v>295.00000000000006</v>
      </c>
      <c r="BE97" s="14">
        <f>BD97*VLOOKUP('Données projet'!$B$11,Paramètres!$A$1:$I$89,3,0)*VLOOKUP('Données projet'!$B$11,Paramètres!$A$1:$I$89,5,0)</f>
        <v>266.91600000000005</v>
      </c>
      <c r="BF97" s="14">
        <f t="shared" si="91"/>
        <v>64.194329696332176</v>
      </c>
      <c r="BG97" s="22">
        <f t="shared" si="61"/>
        <v>576.68382422111188</v>
      </c>
      <c r="BH97" s="62">
        <f t="shared" si="62"/>
        <v>870.01715755444525</v>
      </c>
      <c r="BI97" s="62">
        <f ca="1">AVERAGE(OFFSET($BH$3,0,0,'Données projet'!$E$11+1,1))-AVERAGE(OFFSET($H$3,0,0,'Données projet'!$E$11+1,1))</f>
        <v>278.41778972502732</v>
      </c>
      <c r="BJ97" s="62">
        <f t="shared" si="92"/>
        <v>157.75772798974242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0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53.104999999999926</v>
      </c>
      <c r="D98" s="12">
        <f t="shared" si="86"/>
        <v>15.412806139971298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528.9093807296025</v>
      </c>
      <c r="H98" s="70">
        <f t="shared" si="56"/>
        <v>412.66851236044988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18.5</v>
      </c>
      <c r="N98" s="14">
        <f>IF('Données projet'!$A$36&gt;35,N97+M98-V97,IF(A98&lt;'Données projet'!$A$36,$K$205^A98,IF(A98='Données projet'!$A$36,'Données projet'!$B$36,N97+M98-V97)))</f>
        <v>630.49999999999989</v>
      </c>
      <c r="O98" s="14">
        <f>N98*VLOOKUP('Données projet'!$B$9,Paramètres!$A$1:$I$89,3,0)*VLOOKUP('Données projet'!$B$9,Paramètres!$A$1:$I$89,5,0)</f>
        <v>295.07399999999996</v>
      </c>
      <c r="P98" s="14">
        <f t="shared" si="87"/>
        <v>70.142791709481173</v>
      </c>
      <c r="Q98" s="22">
        <f t="shared" si="54"/>
        <v>636.08591222734628</v>
      </c>
      <c r="R98" s="62">
        <f t="shared" si="55"/>
        <v>929.41924556067966</v>
      </c>
      <c r="S98" s="62">
        <f ca="1">AVERAGE(OFFSET($R$3,0,0,'Données projet'!$E$9+1,1))-AVERAGE(OFFSET($H$3,0,0,'Données projet'!$E$9+1,1))</f>
        <v>302.30714066618623</v>
      </c>
      <c r="T98" s="62">
        <f t="shared" si="88"/>
        <v>218.81984836501334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-1.7053025658242404E-13</v>
      </c>
      <c r="AJ98" s="14">
        <f>AI98*VLOOKUP('Données projet'!$B$10,Paramètres!$A$1:$I$89,3,0)*VLOOKUP('Données projet'!$B$10,Paramètres!$A$1:$I$89,5,0)</f>
        <v>-1.0197709343628959E-13</v>
      </c>
      <c r="AK98" s="14" t="e">
        <f t="shared" si="89"/>
        <v>#NUM!</v>
      </c>
      <c r="AL98" s="22" t="e">
        <f t="shared" si="58"/>
        <v>#NUM!</v>
      </c>
      <c r="AM98" s="62" t="e">
        <f t="shared" si="59"/>
        <v>#NUM!</v>
      </c>
      <c r="AN98" s="62">
        <f ca="1">AVERAGE(OFFSET($AM$3,0,0,'Données projet'!$E$10+1,1))-AVERAGE(OFFSET($H$3,0,0,'Données projet'!$E$10+1,1))</f>
        <v>150.05970318721711</v>
      </c>
      <c r="AO98" s="62">
        <f t="shared" si="90"/>
        <v>230.8269864623847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42.888270982883661</v>
      </c>
      <c r="AV98" s="23">
        <f>EXP(-LN(2)/25)*AV97+(1-EXP(-LN(2)/25))/(LN(2)/25)*Calculateur!AQ98*Calculateur!AS98*VLOOKUP('Données projet'!$B$10,Paramètres!$A$1:$I$89,3,0)*0.475*44/12</f>
        <v>0.82693204136910614</v>
      </c>
      <c r="AW98" s="23">
        <f>EXP(-LN(2)/2)*AW97+(1-EXP(-LN(2)/2))/(LN(2)/2)*AQ98*AT98*VLOOKUP('Données projet'!$B$10,Paramètres!$A$1:$I$89,3,0)*0.475*44/12</f>
        <v>6.7488854279942478E-6</v>
      </c>
      <c r="AX98" s="23">
        <f t="shared" si="60"/>
        <v>43.715209773138191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>
        <f>VLOOKUP(A98,'Données projet'!$A$87:$I$107,2,0)</f>
        <v>300</v>
      </c>
      <c r="BB98" s="13">
        <f>VLOOKUP(A98,'Données projet'!$A$87:$I$107,9,0)</f>
        <v>5</v>
      </c>
      <c r="BC98" s="13">
        <f t="array" ref="BC98">INDEX(BB:BB,MIN(IF(ISNUMBER(BB98:BB294),ROW(BB98:BB294),"")))</f>
        <v>5</v>
      </c>
      <c r="BD98" s="13">
        <f>IF('Données projet'!$A$88&gt;35,BD97+BC98-BL97,IF(A98&lt;'Données projet'!$A$88,$BA$205^A98,IF(A98='Données projet'!$A$88,'Données projet'!$B$88,BD97+BC98-BL97)))</f>
        <v>300.00000000000006</v>
      </c>
      <c r="BE98" s="14">
        <f>BD98*VLOOKUP('Données projet'!$B$11,Paramètres!$A$1:$I$89,3,0)*VLOOKUP('Données projet'!$B$11,Paramètres!$A$1:$I$89,5,0)</f>
        <v>271.44000000000005</v>
      </c>
      <c r="BF98" s="14">
        <f t="shared" si="91"/>
        <v>65.15477895915123</v>
      </c>
      <c r="BG98" s="22">
        <f t="shared" si="61"/>
        <v>586.2359066871885</v>
      </c>
      <c r="BH98" s="62">
        <f t="shared" si="62"/>
        <v>879.56924002052187</v>
      </c>
      <c r="BI98" s="62">
        <f ca="1">AVERAGE(OFFSET($BH$3,0,0,'Données projet'!$E$11+1,1))-AVERAGE(OFFSET($H$3,0,0,'Données projet'!$E$11+1,1))</f>
        <v>278.41778972502732</v>
      </c>
      <c r="BJ98" s="62">
        <f t="shared" si="92"/>
        <v>157.75772798974242</v>
      </c>
      <c r="BK98" s="16">
        <f>IF(ISNA(VLOOKUP(A98,'Données projet'!$A$87:$I$107,3,0)),0,VLOOKUP(A98,'Données projet'!$A$87:$I$107,3,0))</f>
        <v>15</v>
      </c>
      <c r="BL98" s="16">
        <f>IF(ISNA(VLOOKUP(A98,'Données projet'!$A$87:$I$107,4,0)),0,VLOOKUP(A98,'Données projet'!$A$87:$I$107,4,0))</f>
        <v>21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0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53.663999999999923</v>
      </c>
      <c r="D99" s="12">
        <f t="shared" si="86"/>
        <v>15.556073979202761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534.33039562893293</v>
      </c>
      <c r="H99" s="70">
        <f t="shared" si="56"/>
        <v>413.89162884711129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18.5</v>
      </c>
      <c r="N99" s="14">
        <f>IF('Données projet'!$A$36&gt;35,N98+M99-V98,IF(A99&lt;'Données projet'!$A$36,$K$205^A99,IF(A99='Données projet'!$A$36,'Données projet'!$B$36,N98+M99-V98)))</f>
        <v>648.99999999999989</v>
      </c>
      <c r="O99" s="14">
        <f>N99*VLOOKUP('Données projet'!$B$9,Paramètres!$A$1:$I$89,3,0)*VLOOKUP('Données projet'!$B$9,Paramètres!$A$1:$I$89,5,0)</f>
        <v>303.73199999999997</v>
      </c>
      <c r="P99" s="14">
        <f t="shared" si="87"/>
        <v>71.958270185981476</v>
      </c>
      <c r="Q99" s="22">
        <f t="shared" ref="Q99:Q130" si="107">(O99+P99)*0.475*44/12</f>
        <v>654.32722057391766</v>
      </c>
      <c r="R99" s="62">
        <f t="shared" si="55"/>
        <v>947.66055390725091</v>
      </c>
      <c r="S99" s="62">
        <f ca="1">AVERAGE(OFFSET($R$3,0,0,'Données projet'!$E$9+1,1))-AVERAGE(OFFSET($H$3,0,0,'Données projet'!$E$9+1,1))</f>
        <v>302.30714066618623</v>
      </c>
      <c r="T99" s="62">
        <f t="shared" si="88"/>
        <v>218.81984836501334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-1.7053025658242404E-13</v>
      </c>
      <c r="AJ99" s="14">
        <f>AI99*VLOOKUP('Données projet'!$B$10,Paramètres!$A$1:$I$89,3,0)*VLOOKUP('Données projet'!$B$10,Paramètres!$A$1:$I$89,5,0)</f>
        <v>-1.0197709343628959E-13</v>
      </c>
      <c r="AK99" s="14" t="e">
        <f t="shared" si="89"/>
        <v>#NUM!</v>
      </c>
      <c r="AL99" s="22" t="e">
        <f t="shared" si="58"/>
        <v>#NUM!</v>
      </c>
      <c r="AM99" s="62" t="e">
        <f t="shared" si="59"/>
        <v>#NUM!</v>
      </c>
      <c r="AN99" s="62">
        <f ca="1">AVERAGE(OFFSET($AM$3,0,0,'Données projet'!$E$10+1,1))-AVERAGE(OFFSET($H$3,0,0,'Données projet'!$E$10+1,1))</f>
        <v>150.05970318721711</v>
      </c>
      <c r="AO99" s="62">
        <f t="shared" si="90"/>
        <v>230.8269864623847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42.047258148171601</v>
      </c>
      <c r="AV99" s="23">
        <f>EXP(-LN(2)/25)*AV98+(1-EXP(-LN(2)/25))/(LN(2)/25)*Calculateur!AQ99*Calculateur!AS99*VLOOKUP('Données projet'!$B$10,Paramètres!$A$1:$I$89,3,0)*0.475*44/12</f>
        <v>0.80431954121140181</v>
      </c>
      <c r="AW99" s="23">
        <f>EXP(-LN(2)/2)*AW98+(1-EXP(-LN(2)/2))/(LN(2)/2)*AQ99*AT99*VLOOKUP('Données projet'!$B$10,Paramètres!$A$1:$I$89,3,0)*0.475*44/12</f>
        <v>4.7721826515858077E-6</v>
      </c>
      <c r="AX99" s="23">
        <f t="shared" si="60"/>
        <v>42.851582461565648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4.8</v>
      </c>
      <c r="BD99" s="13">
        <f>IF('Données projet'!$A$88&gt;35,BD98+BC99-BL98,IF(A99&lt;'Données projet'!$A$88,$BA$205^A99,IF(A99='Données projet'!$A$88,'Données projet'!$B$88,BD98+BC99-BL98)))</f>
        <v>283.80000000000007</v>
      </c>
      <c r="BE99" s="14">
        <f>BD99*VLOOKUP('Données projet'!$B$11,Paramètres!$A$1:$I$89,3,0)*VLOOKUP('Données projet'!$B$11,Paramètres!$A$1:$I$89,5,0)</f>
        <v>256.78224000000006</v>
      </c>
      <c r="BF99" s="14">
        <f t="shared" si="91"/>
        <v>62.03598522681007</v>
      </c>
      <c r="BG99" s="22">
        <f t="shared" si="61"/>
        <v>555.27507560336085</v>
      </c>
      <c r="BH99" s="62">
        <f t="shared" si="62"/>
        <v>848.6084089366941</v>
      </c>
      <c r="BI99" s="62">
        <f ca="1">AVERAGE(OFFSET($BH$3,0,0,'Données projet'!$E$11+1,1))-AVERAGE(OFFSET($H$3,0,0,'Données projet'!$E$11+1,1))</f>
        <v>278.41778972502732</v>
      </c>
      <c r="BJ99" s="62">
        <f t="shared" si="92"/>
        <v>157.75772798974242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0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54.222999999999921</v>
      </c>
      <c r="D100" s="12">
        <f t="shared" si="86"/>
        <v>15.699168208129208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539.75007037854073</v>
      </c>
      <c r="H100" s="70">
        <f t="shared" si="56"/>
        <v>415.11444296249152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18.5</v>
      </c>
      <c r="N100" s="14">
        <f>IF('Données projet'!$A$36&gt;35,N99+M100-V99,IF(A100&lt;'Données projet'!$A$36,$K$205^A100,IF(A100='Données projet'!$A$36,'Données projet'!$B$36,N99+M100-V99)))</f>
        <v>667.49999999999989</v>
      </c>
      <c r="O100" s="14">
        <f>N100*VLOOKUP('Données projet'!$B$9,Paramètres!$A$1:$I$89,3,0)*VLOOKUP('Données projet'!$B$9,Paramètres!$A$1:$I$89,5,0)</f>
        <v>312.38999999999993</v>
      </c>
      <c r="P100" s="14">
        <f t="shared" si="87"/>
        <v>73.767733976388286</v>
      </c>
      <c r="Q100" s="22">
        <f t="shared" si="107"/>
        <v>672.55805334220952</v>
      </c>
      <c r="R100" s="62">
        <f t="shared" si="55"/>
        <v>965.89138667554289</v>
      </c>
      <c r="S100" s="62">
        <f ca="1">AVERAGE(OFFSET($R$3,0,0,'Données projet'!$E$9+1,1))-AVERAGE(OFFSET($H$3,0,0,'Données projet'!$E$9+1,1))</f>
        <v>302.30714066618623</v>
      </c>
      <c r="T100" s="62">
        <f t="shared" si="88"/>
        <v>218.81984836501334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-1.7053025658242404E-13</v>
      </c>
      <c r="AJ100" s="14">
        <f>AI100*VLOOKUP('Données projet'!$B$10,Paramètres!$A$1:$I$89,3,0)*VLOOKUP('Données projet'!$B$10,Paramètres!$A$1:$I$89,5,0)</f>
        <v>-1.0197709343628959E-13</v>
      </c>
      <c r="AK100" s="14" t="e">
        <f t="shared" si="89"/>
        <v>#NUM!</v>
      </c>
      <c r="AL100" s="22" t="e">
        <f t="shared" si="58"/>
        <v>#NUM!</v>
      </c>
      <c r="AM100" s="62" t="e">
        <f t="shared" si="59"/>
        <v>#NUM!</v>
      </c>
      <c r="AN100" s="62">
        <f ca="1">AVERAGE(OFFSET($AM$3,0,0,'Données projet'!$E$10+1,1))-AVERAGE(OFFSET($H$3,0,0,'Données projet'!$E$10+1,1))</f>
        <v>150.05970318721711</v>
      </c>
      <c r="AO100" s="62">
        <f t="shared" si="90"/>
        <v>230.8269864623847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41.222737062181068</v>
      </c>
      <c r="AV100" s="23">
        <f>EXP(-LN(2)/25)*AV99+(1-EXP(-LN(2)/25))/(LN(2)/25)*Calculateur!AQ100*Calculateur!AS100*VLOOKUP('Données projet'!$B$10,Paramètres!$A$1:$I$89,3,0)*0.475*44/12</f>
        <v>0.78232538105964966</v>
      </c>
      <c r="AW100" s="23">
        <f>EXP(-LN(2)/2)*AW99+(1-EXP(-LN(2)/2))/(LN(2)/2)*AQ100*AT100*VLOOKUP('Données projet'!$B$10,Paramètres!$A$1:$I$89,3,0)*0.475*44/12</f>
        <v>3.3744427139971239E-6</v>
      </c>
      <c r="AX100" s="23">
        <f t="shared" si="60"/>
        <v>42.00506581768343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4.8</v>
      </c>
      <c r="BD100" s="13">
        <f>IF('Données projet'!$A$88&gt;35,BD99+BC100-BL99,IF(A100&lt;'Données projet'!$A$88,$BA$205^A100,IF(A100='Données projet'!$A$88,'Données projet'!$B$88,BD99+BC100-BL99)))</f>
        <v>288.60000000000008</v>
      </c>
      <c r="BE100" s="14">
        <f>BD100*VLOOKUP('Données projet'!$B$11,Paramètres!$A$1:$I$89,3,0)*VLOOKUP('Données projet'!$B$11,Paramètres!$A$1:$I$89,5,0)</f>
        <v>261.12528000000009</v>
      </c>
      <c r="BF100" s="14">
        <f t="shared" si="91"/>
        <v>62.962181856353716</v>
      </c>
      <c r="BG100" s="22">
        <f t="shared" si="61"/>
        <v>564.45232939981622</v>
      </c>
      <c r="BH100" s="62">
        <f t="shared" si="62"/>
        <v>857.78566273314959</v>
      </c>
      <c r="BI100" s="62">
        <f ca="1">AVERAGE(OFFSET($BH$3,0,0,'Données projet'!$E$11+1,1))-AVERAGE(OFFSET($H$3,0,0,'Données projet'!$E$11+1,1))</f>
        <v>278.41778972502732</v>
      </c>
      <c r="BJ100" s="62">
        <f t="shared" si="92"/>
        <v>157.75772798974242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0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54.781999999999918</v>
      </c>
      <c r="D101" s="12">
        <f t="shared" si="86"/>
        <v>15.842090823752644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545.1684203938795</v>
      </c>
      <c r="H101" s="70">
        <f t="shared" si="56"/>
        <v>416.33695818470238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18.5</v>
      </c>
      <c r="N101" s="14">
        <f>IF('Données projet'!$A$36&gt;35,N100+M101-V100,IF(A101&lt;'Données projet'!$A$36,$K$205^A101,IF(A101='Données projet'!$A$36,'Données projet'!$B$36,N100+M101-V100)))</f>
        <v>685.99999999999989</v>
      </c>
      <c r="O101" s="14">
        <f>N101*VLOOKUP('Données projet'!$B$9,Paramètres!$A$1:$I$89,3,0)*VLOOKUP('Données projet'!$B$9,Paramètres!$A$1:$I$89,5,0)</f>
        <v>321.04799999999994</v>
      </c>
      <c r="P101" s="14">
        <f t="shared" si="87"/>
        <v>75.571368931978697</v>
      </c>
      <c r="Q101" s="22">
        <f t="shared" si="107"/>
        <v>690.77873422319624</v>
      </c>
      <c r="R101" s="62">
        <f t="shared" si="55"/>
        <v>984.11206755652961</v>
      </c>
      <c r="S101" s="62">
        <f ca="1">AVERAGE(OFFSET($R$3,0,0,'Données projet'!$E$9+1,1))-AVERAGE(OFFSET($H$3,0,0,'Données projet'!$E$9+1,1))</f>
        <v>302.30714066618623</v>
      </c>
      <c r="T101" s="62">
        <f t="shared" si="88"/>
        <v>218.81984836501334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-1.7053025658242404E-13</v>
      </c>
      <c r="AJ101" s="14">
        <f>AI101*VLOOKUP('Données projet'!$B$10,Paramètres!$A$1:$I$89,3,0)*VLOOKUP('Données projet'!$B$10,Paramètres!$A$1:$I$89,5,0)</f>
        <v>-1.0197709343628959E-13</v>
      </c>
      <c r="AK101" s="14" t="e">
        <f t="shared" si="89"/>
        <v>#NUM!</v>
      </c>
      <c r="AL101" s="22" t="e">
        <f t="shared" si="58"/>
        <v>#NUM!</v>
      </c>
      <c r="AM101" s="62" t="e">
        <f t="shared" si="59"/>
        <v>#NUM!</v>
      </c>
      <c r="AN101" s="62">
        <f ca="1">AVERAGE(OFFSET($AM$3,0,0,'Données projet'!$E$10+1,1))-AVERAGE(OFFSET($H$3,0,0,'Données projet'!$E$10+1,1))</f>
        <v>150.05970318721711</v>
      </c>
      <c r="AO101" s="62">
        <f t="shared" si="90"/>
        <v>230.8269864623847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40.414384331778599</v>
      </c>
      <c r="AV101" s="23">
        <f>EXP(-LN(2)/25)*AV100+(1-EXP(-LN(2)/25))/(LN(2)/25)*Calculateur!AQ101*Calculateur!AS101*VLOOKUP('Données projet'!$B$10,Paramètres!$A$1:$I$89,3,0)*0.475*44/12</f>
        <v>0.76093265237386976</v>
      </c>
      <c r="AW101" s="23">
        <f>EXP(-LN(2)/2)*AW100+(1-EXP(-LN(2)/2))/(LN(2)/2)*AQ101*AT101*VLOOKUP('Données projet'!$B$10,Paramètres!$A$1:$I$89,3,0)*0.475*44/12</f>
        <v>2.3860913257929038E-6</v>
      </c>
      <c r="AX101" s="23">
        <f t="shared" si="60"/>
        <v>41.175319370243791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4.8</v>
      </c>
      <c r="BD101" s="13">
        <f>IF('Données projet'!$A$88&gt;35,BD100+BC101-BL100,IF(A101&lt;'Données projet'!$A$88,$BA$205^A101,IF(A101='Données projet'!$A$88,'Données projet'!$B$88,BD100+BC101-BL100)))</f>
        <v>293.40000000000009</v>
      </c>
      <c r="BE101" s="14">
        <f>BD101*VLOOKUP('Données projet'!$B$11,Paramètres!$A$1:$I$89,3,0)*VLOOKUP('Données projet'!$B$11,Paramètres!$A$1:$I$89,5,0)</f>
        <v>265.46832000000012</v>
      </c>
      <c r="BF101" s="14">
        <f t="shared" si="91"/>
        <v>63.886587047268812</v>
      </c>
      <c r="BG101" s="22">
        <f t="shared" si="61"/>
        <v>573.62646310732669</v>
      </c>
      <c r="BH101" s="62">
        <f t="shared" si="62"/>
        <v>866.95979644066006</v>
      </c>
      <c r="BI101" s="62">
        <f ca="1">AVERAGE(OFFSET($BH$3,0,0,'Données projet'!$E$11+1,1))-AVERAGE(OFFSET($H$3,0,0,'Données projet'!$E$11+1,1))</f>
        <v>278.41778972502732</v>
      </c>
      <c r="BJ101" s="62">
        <f t="shared" si="92"/>
        <v>157.75772798974242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0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55.340999999999916</v>
      </c>
      <c r="D102" s="12">
        <f t="shared" si="86"/>
        <v>15.984843779971341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550.58546075767288</v>
      </c>
      <c r="H102" s="70">
        <f t="shared" si="56"/>
        <v>417.55917791678326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18.5</v>
      </c>
      <c r="N102" s="14">
        <f>IF('Données projet'!$A$36&gt;35,N101+M102-V101,IF(A102&lt;'Données projet'!$A$36,$K$205^A102,IF(A102='Données projet'!$A$36,'Données projet'!$B$36,N101+M102-V101)))</f>
        <v>704.49999999999989</v>
      </c>
      <c r="O102" s="14">
        <f>N102*VLOOKUP('Données projet'!$B$9,Paramètres!$A$1:$I$89,3,0)*VLOOKUP('Données projet'!$B$9,Paramètres!$A$1:$I$89,5,0)</f>
        <v>329.70599999999996</v>
      </c>
      <c r="P102" s="14">
        <f t="shared" si="87"/>
        <v>77.369350309333612</v>
      </c>
      <c r="Q102" s="22">
        <f t="shared" si="107"/>
        <v>708.98956845542261</v>
      </c>
      <c r="R102" s="62">
        <f t="shared" si="55"/>
        <v>1002.3229017887559</v>
      </c>
      <c r="S102" s="62">
        <f ca="1">AVERAGE(OFFSET($R$3,0,0,'Données projet'!$E$9+1,1))-AVERAGE(OFFSET($H$3,0,0,'Données projet'!$E$9+1,1))</f>
        <v>302.30714066618623</v>
      </c>
      <c r="T102" s="62">
        <f t="shared" si="88"/>
        <v>218.81984836501334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-1.7053025658242404E-13</v>
      </c>
      <c r="AJ102" s="14">
        <f>AI102*VLOOKUP('Données projet'!$B$10,Paramètres!$A$1:$I$89,3,0)*VLOOKUP('Données projet'!$B$10,Paramètres!$A$1:$I$89,5,0)</f>
        <v>-1.0197709343628959E-13</v>
      </c>
      <c r="AK102" s="14" t="e">
        <f t="shared" si="89"/>
        <v>#NUM!</v>
      </c>
      <c r="AL102" s="22" t="e">
        <f t="shared" si="58"/>
        <v>#NUM!</v>
      </c>
      <c r="AM102" s="62" t="e">
        <f t="shared" si="59"/>
        <v>#NUM!</v>
      </c>
      <c r="AN102" s="62">
        <f ca="1">AVERAGE(OFFSET($AM$3,0,0,'Données projet'!$E$10+1,1))-AVERAGE(OFFSET($H$3,0,0,'Données projet'!$E$10+1,1))</f>
        <v>150.05970318721711</v>
      </c>
      <c r="AO102" s="62">
        <f t="shared" si="90"/>
        <v>230.8269864623847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39.621882905372843</v>
      </c>
      <c r="AV102" s="23">
        <f>EXP(-LN(2)/25)*AV101+(1-EXP(-LN(2)/25))/(LN(2)/25)*Calculateur!AQ102*Calculateur!AS102*VLOOKUP('Données projet'!$B$10,Paramètres!$A$1:$I$89,3,0)*0.475*44/12</f>
        <v>0.74012490897899719</v>
      </c>
      <c r="AW102" s="23">
        <f>EXP(-LN(2)/2)*AW101+(1-EXP(-LN(2)/2))/(LN(2)/2)*AQ102*AT102*VLOOKUP('Données projet'!$B$10,Paramètres!$A$1:$I$89,3,0)*0.475*44/12</f>
        <v>1.6872213569985619E-6</v>
      </c>
      <c r="AX102" s="23">
        <f t="shared" si="60"/>
        <v>40.362009501573198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4.8</v>
      </c>
      <c r="BD102" s="13">
        <f>IF('Données projet'!$A$88&gt;35,BD101+BC102-BL101,IF(A102&lt;'Données projet'!$A$88,$BA$205^A102,IF(A102='Données projet'!$A$88,'Données projet'!$B$88,BD101+BC102-BL101)))</f>
        <v>298.2000000000001</v>
      </c>
      <c r="BE102" s="14">
        <f>BD102*VLOOKUP('Données projet'!$B$11,Paramètres!$A$1:$I$89,3,0)*VLOOKUP('Données projet'!$B$11,Paramètres!$A$1:$I$89,5,0)</f>
        <v>269.81136000000009</v>
      </c>
      <c r="BF102" s="14">
        <f t="shared" si="91"/>
        <v>64.809233490575778</v>
      </c>
      <c r="BG102" s="22">
        <f t="shared" si="61"/>
        <v>582.79753366275293</v>
      </c>
      <c r="BH102" s="62">
        <f t="shared" si="62"/>
        <v>876.1308669960863</v>
      </c>
      <c r="BI102" s="62">
        <f ca="1">AVERAGE(OFFSET($BH$3,0,0,'Données projet'!$E$11+1,1))-AVERAGE(OFFSET($H$3,0,0,'Données projet'!$E$11+1,1))</f>
        <v>278.41778972502732</v>
      </c>
      <c r="BJ102" s="62">
        <f t="shared" si="92"/>
        <v>157.75772798974242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0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55.899999999999913</v>
      </c>
      <c r="D103" s="12">
        <f t="shared" si="86"/>
        <v>16.127428988936046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556.00120623038276</v>
      </c>
      <c r="H103" s="70">
        <f t="shared" si="56"/>
        <v>418.78110548906341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>
        <f>VLOOKUP(A103,'Données projet'!$A$35:$I$55,2,0)</f>
        <v>723</v>
      </c>
      <c r="L103" s="13">
        <f>VLOOKUP(A103,'Données projet'!$A$35:$I$55,9,0)</f>
        <v>18.5</v>
      </c>
      <c r="M103" s="13">
        <f t="array" ref="M103">INDEX(L:L,MIN(IF(ISNUMBER(L103:L299),ROW(L103:L299),"")))</f>
        <v>18.5</v>
      </c>
      <c r="N103" s="14">
        <f>IF('Données projet'!$A$36&gt;35,N102+M103-V102,IF(A103&lt;'Données projet'!$A$36,$K$205^A103,IF(A103='Données projet'!$A$36,'Données projet'!$B$36,N102+M103-V102)))</f>
        <v>722.99999999999989</v>
      </c>
      <c r="O103" s="14">
        <f>N103*VLOOKUP('Données projet'!$B$9,Paramètres!$A$1:$I$89,3,0)*VLOOKUP('Données projet'!$B$9,Paramètres!$A$1:$I$89,5,0)</f>
        <v>338.36399999999998</v>
      </c>
      <c r="P103" s="14">
        <f t="shared" si="87"/>
        <v>79.161843636443024</v>
      </c>
      <c r="Q103" s="22">
        <f t="shared" si="107"/>
        <v>727.19084433347155</v>
      </c>
      <c r="R103" s="62">
        <f t="shared" si="55"/>
        <v>1020.5241776668049</v>
      </c>
      <c r="S103" s="62">
        <f ca="1">AVERAGE(OFFSET($R$3,0,0,'Données projet'!$E$9+1,1))-AVERAGE(OFFSET($H$3,0,0,'Données projet'!$E$9+1,1))</f>
        <v>302.30714066618623</v>
      </c>
      <c r="T103" s="62">
        <f t="shared" si="88"/>
        <v>218.81984836501334</v>
      </c>
      <c r="U103" s="16">
        <f>IF(ISNA(VLOOKUP(A103,'Données projet'!$A$35:$I$55,3,0)),0,VLOOKUP(A103,'Données projet'!$A$35:$I$55,3,0))</f>
        <v>9</v>
      </c>
      <c r="V103" s="16">
        <f>IF(ISNA(VLOOKUP(A103,'Données projet'!$A$35:$I$55,4,0)),0,VLOOKUP(A103,'Données projet'!$A$35:$I$55,4,0))</f>
        <v>723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-1.7053025658242404E-13</v>
      </c>
      <c r="AJ103" s="14">
        <f>AI103*VLOOKUP('Données projet'!$B$10,Paramètres!$A$1:$I$89,3,0)*VLOOKUP('Données projet'!$B$10,Paramètres!$A$1:$I$89,5,0)</f>
        <v>-1.0197709343628959E-13</v>
      </c>
      <c r="AK103" s="14" t="e">
        <f t="shared" si="89"/>
        <v>#NUM!</v>
      </c>
      <c r="AL103" s="22" t="e">
        <f t="shared" si="58"/>
        <v>#NUM!</v>
      </c>
      <c r="AM103" s="62" t="e">
        <f t="shared" si="59"/>
        <v>#NUM!</v>
      </c>
      <c r="AN103" s="62">
        <f ca="1">AVERAGE(OFFSET($AM$3,0,0,'Données projet'!$E$10+1,1))-AVERAGE(OFFSET($H$3,0,0,'Données projet'!$E$10+1,1))</f>
        <v>150.05970318721711</v>
      </c>
      <c r="AO103" s="62">
        <f t="shared" si="90"/>
        <v>230.8269864623847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38.844921948560767</v>
      </c>
      <c r="AV103" s="23">
        <f>EXP(-LN(2)/25)*AV102+(1-EXP(-LN(2)/25))/(LN(2)/25)*Calculateur!AQ103*Calculateur!AS103*VLOOKUP('Données projet'!$B$10,Paramètres!$A$1:$I$89,3,0)*0.475*44/12</f>
        <v>0.71988615442148918</v>
      </c>
      <c r="AW103" s="23">
        <f>EXP(-LN(2)/2)*AW102+(1-EXP(-LN(2)/2))/(LN(2)/2)*AQ103*AT103*VLOOKUP('Données projet'!$B$10,Paramètres!$A$1:$I$89,3,0)*0.475*44/12</f>
        <v>1.1930456628964519E-6</v>
      </c>
      <c r="AX103" s="23">
        <f t="shared" si="60"/>
        <v>39.564809296027917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>
        <f>VLOOKUP(A103,'Données projet'!$A$87:$I$107,2,0)</f>
        <v>303</v>
      </c>
      <c r="BB103" s="13">
        <f>VLOOKUP(A103,'Données projet'!$A$87:$I$107,9,0)</f>
        <v>4.8</v>
      </c>
      <c r="BC103" s="13">
        <f t="array" ref="BC103">INDEX(BB:BB,MIN(IF(ISNUMBER(BB103:BB299),ROW(BB103:BB299),"")))</f>
        <v>4.8</v>
      </c>
      <c r="BD103" s="13">
        <f>IF('Données projet'!$A$88&gt;35,BD102+BC103-BL102,IF(A103&lt;'Données projet'!$A$88,$BA$205^A103,IF(A103='Données projet'!$A$88,'Données projet'!$B$88,BD102+BC103-BL102)))</f>
        <v>303.00000000000011</v>
      </c>
      <c r="BE103" s="14">
        <f>BD103*VLOOKUP('Données projet'!$B$11,Paramètres!$A$1:$I$89,3,0)*VLOOKUP('Données projet'!$B$11,Paramètres!$A$1:$I$89,5,0)</f>
        <v>274.15440000000012</v>
      </c>
      <c r="BF103" s="14">
        <f t="shared" si="91"/>
        <v>65.730152764515836</v>
      </c>
      <c r="BG103" s="22">
        <f t="shared" si="61"/>
        <v>591.96559606486528</v>
      </c>
      <c r="BH103" s="62">
        <f t="shared" si="62"/>
        <v>885.29892939819865</v>
      </c>
      <c r="BI103" s="62">
        <f ca="1">AVERAGE(OFFSET($BH$3,0,0,'Données projet'!$E$11+1,1))-AVERAGE(OFFSET($H$3,0,0,'Données projet'!$E$11+1,1))</f>
        <v>278.41778972502732</v>
      </c>
      <c r="BJ103" s="62">
        <f t="shared" si="92"/>
        <v>157.75772798974242</v>
      </c>
      <c r="BK103" s="16">
        <f>IF(ISNA(VLOOKUP(A103,'Données projet'!$A$87:$I$107,3,0)),0,VLOOKUP(A103,'Données projet'!$A$87:$I$107,3,0))</f>
        <v>16</v>
      </c>
      <c r="BL103" s="16">
        <f>IF(ISNA(VLOOKUP(A103,'Données projet'!$A$87:$I$107,4,0)),0,VLOOKUP(A103,'Données projet'!$A$87:$I$107,4,0))</f>
        <v>21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0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56.458999999999911</v>
      </c>
      <c r="D104" s="12">
        <f t="shared" si="86"/>
        <v>16.269848322350242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561.41567126024688</v>
      </c>
      <c r="H104" s="70">
        <f t="shared" si="56"/>
        <v>420.00274416142651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-1.1368683772161603E-13</v>
      </c>
      <c r="O104" s="14">
        <f>N104*VLOOKUP('Données projet'!$B$9,Paramètres!$A$1:$I$89,3,0)*VLOOKUP('Données projet'!$B$9,Paramètres!$A$1:$I$89,5,0)</f>
        <v>-5.3205440053716299E-14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302.30714066618623</v>
      </c>
      <c r="T104" s="62">
        <f t="shared" si="88"/>
        <v>218.81984836501334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-1.7053025658242404E-13</v>
      </c>
      <c r="AJ104" s="14">
        <f>AI104*VLOOKUP('Données projet'!$B$10,Paramètres!$A$1:$I$89,3,0)*VLOOKUP('Données projet'!$B$10,Paramètres!$A$1:$I$89,5,0)</f>
        <v>-1.0197709343628959E-13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150.05970318721711</v>
      </c>
      <c r="AO104" s="62">
        <f t="shared" si="90"/>
        <v>230.8269864623847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38.083196722212385</v>
      </c>
      <c r="AV104" s="23">
        <f>EXP(-LN(2)/25)*AV103+(1-EXP(-LN(2)/25))/(LN(2)/25)*Calculateur!AQ104*Calculateur!AS104*VLOOKUP('Données projet'!$B$10,Paramètres!$A$1:$I$89,3,0)*0.475*44/12</f>
        <v>0.70020082967166597</v>
      </c>
      <c r="AW104" s="23">
        <f>EXP(-LN(2)/2)*AW103+(1-EXP(-LN(2)/2))/(LN(2)/2)*AQ104*AT104*VLOOKUP('Données projet'!$B$10,Paramètres!$A$1:$I$89,3,0)*0.475*44/12</f>
        <v>8.4361067849928097E-7</v>
      </c>
      <c r="AX104" s="23">
        <f t="shared" si="60"/>
        <v>38.783398395494729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4.4000000000000004</v>
      </c>
      <c r="BD104" s="13">
        <f>IF('Données projet'!$A$88&gt;35,BD103+BC104-BL103,IF(A104&lt;'Données projet'!$A$88,$BA$205^A104,IF(A104='Données projet'!$A$88,'Données projet'!$B$88,BD103+BC104-BL103)))</f>
        <v>286.40000000000009</v>
      </c>
      <c r="BE104" s="14">
        <f>BD104*VLOOKUP('Données projet'!$B$11,Paramètres!$A$1:$I$89,3,0)*VLOOKUP('Données projet'!$B$11,Paramètres!$A$1:$I$89,5,0)</f>
        <v>259.13472000000007</v>
      </c>
      <c r="BF104" s="14">
        <f t="shared" si="91"/>
        <v>62.537899457959263</v>
      </c>
      <c r="BG104" s="22">
        <f t="shared" si="61"/>
        <v>560.24647888927916</v>
      </c>
      <c r="BH104" s="62">
        <f t="shared" si="62"/>
        <v>853.57981222261242</v>
      </c>
      <c r="BI104" s="62">
        <f ca="1">AVERAGE(OFFSET($BH$3,0,0,'Données projet'!$E$11+1,1))-AVERAGE(OFFSET($H$3,0,0,'Données projet'!$E$11+1,1))</f>
        <v>278.41778972502732</v>
      </c>
      <c r="BJ104" s="62">
        <f t="shared" si="92"/>
        <v>157.75772798974242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0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57.017999999999908</v>
      </c>
      <c r="D105" s="12">
        <f t="shared" si="86"/>
        <v>16.412103612717605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566.82886999290713</v>
      </c>
      <c r="H105" s="70">
        <f t="shared" si="56"/>
        <v>421.22409712548301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-1.1368683772161603E-13</v>
      </c>
      <c r="O105" s="14">
        <f>N105*VLOOKUP('Données projet'!$B$9,Paramètres!$A$1:$I$89,3,0)*VLOOKUP('Données projet'!$B$9,Paramètres!$A$1:$I$89,5,0)</f>
        <v>-5.3205440053716299E-14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302.30714066618623</v>
      </c>
      <c r="T105" s="62">
        <f t="shared" si="88"/>
        <v>218.81984836501334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-1.7053025658242404E-13</v>
      </c>
      <c r="AJ105" s="14">
        <f>AI105*VLOOKUP('Données projet'!$B$10,Paramètres!$A$1:$I$89,3,0)*VLOOKUP('Données projet'!$B$10,Paramètres!$A$1:$I$89,5,0)</f>
        <v>-1.0197709343628959E-13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150.05970318721711</v>
      </c>
      <c r="AO105" s="62">
        <f t="shared" si="90"/>
        <v>230.8269864623847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37.336408462946181</v>
      </c>
      <c r="AV105" s="23">
        <f>EXP(-LN(2)/25)*AV104+(1-EXP(-LN(2)/25))/(LN(2)/25)*Calculateur!AQ105*Calculateur!AS105*VLOOKUP('Données projet'!$B$10,Paramètres!$A$1:$I$89,3,0)*0.475*44/12</f>
        <v>0.68105380116233294</v>
      </c>
      <c r="AW105" s="23">
        <f>EXP(-LN(2)/2)*AW104+(1-EXP(-LN(2)/2))/(LN(2)/2)*AQ105*AT105*VLOOKUP('Données projet'!$B$10,Paramètres!$A$1:$I$89,3,0)*0.475*44/12</f>
        <v>5.9652283144822596E-7</v>
      </c>
      <c r="AX105" s="23">
        <f t="shared" si="60"/>
        <v>38.017462860631348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4.4000000000000004</v>
      </c>
      <c r="BD105" s="13">
        <f>IF('Données projet'!$A$88&gt;35,BD104+BC105-BL104,IF(A105&lt;'Données projet'!$A$88,$BA$205^A105,IF(A105='Données projet'!$A$88,'Données projet'!$B$88,BD104+BC105-BL104)))</f>
        <v>290.80000000000007</v>
      </c>
      <c r="BE105" s="14">
        <f>BD105*VLOOKUP('Données projet'!$B$11,Paramètres!$A$1:$I$89,3,0)*VLOOKUP('Données projet'!$B$11,Paramètres!$A$1:$I$89,5,0)</f>
        <v>263.11584000000005</v>
      </c>
      <c r="BF105" s="14">
        <f t="shared" si="91"/>
        <v>63.386087944423444</v>
      </c>
      <c r="BG105" s="22">
        <f t="shared" si="61"/>
        <v>568.65752450320417</v>
      </c>
      <c r="BH105" s="62">
        <f t="shared" si="62"/>
        <v>861.99085783653754</v>
      </c>
      <c r="BI105" s="62">
        <f ca="1">AVERAGE(OFFSET($BH$3,0,0,'Données projet'!$E$11+1,1))-AVERAGE(OFFSET($H$3,0,0,'Données projet'!$E$11+1,1))</f>
        <v>278.41778972502732</v>
      </c>
      <c r="BJ105" s="62">
        <f t="shared" si="92"/>
        <v>157.75772798974242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0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57.576999999999906</v>
      </c>
      <c r="D106" s="12">
        <f t="shared" si="86"/>
        <v>16.554196654539041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572.24081628065153</v>
      </c>
      <c r="H106" s="70">
        <f t="shared" si="56"/>
        <v>422.44516750665525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-1.1368683772161603E-13</v>
      </c>
      <c r="O106" s="14">
        <f>N106*VLOOKUP('Données projet'!$B$9,Paramètres!$A$1:$I$89,3,0)*VLOOKUP('Données projet'!$B$9,Paramètres!$A$1:$I$89,5,0)</f>
        <v>-5.3205440053716299E-14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302.30714066618623</v>
      </c>
      <c r="T106" s="62">
        <f t="shared" si="88"/>
        <v>218.81984836501334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-1.7053025658242404E-13</v>
      </c>
      <c r="AJ106" s="14">
        <f>AI106*VLOOKUP('Données projet'!$B$10,Paramètres!$A$1:$I$89,3,0)*VLOOKUP('Données projet'!$B$10,Paramètres!$A$1:$I$89,5,0)</f>
        <v>-1.0197709343628959E-13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150.05970318721711</v>
      </c>
      <c r="AO106" s="62">
        <f t="shared" si="90"/>
        <v>230.8269864623847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36.604264265948323</v>
      </c>
      <c r="AV106" s="23">
        <f>EXP(-LN(2)/25)*AV105+(1-EXP(-LN(2)/25))/(LN(2)/25)*Calculateur!AQ106*Calculateur!AS106*VLOOKUP('Données projet'!$B$10,Paramètres!$A$1:$I$89,3,0)*0.475*44/12</f>
        <v>0.66243034915448606</v>
      </c>
      <c r="AW106" s="23">
        <f>EXP(-LN(2)/2)*AW105+(1-EXP(-LN(2)/2))/(LN(2)/2)*AQ106*AT106*VLOOKUP('Données projet'!$B$10,Paramètres!$A$1:$I$89,3,0)*0.475*44/12</f>
        <v>4.2180533924964048E-7</v>
      </c>
      <c r="AX106" s="23">
        <f t="shared" si="60"/>
        <v>37.266695036908146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4.4000000000000004</v>
      </c>
      <c r="BD106" s="13">
        <f>IF('Données projet'!$A$88&gt;35,BD105+BC106-BL105,IF(A106&lt;'Données projet'!$A$88,$BA$205^A106,IF(A106='Données projet'!$A$88,'Données projet'!$B$88,BD105+BC106-BL105)))</f>
        <v>295.20000000000005</v>
      </c>
      <c r="BE106" s="14">
        <f>BD106*VLOOKUP('Données projet'!$B$11,Paramètres!$A$1:$I$89,3,0)*VLOOKUP('Données projet'!$B$11,Paramètres!$A$1:$I$89,5,0)</f>
        <v>267.09696000000002</v>
      </c>
      <c r="BF106" s="14">
        <f t="shared" si="91"/>
        <v>64.232783846951989</v>
      </c>
      <c r="BG106" s="22">
        <f t="shared" si="61"/>
        <v>577.06597053344137</v>
      </c>
      <c r="BH106" s="62">
        <f t="shared" si="62"/>
        <v>870.39930386677474</v>
      </c>
      <c r="BI106" s="62">
        <f ca="1">AVERAGE(OFFSET($BH$3,0,0,'Données projet'!$E$11+1,1))-AVERAGE(OFFSET($H$3,0,0,'Données projet'!$E$11+1,1))</f>
        <v>278.41778972502732</v>
      </c>
      <c r="BJ106" s="62">
        <f t="shared" si="92"/>
        <v>157.75772798974242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0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58.135999999999903</v>
      </c>
      <c r="D107" s="12">
        <f t="shared" si="86"/>
        <v>16.696129205461904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577.65152369128418</v>
      </c>
      <c r="H107" s="70">
        <f t="shared" si="56"/>
        <v>423.66595836617932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-1.1368683772161603E-13</v>
      </c>
      <c r="O107" s="14">
        <f>N107*VLOOKUP('Données projet'!$B$9,Paramètres!$A$1:$I$89,3,0)*VLOOKUP('Données projet'!$B$9,Paramètres!$A$1:$I$89,5,0)</f>
        <v>-5.3205440053716299E-14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302.30714066618623</v>
      </c>
      <c r="T107" s="62">
        <f t="shared" si="88"/>
        <v>218.81984836501334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-1.7053025658242404E-13</v>
      </c>
      <c r="AJ107" s="14">
        <f>AI107*VLOOKUP('Données projet'!$B$10,Paramètres!$A$1:$I$89,3,0)*VLOOKUP('Données projet'!$B$10,Paramètres!$A$1:$I$89,5,0)</f>
        <v>-1.0197709343628959E-13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150.05970318721711</v>
      </c>
      <c r="AO107" s="62">
        <f t="shared" si="90"/>
        <v>230.8269864623847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35.886476970089731</v>
      </c>
      <c r="AV107" s="23">
        <f>EXP(-LN(2)/25)*AV106+(1-EXP(-LN(2)/25))/(LN(2)/25)*Calculateur!AQ107*Calculateur!AS107*VLOOKUP('Données projet'!$B$10,Paramètres!$A$1:$I$89,3,0)*0.475*44/12</f>
        <v>0.64431615642115858</v>
      </c>
      <c r="AW107" s="23">
        <f>EXP(-LN(2)/2)*AW106+(1-EXP(-LN(2)/2))/(LN(2)/2)*AQ107*AT107*VLOOKUP('Données projet'!$B$10,Paramètres!$A$1:$I$89,3,0)*0.475*44/12</f>
        <v>2.9826141572411298E-7</v>
      </c>
      <c r="AX107" s="23">
        <f t="shared" si="60"/>
        <v>36.530793424772305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4.4000000000000004</v>
      </c>
      <c r="BD107" s="13">
        <f>IF('Données projet'!$A$88&gt;35,BD106+BC107-BL106,IF(A107&lt;'Données projet'!$A$88,$BA$205^A107,IF(A107='Données projet'!$A$88,'Données projet'!$B$88,BD106+BC107-BL106)))</f>
        <v>299.60000000000002</v>
      </c>
      <c r="BE107" s="14">
        <f>BD107*VLOOKUP('Données projet'!$B$11,Paramètres!$A$1:$I$89,3,0)*VLOOKUP('Données projet'!$B$11,Paramètres!$A$1:$I$89,5,0)</f>
        <v>271.07808</v>
      </c>
      <c r="BF107" s="14">
        <f t="shared" si="91"/>
        <v>65.078011982620964</v>
      </c>
      <c r="BG107" s="22">
        <f t="shared" si="61"/>
        <v>585.47186020306481</v>
      </c>
      <c r="BH107" s="62">
        <f t="shared" si="62"/>
        <v>878.80519353639806</v>
      </c>
      <c r="BI107" s="62">
        <f ca="1">AVERAGE(OFFSET($BH$3,0,0,'Données projet'!$E$11+1,1))-AVERAGE(OFFSET($H$3,0,0,'Données projet'!$E$11+1,1))</f>
        <v>278.41778972502732</v>
      </c>
      <c r="BJ107" s="62">
        <f t="shared" si="92"/>
        <v>157.75772798974242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0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58.694999999999901</v>
      </c>
      <c r="D108" s="12">
        <f t="shared" si="86"/>
        <v>16.837902987383803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583.06100551664622</v>
      </c>
      <c r="H108" s="70">
        <f t="shared" si="56"/>
        <v>424.88647270302658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-1.1368683772161603E-13</v>
      </c>
      <c r="O108" s="14">
        <f>N108*VLOOKUP('Données projet'!$B$9,Paramètres!$A$1:$I$89,3,0)*VLOOKUP('Données projet'!$B$9,Paramètres!$A$1:$I$89,5,0)</f>
        <v>-5.3205440053716299E-14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302.30714066618623</v>
      </c>
      <c r="T108" s="62">
        <f t="shared" si="88"/>
        <v>218.81984836501334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-1.7053025658242404E-13</v>
      </c>
      <c r="AJ108" s="14">
        <f>AI108*VLOOKUP('Données projet'!$B$10,Paramètres!$A$1:$I$89,3,0)*VLOOKUP('Données projet'!$B$10,Paramètres!$A$1:$I$89,5,0)</f>
        <v>-1.0197709343628959E-13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150.05970318721711</v>
      </c>
      <c r="AO108" s="62">
        <f t="shared" si="90"/>
        <v>230.8269864623847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35.182765045295902</v>
      </c>
      <c r="AV108" s="23">
        <f>EXP(-LN(2)/25)*AV107+(1-EXP(-LN(2)/25))/(LN(2)/25)*Calculateur!AQ108*Calculateur!AS108*VLOOKUP('Données projet'!$B$10,Paramètres!$A$1:$I$89,3,0)*0.475*44/12</f>
        <v>0.62669729724070788</v>
      </c>
      <c r="AW108" s="23">
        <f>EXP(-LN(2)/2)*AW107+(1-EXP(-LN(2)/2))/(LN(2)/2)*AQ108*AT108*VLOOKUP('Données projet'!$B$10,Paramètres!$A$1:$I$89,3,0)*0.475*44/12</f>
        <v>2.1090266962482024E-7</v>
      </c>
      <c r="AX108" s="23">
        <f t="shared" si="60"/>
        <v>35.809462553439282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>
        <f>VLOOKUP(A108,'Données projet'!$A$87:$I$107,2,0)</f>
        <v>304</v>
      </c>
      <c r="BB108" s="13">
        <f>VLOOKUP(A108,'Données projet'!$A$87:$I$107,9,0)</f>
        <v>4.4000000000000004</v>
      </c>
      <c r="BC108" s="13">
        <f t="array" ref="BC108">INDEX(BB:BB,MIN(IF(ISNUMBER(BB108:BB304),ROW(BB108:BB304),"")))</f>
        <v>4.4000000000000004</v>
      </c>
      <c r="BD108" s="13">
        <f>IF('Données projet'!$A$88&gt;35,BD107+BC108-BL107,IF(A108&lt;'Données projet'!$A$88,$BA$205^A108,IF(A108='Données projet'!$A$88,'Données projet'!$B$88,BD107+BC108-BL107)))</f>
        <v>304</v>
      </c>
      <c r="BE108" s="14">
        <f>BD108*VLOOKUP('Données projet'!$B$11,Paramètres!$A$1:$I$89,3,0)*VLOOKUP('Données projet'!$B$11,Paramètres!$A$1:$I$89,5,0)</f>
        <v>275.05919999999998</v>
      </c>
      <c r="BF108" s="14">
        <f t="shared" si="91"/>
        <v>65.921796397718381</v>
      </c>
      <c r="BG108" s="22">
        <f t="shared" si="61"/>
        <v>593.87523539269284</v>
      </c>
      <c r="BH108" s="62">
        <f t="shared" si="62"/>
        <v>887.20856872602621</v>
      </c>
      <c r="BI108" s="62">
        <f ca="1">AVERAGE(OFFSET($BH$3,0,0,'Données projet'!$E$11+1,1))-AVERAGE(OFFSET($H$3,0,0,'Données projet'!$E$11+1,1))</f>
        <v>278.41778972502732</v>
      </c>
      <c r="BJ108" s="62">
        <f t="shared" si="92"/>
        <v>157.75772798974242</v>
      </c>
      <c r="BK108" s="16">
        <f>IF(ISNA(VLOOKUP(A108,'Données projet'!$A$87:$I$107,3,0)),0,VLOOKUP(A108,'Données projet'!$A$87:$I$107,3,0))</f>
        <v>17</v>
      </c>
      <c r="BL108" s="16">
        <f>IF(ISNA(VLOOKUP(A108,'Données projet'!$A$87:$I$107,4,0)),0,VLOOKUP(A108,'Données projet'!$A$87:$I$107,4,0))</f>
        <v>20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0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59.253999999999898</v>
      </c>
      <c r="D109" s="12">
        <f t="shared" si="86"/>
        <v>16.97951968751314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588.46927478080249</v>
      </c>
      <c r="H109" s="70">
        <f t="shared" si="56"/>
        <v>426.10671345575184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-1.1368683772161603E-13</v>
      </c>
      <c r="O109" s="14">
        <f>N109*VLOOKUP('Données projet'!$B$9,Paramètres!$A$1:$I$89,3,0)*VLOOKUP('Données projet'!$B$9,Paramètres!$A$1:$I$89,5,0)</f>
        <v>-5.3205440053716299E-14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302.30714066618623</v>
      </c>
      <c r="T109" s="62">
        <f t="shared" si="88"/>
        <v>218.81984836501334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-1.7053025658242404E-13</v>
      </c>
      <c r="AJ109" s="14">
        <f>AI109*VLOOKUP('Données projet'!$B$10,Paramètres!$A$1:$I$89,3,0)*VLOOKUP('Données projet'!$B$10,Paramètres!$A$1:$I$89,5,0)</f>
        <v>-1.0197709343628959E-13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150.05970318721711</v>
      </c>
      <c r="AO109" s="62">
        <f t="shared" si="90"/>
        <v>230.8269864623847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34.492852482125393</v>
      </c>
      <c r="AV109" s="23">
        <f>EXP(-LN(2)/25)*AV108+(1-EXP(-LN(2)/25))/(LN(2)/25)*Calculateur!AQ109*Calculateur!AS109*VLOOKUP('Données projet'!$B$10,Paramètres!$A$1:$I$89,3,0)*0.475*44/12</f>
        <v>0.60956022669108223</v>
      </c>
      <c r="AW109" s="23">
        <f>EXP(-LN(2)/2)*AW108+(1-EXP(-LN(2)/2))/(LN(2)/2)*AQ109*AT109*VLOOKUP('Données projet'!$B$10,Paramètres!$A$1:$I$89,3,0)*0.475*44/12</f>
        <v>1.4913070786205649E-7</v>
      </c>
      <c r="AX109" s="23">
        <f t="shared" si="60"/>
        <v>35.102412857947179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4.2</v>
      </c>
      <c r="BD109" s="13">
        <f>IF('Données projet'!$A$88&gt;35,BD108+BC109-BL108,IF(A109&lt;'Données projet'!$A$88,$BA$205^A109,IF(A109='Données projet'!$A$88,'Données projet'!$B$88,BD108+BC109-BL108)))</f>
        <v>288.2</v>
      </c>
      <c r="BE109" s="14">
        <f>BD109*VLOOKUP('Données projet'!$B$11,Paramètres!$A$1:$I$89,3,0)*VLOOKUP('Données projet'!$B$11,Paramètres!$A$1:$I$89,5,0)</f>
        <v>260.76335999999998</v>
      </c>
      <c r="BF109" s="14">
        <f t="shared" si="91"/>
        <v>62.885067686032009</v>
      </c>
      <c r="BG109" s="22">
        <f t="shared" si="61"/>
        <v>563.68767821983909</v>
      </c>
      <c r="BH109" s="62">
        <f t="shared" si="62"/>
        <v>857.02101155317246</v>
      </c>
      <c r="BI109" s="62">
        <f ca="1">AVERAGE(OFFSET($BH$3,0,0,'Données projet'!$E$11+1,1))-AVERAGE(OFFSET($H$3,0,0,'Données projet'!$E$11+1,1))</f>
        <v>278.41778972502732</v>
      </c>
      <c r="BJ109" s="62">
        <f t="shared" si="92"/>
        <v>157.75772798974242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0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59.812999999999896</v>
      </c>
      <c r="D110" s="12">
        <f t="shared" si="86"/>
        <v>17.12098095938844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593.87634424790997</v>
      </c>
      <c r="H110" s="70">
        <f t="shared" si="56"/>
        <v>427.32668350426798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-1.1368683772161603E-13</v>
      </c>
      <c r="O110" s="14">
        <f>N110*VLOOKUP('Données projet'!$B$9,Paramètres!$A$1:$I$89,3,0)*VLOOKUP('Données projet'!$B$9,Paramètres!$A$1:$I$89,5,0)</f>
        <v>-5.3205440053716299E-14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302.30714066618623</v>
      </c>
      <c r="T110" s="62">
        <f t="shared" si="88"/>
        <v>218.81984836501334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-1.7053025658242404E-13</v>
      </c>
      <c r="AJ110" s="14">
        <f>AI110*VLOOKUP('Données projet'!$B$10,Paramètres!$A$1:$I$89,3,0)*VLOOKUP('Données projet'!$B$10,Paramètres!$A$1:$I$89,5,0)</f>
        <v>-1.0197709343628959E-13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150.05970318721711</v>
      </c>
      <c r="AO110" s="62">
        <f t="shared" si="90"/>
        <v>230.8269864623847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33.816468683513541</v>
      </c>
      <c r="AV110" s="23">
        <f>EXP(-LN(2)/25)*AV109+(1-EXP(-LN(2)/25))/(LN(2)/25)*Calculateur!AQ110*Calculateur!AS110*VLOOKUP('Données projet'!$B$10,Paramètres!$A$1:$I$89,3,0)*0.475*44/12</f>
        <v>0.59289177023683548</v>
      </c>
      <c r="AW110" s="23">
        <f>EXP(-LN(2)/2)*AW109+(1-EXP(-LN(2)/2))/(LN(2)/2)*AQ110*AT110*VLOOKUP('Données projet'!$B$10,Paramètres!$A$1:$I$89,3,0)*0.475*44/12</f>
        <v>1.0545133481241012E-7</v>
      </c>
      <c r="AX110" s="23">
        <f t="shared" si="60"/>
        <v>34.409360559201708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4.2</v>
      </c>
      <c r="BD110" s="13">
        <f>IF('Données projet'!$A$88&gt;35,BD109+BC110-BL109,IF(A110&lt;'Données projet'!$A$88,$BA$205^A110,IF(A110='Données projet'!$A$88,'Données projet'!$B$88,BD109+BC110-BL109)))</f>
        <v>292.39999999999998</v>
      </c>
      <c r="BE110" s="14">
        <f>BD110*VLOOKUP('Données projet'!$B$11,Paramètres!$A$1:$I$89,3,0)*VLOOKUP('Données projet'!$B$11,Paramètres!$A$1:$I$89,5,0)</f>
        <v>264.56351999999998</v>
      </c>
      <c r="BF110" s="14">
        <f t="shared" si="91"/>
        <v>63.694148737013862</v>
      </c>
      <c r="BG110" s="22">
        <f t="shared" si="61"/>
        <v>571.71543971696565</v>
      </c>
      <c r="BH110" s="62">
        <f t="shared" si="62"/>
        <v>865.04877305029891</v>
      </c>
      <c r="BI110" s="62">
        <f ca="1">AVERAGE(OFFSET($BH$3,0,0,'Données projet'!$E$11+1,1))-AVERAGE(OFFSET($H$3,0,0,'Données projet'!$E$11+1,1))</f>
        <v>278.41778972502732</v>
      </c>
      <c r="BJ110" s="62">
        <f t="shared" si="92"/>
        <v>157.75772798974242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0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60.371999999999893</v>
      </c>
      <c r="D111" s="12">
        <f t="shared" si="86"/>
        <v>17.26228842385855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599.28222642978437</v>
      </c>
      <c r="H111" s="70">
        <f t="shared" si="56"/>
        <v>428.54638567155342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-1.1368683772161603E-13</v>
      </c>
      <c r="O111" s="14">
        <f>N111*VLOOKUP('Données projet'!$B$9,Paramètres!$A$1:$I$89,3,0)*VLOOKUP('Données projet'!$B$9,Paramètres!$A$1:$I$89,5,0)</f>
        <v>-5.3205440053716299E-14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302.30714066618623</v>
      </c>
      <c r="T111" s="62">
        <f t="shared" si="88"/>
        <v>218.81984836501334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-1.7053025658242404E-13</v>
      </c>
      <c r="AJ111" s="14">
        <f>AI111*VLOOKUP('Données projet'!$B$10,Paramètres!$A$1:$I$89,3,0)*VLOOKUP('Données projet'!$B$10,Paramètres!$A$1:$I$89,5,0)</f>
        <v>-1.0197709343628959E-13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150.05970318721711</v>
      </c>
      <c r="AO111" s="62">
        <f t="shared" si="90"/>
        <v>230.8269864623847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33.153348358639086</v>
      </c>
      <c r="AV111" s="23">
        <f>EXP(-LN(2)/25)*AV110+(1-EXP(-LN(2)/25))/(LN(2)/25)*Calculateur!AQ111*Calculateur!AS111*VLOOKUP('Données projet'!$B$10,Paramètres!$A$1:$I$89,3,0)*0.475*44/12</f>
        <v>0.57667911360088608</v>
      </c>
      <c r="AW111" s="23">
        <f>EXP(-LN(2)/2)*AW110+(1-EXP(-LN(2)/2))/(LN(2)/2)*AQ111*AT111*VLOOKUP('Données projet'!$B$10,Paramètres!$A$1:$I$89,3,0)*0.475*44/12</f>
        <v>7.4565353931028245E-8</v>
      </c>
      <c r="AX111" s="23">
        <f t="shared" si="60"/>
        <v>33.730027546805331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4.2</v>
      </c>
      <c r="BD111" s="13">
        <f>IF('Données projet'!$A$88&gt;35,BD110+BC111-BL110,IF(A111&lt;'Données projet'!$A$88,$BA$205^A111,IF(A111='Données projet'!$A$88,'Données projet'!$B$88,BD110+BC111-BL110)))</f>
        <v>296.59999999999997</v>
      </c>
      <c r="BE111" s="14">
        <f>BD111*VLOOKUP('Données projet'!$B$11,Paramètres!$A$1:$I$89,3,0)*VLOOKUP('Données projet'!$B$11,Paramètres!$A$1:$I$89,5,0)</f>
        <v>268.36367999999993</v>
      </c>
      <c r="BF111" s="14">
        <f t="shared" si="91"/>
        <v>64.501878120988167</v>
      </c>
      <c r="BG111" s="22">
        <f t="shared" si="61"/>
        <v>579.74084706072097</v>
      </c>
      <c r="BH111" s="62">
        <f t="shared" si="62"/>
        <v>873.07418039405434</v>
      </c>
      <c r="BI111" s="62">
        <f ca="1">AVERAGE(OFFSET($BH$3,0,0,'Données projet'!$E$11+1,1))-AVERAGE(OFFSET($H$3,0,0,'Données projet'!$E$11+1,1))</f>
        <v>278.41778972502732</v>
      </c>
      <c r="BJ111" s="62">
        <f t="shared" si="92"/>
        <v>157.75772798974242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0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60.930999999999891</v>
      </c>
      <c r="D112" s="12">
        <f t="shared" si="86"/>
        <v>17.403443670025414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604.68693359317786</v>
      </c>
      <c r="H112" s="70">
        <f t="shared" si="56"/>
        <v>429.76582272529407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-1.1368683772161603E-13</v>
      </c>
      <c r="O112" s="14">
        <f>N112*VLOOKUP('Données projet'!$B$9,Paramètres!$A$1:$I$89,3,0)*VLOOKUP('Données projet'!$B$9,Paramètres!$A$1:$I$89,5,0)</f>
        <v>-5.3205440053716299E-14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302.30714066618623</v>
      </c>
      <c r="T112" s="62">
        <f t="shared" si="88"/>
        <v>218.81984836501334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-1.7053025658242404E-13</v>
      </c>
      <c r="AJ112" s="14">
        <f>AI112*VLOOKUP('Données projet'!$B$10,Paramètres!$A$1:$I$89,3,0)*VLOOKUP('Données projet'!$B$10,Paramètres!$A$1:$I$89,5,0)</f>
        <v>-1.0197709343628959E-13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150.05970318721711</v>
      </c>
      <c r="AO112" s="62">
        <f t="shared" si="90"/>
        <v>230.8269864623847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32.503231418871962</v>
      </c>
      <c r="AV112" s="23">
        <f>EXP(-LN(2)/25)*AV111+(1-EXP(-LN(2)/25))/(LN(2)/25)*Calculateur!AQ112*Calculateur!AS112*VLOOKUP('Données projet'!$B$10,Paramètres!$A$1:$I$89,3,0)*0.475*44/12</f>
        <v>0.56090979291323328</v>
      </c>
      <c r="AW112" s="23">
        <f>EXP(-LN(2)/2)*AW111+(1-EXP(-LN(2)/2))/(LN(2)/2)*AQ112*AT112*VLOOKUP('Données projet'!$B$10,Paramètres!$A$1:$I$89,3,0)*0.475*44/12</f>
        <v>5.2725667406205061E-8</v>
      </c>
      <c r="AX112" s="23">
        <f t="shared" si="60"/>
        <v>33.064141264510866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4.2</v>
      </c>
      <c r="BD112" s="13">
        <f>IF('Données projet'!$A$88&gt;35,BD111+BC112-BL111,IF(A112&lt;'Données projet'!$A$88,$BA$205^A112,IF(A112='Données projet'!$A$88,'Données projet'!$B$88,BD111+BC112-BL111)))</f>
        <v>300.79999999999995</v>
      </c>
      <c r="BE112" s="14">
        <f>BD112*VLOOKUP('Données projet'!$B$11,Paramètres!$A$1:$I$89,3,0)*VLOOKUP('Données projet'!$B$11,Paramètres!$A$1:$I$89,5,0)</f>
        <v>272.16383999999994</v>
      </c>
      <c r="BF112" s="14">
        <f t="shared" si="91"/>
        <v>65.308277189978241</v>
      </c>
      <c r="BG112" s="22">
        <f t="shared" si="61"/>
        <v>587.76393743921199</v>
      </c>
      <c r="BH112" s="62">
        <f t="shared" si="62"/>
        <v>881.09727077254524</v>
      </c>
      <c r="BI112" s="62">
        <f ca="1">AVERAGE(OFFSET($BH$3,0,0,'Données projet'!$E$11+1,1))-AVERAGE(OFFSET($H$3,0,0,'Données projet'!$E$11+1,1))</f>
        <v>278.41778972502732</v>
      </c>
      <c r="BJ112" s="62">
        <f t="shared" si="92"/>
        <v>157.75772798974242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0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61.489999999999888</v>
      </c>
      <c r="D113" s="12">
        <f t="shared" si="86"/>
        <v>17.544448256151377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610.09047776678176</v>
      </c>
      <c r="H113" s="70">
        <f t="shared" si="56"/>
        <v>430.98499737946338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-1.1368683772161603E-13</v>
      </c>
      <c r="O113" s="14">
        <f>N113*VLOOKUP('Données projet'!$B$9,Paramètres!$A$1:$I$89,3,0)*VLOOKUP('Données projet'!$B$9,Paramètres!$A$1:$I$89,5,0)</f>
        <v>-5.3205440053716299E-14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302.30714066618623</v>
      </c>
      <c r="T113" s="62">
        <f t="shared" si="88"/>
        <v>218.81984836501334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-1.7053025658242404E-13</v>
      </c>
      <c r="AJ113" s="14">
        <f>AI113*VLOOKUP('Données projet'!$B$10,Paramètres!$A$1:$I$89,3,0)*VLOOKUP('Données projet'!$B$10,Paramètres!$A$1:$I$89,5,0)</f>
        <v>-1.0197709343628959E-13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150.05970318721711</v>
      </c>
      <c r="AO113" s="62">
        <f t="shared" si="90"/>
        <v>230.8269864623847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31.86586287576149</v>
      </c>
      <c r="AV113" s="23">
        <f>EXP(-LN(2)/25)*AV112+(1-EXP(-LN(2)/25))/(LN(2)/25)*Calculateur!AQ113*Calculateur!AS113*VLOOKUP('Données projet'!$B$10,Paramètres!$A$1:$I$89,3,0)*0.475*44/12</f>
        <v>0.54557168512905685</v>
      </c>
      <c r="AW113" s="23">
        <f>EXP(-LN(2)/2)*AW112+(1-EXP(-LN(2)/2))/(LN(2)/2)*AQ113*AT113*VLOOKUP('Données projet'!$B$10,Paramètres!$A$1:$I$89,3,0)*0.475*44/12</f>
        <v>3.7282676965514122E-8</v>
      </c>
      <c r="AX113" s="23">
        <f t="shared" si="60"/>
        <v>32.411434598173223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>
        <f>VLOOKUP(A113,'Données projet'!$A$87:$I$107,2,0)</f>
        <v>305</v>
      </c>
      <c r="BB113" s="13">
        <f>VLOOKUP(A113,'Données projet'!$A$87:$I$107,9,0)</f>
        <v>4.2</v>
      </c>
      <c r="BC113" s="13">
        <f t="array" ref="BC113">INDEX(BB:BB,MIN(IF(ISNUMBER(BB113:BB309),ROW(BB113:BB309),"")))</f>
        <v>4.2</v>
      </c>
      <c r="BD113" s="13">
        <f>IF('Données projet'!$A$88&gt;35,BD112+BC113-BL112,IF(A113&lt;'Données projet'!$A$88,$BA$205^A113,IF(A113='Données projet'!$A$88,'Données projet'!$B$88,BD112+BC113-BL112)))</f>
        <v>304.99999999999994</v>
      </c>
      <c r="BE113" s="14">
        <f>BD113*VLOOKUP('Données projet'!$B$11,Paramètres!$A$1:$I$89,3,0)*VLOOKUP('Données projet'!$B$11,Paramètres!$A$1:$I$89,5,0)</f>
        <v>275.96399999999994</v>
      </c>
      <c r="BF113" s="14">
        <f t="shared" si="91"/>
        <v>66.113366665488911</v>
      </c>
      <c r="BG113" s="22">
        <f t="shared" si="61"/>
        <v>595.7847469423931</v>
      </c>
      <c r="BH113" s="62">
        <f t="shared" si="62"/>
        <v>889.11808027572647</v>
      </c>
      <c r="BI113" s="62">
        <f ca="1">AVERAGE(OFFSET($BH$3,0,0,'Données projet'!$E$11+1,1))-AVERAGE(OFFSET($H$3,0,0,'Données projet'!$E$11+1,1))</f>
        <v>278.41778972502732</v>
      </c>
      <c r="BJ113" s="62">
        <f t="shared" si="92"/>
        <v>157.75772798974242</v>
      </c>
      <c r="BK113" s="16">
        <f>IF(ISNA(VLOOKUP(A113,'Données projet'!$A$87:$I$107,3,0)),0,VLOOKUP(A113,'Données projet'!$A$87:$I$107,3,0))</f>
        <v>18</v>
      </c>
      <c r="BL113" s="16">
        <f>IF(ISNA(VLOOKUP(A113,'Données projet'!$A$87:$I$107,4,0)),0,VLOOKUP(A113,'Données projet'!$A$87:$I$107,4,0))</f>
        <v>19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0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62.048999999999886</v>
      </c>
      <c r="D114" s="12">
        <f t="shared" si="86"/>
        <v>17.685303710532441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615.49287074796894</v>
      </c>
      <c r="H114" s="70">
        <f t="shared" si="56"/>
        <v>432.20391229584379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-1.1368683772161603E-13</v>
      </c>
      <c r="O114" s="14">
        <f>N114*VLOOKUP('Données projet'!$B$9,Paramètres!$A$1:$I$89,3,0)*VLOOKUP('Données projet'!$B$9,Paramètres!$A$1:$I$89,5,0)</f>
        <v>-5.3205440053716299E-14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302.30714066618623</v>
      </c>
      <c r="T114" s="62">
        <f t="shared" si="88"/>
        <v>218.81984836501334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-1.7053025658242404E-13</v>
      </c>
      <c r="AJ114" s="14">
        <f>AI114*VLOOKUP('Données projet'!$B$10,Paramètres!$A$1:$I$89,3,0)*VLOOKUP('Données projet'!$B$10,Paramètres!$A$1:$I$89,5,0)</f>
        <v>-1.0197709343628959E-13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150.05970318721711</v>
      </c>
      <c r="AO114" s="62">
        <f t="shared" si="90"/>
        <v>230.8269864623847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31.240992741024989</v>
      </c>
      <c r="AV114" s="23">
        <f>EXP(-LN(2)/25)*AV113+(1-EXP(-LN(2)/25))/(LN(2)/25)*Calculateur!AQ114*Calculateur!AS114*VLOOKUP('Données projet'!$B$10,Paramètres!$A$1:$I$89,3,0)*0.475*44/12</f>
        <v>0.53065299870883476</v>
      </c>
      <c r="AW114" s="23">
        <f>EXP(-LN(2)/2)*AW113+(1-EXP(-LN(2)/2))/(LN(2)/2)*AQ114*AT114*VLOOKUP('Données projet'!$B$10,Paramètres!$A$1:$I$89,3,0)*0.475*44/12</f>
        <v>2.636283370310253E-8</v>
      </c>
      <c r="AX114" s="23">
        <f t="shared" si="60"/>
        <v>31.771645766096658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3.8</v>
      </c>
      <c r="BD114" s="13">
        <f>IF('Données projet'!$A$88&gt;35,BD113+BC114-BL113,IF(A114&lt;'Données projet'!$A$88,$BA$205^A114,IF(A114='Données projet'!$A$88,'Données projet'!$B$88,BD113+BC114-BL113)))</f>
        <v>289.79999999999995</v>
      </c>
      <c r="BE114" s="14">
        <f>BD114*VLOOKUP('Données projet'!$B$11,Paramètres!$A$1:$I$89,3,0)*VLOOKUP('Données projet'!$B$11,Paramètres!$A$1:$I$89,5,0)</f>
        <v>262.21103999999997</v>
      </c>
      <c r="BF114" s="14">
        <f t="shared" si="91"/>
        <v>63.193449804905853</v>
      </c>
      <c r="BG114" s="22">
        <f t="shared" si="61"/>
        <v>566.7461530768777</v>
      </c>
      <c r="BH114" s="62">
        <f t="shared" si="62"/>
        <v>860.07948641021108</v>
      </c>
      <c r="BI114" s="62">
        <f ca="1">AVERAGE(OFFSET($BH$3,0,0,'Données projet'!$E$11+1,1))-AVERAGE(OFFSET($H$3,0,0,'Données projet'!$E$11+1,1))</f>
        <v>278.41778972502732</v>
      </c>
      <c r="BJ114" s="62">
        <f t="shared" si="92"/>
        <v>157.75772798974242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0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62.607999999999883</v>
      </c>
      <c r="D115" s="12">
        <f t="shared" si="86"/>
        <v>17.826011532339194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620.89412410928401</v>
      </c>
      <c r="H115" s="70">
        <f t="shared" si="56"/>
        <v>433.42257008549052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-1.1368683772161603E-13</v>
      </c>
      <c r="O115" s="14">
        <f>N115*VLOOKUP('Données projet'!$B$9,Paramètres!$A$1:$I$89,3,0)*VLOOKUP('Données projet'!$B$9,Paramètres!$A$1:$I$89,5,0)</f>
        <v>-5.3205440053716299E-14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302.30714066618623</v>
      </c>
      <c r="T115" s="62">
        <f t="shared" si="88"/>
        <v>218.81984836501334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-1.7053025658242404E-13</v>
      </c>
      <c r="AJ115" s="14">
        <f>AI115*VLOOKUP('Données projet'!$B$10,Paramètres!$A$1:$I$89,3,0)*VLOOKUP('Données projet'!$B$10,Paramètres!$A$1:$I$89,5,0)</f>
        <v>-1.0197709343628959E-13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150.05970318721711</v>
      </c>
      <c r="AO115" s="62">
        <f t="shared" si="90"/>
        <v>230.8269864623847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30.628375928497523</v>
      </c>
      <c r="AV115" s="23">
        <f>EXP(-LN(2)/25)*AV114+(1-EXP(-LN(2)/25))/(LN(2)/25)*Calculateur!AQ115*Calculateur!AS115*VLOOKUP('Données projet'!$B$10,Paramètres!$A$1:$I$89,3,0)*0.475*44/12</f>
        <v>0.51614226455331325</v>
      </c>
      <c r="AW115" s="23">
        <f>EXP(-LN(2)/2)*AW114+(1-EXP(-LN(2)/2))/(LN(2)/2)*AQ115*AT115*VLOOKUP('Données projet'!$B$10,Paramètres!$A$1:$I$89,3,0)*0.475*44/12</f>
        <v>1.8641338482757061E-8</v>
      </c>
      <c r="AX115" s="23">
        <f t="shared" si="60"/>
        <v>31.144518211692173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3.8</v>
      </c>
      <c r="BD115" s="13">
        <f>IF('Données projet'!$A$88&gt;35,BD114+BC115-BL114,IF(A115&lt;'Données projet'!$A$88,$BA$205^A115,IF(A115='Données projet'!$A$88,'Données projet'!$B$88,BD114+BC115-BL114)))</f>
        <v>293.59999999999997</v>
      </c>
      <c r="BE115" s="14">
        <f>BD115*VLOOKUP('Données projet'!$B$11,Paramètres!$A$1:$I$89,3,0)*VLOOKUP('Données projet'!$B$11,Paramètres!$A$1:$I$89,5,0)</f>
        <v>265.64927999999998</v>
      </c>
      <c r="BF115" s="14">
        <f t="shared" si="91"/>
        <v>63.92506554034702</v>
      </c>
      <c r="BG115" s="22">
        <f t="shared" si="61"/>
        <v>574.00865181610436</v>
      </c>
      <c r="BH115" s="62">
        <f t="shared" si="62"/>
        <v>867.34198514943773</v>
      </c>
      <c r="BI115" s="62">
        <f ca="1">AVERAGE(OFFSET($BH$3,0,0,'Données projet'!$E$11+1,1))-AVERAGE(OFFSET($H$3,0,0,'Données projet'!$E$11+1,1))</f>
        <v>278.41778972502732</v>
      </c>
      <c r="BJ115" s="62">
        <f t="shared" si="92"/>
        <v>157.75772798974242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0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63.166999999999881</v>
      </c>
      <c r="D116" s="12">
        <f t="shared" si="86"/>
        <v>17.966573192426846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626.29424920469751</v>
      </c>
      <c r="H116" s="70">
        <f t="shared" si="56"/>
        <v>434.64097331014318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-1.1368683772161603E-13</v>
      </c>
      <c r="O116" s="14">
        <f>N116*VLOOKUP('Données projet'!$B$9,Paramètres!$A$1:$I$89,3,0)*VLOOKUP('Données projet'!$B$9,Paramètres!$A$1:$I$89,5,0)</f>
        <v>-5.3205440053716299E-14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302.30714066618623</v>
      </c>
      <c r="T116" s="62">
        <f t="shared" si="88"/>
        <v>218.81984836501334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-1.7053025658242404E-13</v>
      </c>
      <c r="AJ116" s="14">
        <f>AI116*VLOOKUP('Données projet'!$B$10,Paramètres!$A$1:$I$89,3,0)*VLOOKUP('Données projet'!$B$10,Paramètres!$A$1:$I$89,5,0)</f>
        <v>-1.0197709343628959E-13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150.05970318721711</v>
      </c>
      <c r="AO116" s="62">
        <f t="shared" si="90"/>
        <v>230.8269864623847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30.02777215800436</v>
      </c>
      <c r="AV116" s="23">
        <f>EXP(-LN(2)/25)*AV115+(1-EXP(-LN(2)/25))/(LN(2)/25)*Calculateur!AQ116*Calculateur!AS116*VLOOKUP('Données projet'!$B$10,Paramètres!$A$1:$I$89,3,0)*0.475*44/12</f>
        <v>0.50202832718636081</v>
      </c>
      <c r="AW116" s="23">
        <f>EXP(-LN(2)/2)*AW115+(1-EXP(-LN(2)/2))/(LN(2)/2)*AQ116*AT116*VLOOKUP('Données projet'!$B$10,Paramètres!$A$1:$I$89,3,0)*0.475*44/12</f>
        <v>1.3181416851551265E-8</v>
      </c>
      <c r="AX116" s="23">
        <f t="shared" si="60"/>
        <v>30.529800498372136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3.8</v>
      </c>
      <c r="BD116" s="13">
        <f>IF('Données projet'!$A$88&gt;35,BD115+BC116-BL115,IF(A116&lt;'Données projet'!$A$88,$BA$205^A116,IF(A116='Données projet'!$A$88,'Données projet'!$B$88,BD115+BC116-BL115)))</f>
        <v>297.39999999999998</v>
      </c>
      <c r="BE116" s="14">
        <f>BD116*VLOOKUP('Données projet'!$B$11,Paramètres!$A$1:$I$89,3,0)*VLOOKUP('Données projet'!$B$11,Paramètres!$A$1:$I$89,5,0)</f>
        <v>269.08751999999993</v>
      </c>
      <c r="BF116" s="14">
        <f t="shared" si="91"/>
        <v>64.65557986510305</v>
      </c>
      <c r="BG116" s="22">
        <f t="shared" si="61"/>
        <v>581.26923226505437</v>
      </c>
      <c r="BH116" s="62">
        <f t="shared" si="62"/>
        <v>874.60256559838763</v>
      </c>
      <c r="BI116" s="62">
        <f ca="1">AVERAGE(OFFSET($BH$3,0,0,'Données projet'!$E$11+1,1))-AVERAGE(OFFSET($H$3,0,0,'Données projet'!$E$11+1,1))</f>
        <v>278.41778972502732</v>
      </c>
      <c r="BJ116" s="62">
        <f t="shared" si="92"/>
        <v>157.75772798974242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0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63.725999999999878</v>
      </c>
      <c r="D117" s="12">
        <f t="shared" si="86"/>
        <v>18.106990134115801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631.69325717562981</v>
      </c>
      <c r="H117" s="70">
        <f t="shared" si="56"/>
        <v>435.85912448358476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-1.1368683772161603E-13</v>
      </c>
      <c r="O117" s="14">
        <f>N117*VLOOKUP('Données projet'!$B$9,Paramètres!$A$1:$I$89,3,0)*VLOOKUP('Données projet'!$B$9,Paramètres!$A$1:$I$89,5,0)</f>
        <v>-5.3205440053716299E-14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302.30714066618623</v>
      </c>
      <c r="T117" s="62">
        <f t="shared" si="88"/>
        <v>218.81984836501334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-1.7053025658242404E-13</v>
      </c>
      <c r="AJ117" s="14">
        <f>AI117*VLOOKUP('Données projet'!$B$10,Paramètres!$A$1:$I$89,3,0)*VLOOKUP('Données projet'!$B$10,Paramètres!$A$1:$I$89,5,0)</f>
        <v>-1.0197709343628959E-13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150.05970318721711</v>
      </c>
      <c r="AO117" s="62">
        <f t="shared" si="90"/>
        <v>230.8269864623847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29.438945861118441</v>
      </c>
      <c r="AV117" s="23">
        <f>EXP(-LN(2)/25)*AV116+(1-EXP(-LN(2)/25))/(LN(2)/25)*Calculateur!AQ117*Calculateur!AS117*VLOOKUP('Données projet'!$B$10,Paramètres!$A$1:$I$89,3,0)*0.475*44/12</f>
        <v>0.48830033617892743</v>
      </c>
      <c r="AW117" s="23">
        <f>EXP(-LN(2)/2)*AW116+(1-EXP(-LN(2)/2))/(LN(2)/2)*AQ117*AT117*VLOOKUP('Données projet'!$B$10,Paramètres!$A$1:$I$89,3,0)*0.475*44/12</f>
        <v>9.3206692413785306E-9</v>
      </c>
      <c r="AX117" s="23">
        <f t="shared" si="60"/>
        <v>29.927246206618037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3.8</v>
      </c>
      <c r="BD117" s="13">
        <f>IF('Données projet'!$A$88&gt;35,BD116+BC117-BL116,IF(A117&lt;'Données projet'!$A$88,$BA$205^A117,IF(A117='Données projet'!$A$88,'Données projet'!$B$88,BD116+BC117-BL116)))</f>
        <v>301.2</v>
      </c>
      <c r="BE117" s="14">
        <f>BD117*VLOOKUP('Données projet'!$B$11,Paramètres!$A$1:$I$89,3,0)*VLOOKUP('Données projet'!$B$11,Paramètres!$A$1:$I$89,5,0)</f>
        <v>272.52575999999993</v>
      </c>
      <c r="BF117" s="14">
        <f t="shared" si="91"/>
        <v>65.385008479641868</v>
      </c>
      <c r="BG117" s="22">
        <f t="shared" si="61"/>
        <v>588.52792176870946</v>
      </c>
      <c r="BH117" s="62">
        <f t="shared" si="62"/>
        <v>881.86125510204283</v>
      </c>
      <c r="BI117" s="62">
        <f ca="1">AVERAGE(OFFSET($BH$3,0,0,'Données projet'!$E$11+1,1))-AVERAGE(OFFSET($H$3,0,0,'Données projet'!$E$11+1,1))</f>
        <v>278.41778972502732</v>
      </c>
      <c r="BJ117" s="62">
        <f t="shared" si="92"/>
        <v>157.75772798974242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0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64.284999999999883</v>
      </c>
      <c r="D118" s="12">
        <f t="shared" si="86"/>
        <v>18.247263773943999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637.09115895675984</v>
      </c>
      <c r="H118" s="70">
        <f t="shared" si="56"/>
        <v>437.07702607295221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-1.1368683772161603E-13</v>
      </c>
      <c r="O118" s="14">
        <f>N118*VLOOKUP('Données projet'!$B$9,Paramètres!$A$1:$I$89,3,0)*VLOOKUP('Données projet'!$B$9,Paramètres!$A$1:$I$89,5,0)</f>
        <v>-5.3205440053716299E-14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302.30714066618623</v>
      </c>
      <c r="T118" s="62">
        <f t="shared" si="88"/>
        <v>218.81984836501334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-1.7053025658242404E-13</v>
      </c>
      <c r="AJ118" s="14">
        <f>AI118*VLOOKUP('Données projet'!$B$10,Paramètres!$A$1:$I$89,3,0)*VLOOKUP('Données projet'!$B$10,Paramètres!$A$1:$I$89,5,0)</f>
        <v>-1.0197709343628959E-13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150.05970318721711</v>
      </c>
      <c r="AO118" s="62">
        <f t="shared" si="90"/>
        <v>230.8269864623847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28.861666088765876</v>
      </c>
      <c r="AV118" s="23">
        <f>EXP(-LN(2)/25)*AV117+(1-EXP(-LN(2)/25))/(LN(2)/25)*Calculateur!AQ118*Calculateur!AS118*VLOOKUP('Données projet'!$B$10,Paramètres!$A$1:$I$89,3,0)*0.475*44/12</f>
        <v>0.47494773780751598</v>
      </c>
      <c r="AW118" s="23">
        <f>EXP(-LN(2)/2)*AW117+(1-EXP(-LN(2)/2))/(LN(2)/2)*AQ118*AT118*VLOOKUP('Données projet'!$B$10,Paramètres!$A$1:$I$89,3,0)*0.475*44/12</f>
        <v>6.5907084257756326E-9</v>
      </c>
      <c r="AX118" s="23">
        <f t="shared" si="60"/>
        <v>29.336613833164101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>
        <f>VLOOKUP(A118,'Données projet'!$A$87:$I$107,2,0)</f>
        <v>305</v>
      </c>
      <c r="BB118" s="13">
        <f>VLOOKUP(A118,'Données projet'!$A$87:$I$107,9,0)</f>
        <v>3.8</v>
      </c>
      <c r="BC118" s="13">
        <f t="array" ref="BC118">INDEX(BB:BB,MIN(IF(ISNUMBER(BB118:BB314),ROW(BB118:BB314),"")))</f>
        <v>3.8</v>
      </c>
      <c r="BD118" s="13">
        <f>IF('Données projet'!$A$88&gt;35,BD117+BC118-BL117,IF(A118&lt;'Données projet'!$A$88,$BA$205^A118,IF(A118='Données projet'!$A$88,'Données projet'!$B$88,BD117+BC118-BL117)))</f>
        <v>305</v>
      </c>
      <c r="BE118" s="14">
        <f>BD118*VLOOKUP('Données projet'!$B$11,Paramètres!$A$1:$I$89,3,0)*VLOOKUP('Données projet'!$B$11,Paramètres!$A$1:$I$89,5,0)</f>
        <v>275.964</v>
      </c>
      <c r="BF118" s="14">
        <f t="shared" si="91"/>
        <v>66.113366665488911</v>
      </c>
      <c r="BG118" s="22">
        <f t="shared" si="61"/>
        <v>595.7847469423931</v>
      </c>
      <c r="BH118" s="62">
        <f t="shared" si="62"/>
        <v>889.11808027572647</v>
      </c>
      <c r="BI118" s="62">
        <f ca="1">AVERAGE(OFFSET($BH$3,0,0,'Données projet'!$E$11+1,1))-AVERAGE(OFFSET($H$3,0,0,'Données projet'!$E$11+1,1))</f>
        <v>278.41778972502732</v>
      </c>
      <c r="BJ118" s="62">
        <f t="shared" si="92"/>
        <v>157.75772798974242</v>
      </c>
      <c r="BK118" s="16">
        <f>IF(ISNA(VLOOKUP(A118,'Données projet'!$A$87:$I$107,3,0)),0,VLOOKUP(A118,'Données projet'!$A$87:$I$107,3,0))</f>
        <v>19</v>
      </c>
      <c r="BL118" s="16">
        <f>IF(ISNA(VLOOKUP(A118,'Données projet'!$A$87:$I$107,4,0)),0,VLOOKUP(A118,'Données projet'!$A$87:$I$107,4,0))</f>
        <v>18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0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64.84399999999988</v>
      </c>
      <c r="D119" s="12">
        <f t="shared" si="86"/>
        <v>18.387395502392327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642.48796528162404</v>
      </c>
      <c r="H119" s="70">
        <f t="shared" si="56"/>
        <v>438.29468049999969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-1.1368683772161603E-13</v>
      </c>
      <c r="O119" s="14">
        <f>N119*VLOOKUP('Données projet'!$B$9,Paramètres!$A$1:$I$89,3,0)*VLOOKUP('Données projet'!$B$9,Paramètres!$A$1:$I$89,5,0)</f>
        <v>-5.3205440053716299E-14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302.30714066618623</v>
      </c>
      <c r="T119" s="62">
        <f t="shared" si="88"/>
        <v>218.81984836501334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-1.7053025658242404E-13</v>
      </c>
      <c r="AJ119" s="14">
        <f>AI119*VLOOKUP('Données projet'!$B$10,Paramètres!$A$1:$I$89,3,0)*VLOOKUP('Données projet'!$B$10,Paramètres!$A$1:$I$89,5,0)</f>
        <v>-1.0197709343628959E-13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150.05970318721711</v>
      </c>
      <c r="AO119" s="62">
        <f t="shared" si="90"/>
        <v>230.8269864623847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28.295706420643253</v>
      </c>
      <c r="AV119" s="23">
        <f>EXP(-LN(2)/25)*AV118+(1-EXP(-LN(2)/25))/(LN(2)/25)*Calculateur!AQ119*Calculateur!AS119*VLOOKUP('Données projet'!$B$10,Paramètres!$A$1:$I$89,3,0)*0.475*44/12</f>
        <v>0.46196026694075343</v>
      </c>
      <c r="AW119" s="23">
        <f>EXP(-LN(2)/2)*AW118+(1-EXP(-LN(2)/2))/(LN(2)/2)*AQ119*AT119*VLOOKUP('Données projet'!$B$10,Paramètres!$A$1:$I$89,3,0)*0.475*44/12</f>
        <v>4.6603346206892653E-9</v>
      </c>
      <c r="AX119" s="23">
        <f t="shared" si="60"/>
        <v>28.757666692244342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3.6</v>
      </c>
      <c r="BD119" s="13">
        <f>IF('Données projet'!$A$88&gt;35,BD118+BC119-BL118,IF(A119&lt;'Données projet'!$A$88,$BA$205^A119,IF(A119='Données projet'!$A$88,'Données projet'!$B$88,BD118+BC119-BL118)))</f>
        <v>290.60000000000002</v>
      </c>
      <c r="BE119" s="14">
        <f>BD119*VLOOKUP('Données projet'!$B$11,Paramètres!$A$1:$I$89,3,0)*VLOOKUP('Données projet'!$B$11,Paramètres!$A$1:$I$89,5,0)</f>
        <v>262.93488000000002</v>
      </c>
      <c r="BF119" s="14">
        <f t="shared" si="91"/>
        <v>63.347566493432765</v>
      </c>
      <c r="BG119" s="22">
        <f t="shared" si="61"/>
        <v>568.27526097606199</v>
      </c>
      <c r="BH119" s="62">
        <f t="shared" si="62"/>
        <v>861.60859430939536</v>
      </c>
      <c r="BI119" s="62">
        <f ca="1">AVERAGE(OFFSET($BH$3,0,0,'Données projet'!$E$11+1,1))-AVERAGE(OFFSET($H$3,0,0,'Données projet'!$E$11+1,1))</f>
        <v>278.41778972502732</v>
      </c>
      <c r="BJ119" s="62">
        <f t="shared" si="92"/>
        <v>157.75772798974242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0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65.402999999999878</v>
      </c>
      <c r="D120" s="12">
        <f t="shared" si="86"/>
        <v>18.527386684584421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647.88368668801934</v>
      </c>
      <c r="H120" s="70">
        <f t="shared" si="56"/>
        <v>439.51209014231767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-1.1368683772161603E-13</v>
      </c>
      <c r="O120" s="14">
        <f>N120*VLOOKUP('Données projet'!$B$9,Paramètres!$A$1:$I$89,3,0)*VLOOKUP('Données projet'!$B$9,Paramètres!$A$1:$I$89,5,0)</f>
        <v>-5.3205440053716299E-14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302.30714066618623</v>
      </c>
      <c r="T120" s="62">
        <f t="shared" si="88"/>
        <v>218.81984836501334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-1.7053025658242404E-13</v>
      </c>
      <c r="AJ120" s="14">
        <f>AI120*VLOOKUP('Données projet'!$B$10,Paramètres!$A$1:$I$89,3,0)*VLOOKUP('Données projet'!$B$10,Paramètres!$A$1:$I$89,5,0)</f>
        <v>-1.0197709343628959E-13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150.05970318721711</v>
      </c>
      <c r="AO120" s="62">
        <f t="shared" si="90"/>
        <v>230.8269864623847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27.740844876411202</v>
      </c>
      <c r="AV120" s="23">
        <f>EXP(-LN(2)/25)*AV119+(1-EXP(-LN(2)/25))/(LN(2)/25)*Calculateur!AQ120*Calculateur!AS120*VLOOKUP('Données projet'!$B$10,Paramètres!$A$1:$I$89,3,0)*0.475*44/12</f>
        <v>0.44932793914782393</v>
      </c>
      <c r="AW120" s="23">
        <f>EXP(-LN(2)/2)*AW119+(1-EXP(-LN(2)/2))/(LN(2)/2)*AQ120*AT120*VLOOKUP('Données projet'!$B$10,Paramètres!$A$1:$I$89,3,0)*0.475*44/12</f>
        <v>3.2953542128878163E-9</v>
      </c>
      <c r="AX120" s="23">
        <f t="shared" si="60"/>
        <v>28.190172818854382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3.6</v>
      </c>
      <c r="BD120" s="13">
        <f>IF('Données projet'!$A$88&gt;35,BD119+BC120-BL119,IF(A120&lt;'Données projet'!$A$88,$BA$205^A120,IF(A120='Données projet'!$A$88,'Données projet'!$B$88,BD119+BC120-BL119)))</f>
        <v>294.20000000000005</v>
      </c>
      <c r="BE120" s="14">
        <f>BD120*VLOOKUP('Données projet'!$B$11,Paramètres!$A$1:$I$89,3,0)*VLOOKUP('Données projet'!$B$11,Paramètres!$A$1:$I$89,5,0)</f>
        <v>266.19216000000006</v>
      </c>
      <c r="BF120" s="14">
        <f t="shared" si="91"/>
        <v>64.04048272345976</v>
      </c>
      <c r="BG120" s="22">
        <f t="shared" si="61"/>
        <v>575.15518607669253</v>
      </c>
      <c r="BH120" s="62">
        <f t="shared" si="62"/>
        <v>868.4885194100259</v>
      </c>
      <c r="BI120" s="62">
        <f ca="1">AVERAGE(OFFSET($BH$3,0,0,'Données projet'!$E$11+1,1))-AVERAGE(OFFSET($H$3,0,0,'Données projet'!$E$11+1,1))</f>
        <v>278.41778972502732</v>
      </c>
      <c r="BJ120" s="62">
        <f t="shared" si="92"/>
        <v>157.75772798974242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0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65.961999999999875</v>
      </c>
      <c r="D121" s="12">
        <f t="shared" si="86"/>
        <v>18.667238660961754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653.27833352321261</v>
      </c>
      <c r="H121" s="70">
        <f t="shared" si="56"/>
        <v>440.72925733450813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-1.1368683772161603E-13</v>
      </c>
      <c r="O121" s="14">
        <f>N121*VLOOKUP('Données projet'!$B$9,Paramètres!$A$1:$I$89,3,0)*VLOOKUP('Données projet'!$B$9,Paramètres!$A$1:$I$89,5,0)</f>
        <v>-5.3205440053716299E-14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302.30714066618623</v>
      </c>
      <c r="T121" s="62">
        <f t="shared" si="88"/>
        <v>218.81984836501334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-1.7053025658242404E-13</v>
      </c>
      <c r="AJ121" s="14">
        <f>AI121*VLOOKUP('Données projet'!$B$10,Paramètres!$A$1:$I$89,3,0)*VLOOKUP('Données projet'!$B$10,Paramètres!$A$1:$I$89,5,0)</f>
        <v>-1.0197709343628959E-13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150.05970318721711</v>
      </c>
      <c r="AO121" s="62">
        <f t="shared" si="90"/>
        <v>230.8269864623847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27.196863828629418</v>
      </c>
      <c r="AV121" s="23">
        <f>EXP(-LN(2)/25)*AV120+(1-EXP(-LN(2)/25))/(LN(2)/25)*Calculateur!AQ121*Calculateur!AS121*VLOOKUP('Données projet'!$B$10,Paramètres!$A$1:$I$89,3,0)*0.475*44/12</f>
        <v>0.43704104302269731</v>
      </c>
      <c r="AW121" s="23">
        <f>EXP(-LN(2)/2)*AW120+(1-EXP(-LN(2)/2))/(LN(2)/2)*AQ121*AT121*VLOOKUP('Données projet'!$B$10,Paramètres!$A$1:$I$89,3,0)*0.475*44/12</f>
        <v>2.3301673103446326E-9</v>
      </c>
      <c r="AX121" s="23">
        <f t="shared" si="60"/>
        <v>27.633904873982285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3.6</v>
      </c>
      <c r="BD121" s="13">
        <f>IF('Données projet'!$A$88&gt;35,BD120+BC121-BL120,IF(A121&lt;'Données projet'!$A$88,$BA$205^A121,IF(A121='Données projet'!$A$88,'Données projet'!$B$88,BD120+BC121-BL120)))</f>
        <v>297.80000000000007</v>
      </c>
      <c r="BE121" s="14">
        <f>BD121*VLOOKUP('Données projet'!$B$11,Paramètres!$A$1:$I$89,3,0)*VLOOKUP('Données projet'!$B$11,Paramètres!$A$1:$I$89,5,0)</f>
        <v>269.44944000000004</v>
      </c>
      <c r="BF121" s="14">
        <f t="shared" si="91"/>
        <v>64.732412683644569</v>
      </c>
      <c r="BG121" s="22">
        <f t="shared" si="61"/>
        <v>582.03339342401432</v>
      </c>
      <c r="BH121" s="62">
        <f t="shared" si="62"/>
        <v>875.36672675734758</v>
      </c>
      <c r="BI121" s="62">
        <f ca="1">AVERAGE(OFFSET($BH$3,0,0,'Données projet'!$E$11+1,1))-AVERAGE(OFFSET($H$3,0,0,'Données projet'!$E$11+1,1))</f>
        <v>278.41778972502732</v>
      </c>
      <c r="BJ121" s="62">
        <f t="shared" si="92"/>
        <v>157.75772798974242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0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66.520999999999873</v>
      </c>
      <c r="D122" s="12">
        <f t="shared" si="86"/>
        <v>18.806952747935146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658.67191594897213</v>
      </c>
      <c r="H122" s="70">
        <f t="shared" si="56"/>
        <v>441.94618436932012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-1.1368683772161603E-13</v>
      </c>
      <c r="O122" s="14">
        <f>N122*VLOOKUP('Données projet'!$B$9,Paramètres!$A$1:$I$89,3,0)*VLOOKUP('Données projet'!$B$9,Paramètres!$A$1:$I$89,5,0)</f>
        <v>-5.3205440053716299E-14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302.30714066618623</v>
      </c>
      <c r="T122" s="62">
        <f t="shared" si="88"/>
        <v>218.81984836501334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-1.7053025658242404E-13</v>
      </c>
      <c r="AJ122" s="14">
        <f>AI122*VLOOKUP('Données projet'!$B$10,Paramètres!$A$1:$I$89,3,0)*VLOOKUP('Données projet'!$B$10,Paramètres!$A$1:$I$89,5,0)</f>
        <v>-1.0197709343628959E-13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150.05970318721711</v>
      </c>
      <c r="AO122" s="62">
        <f t="shared" si="90"/>
        <v>230.8269864623847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26.663549917398957</v>
      </c>
      <c r="AV122" s="23">
        <f>EXP(-LN(2)/25)*AV121+(1-EXP(-LN(2)/25))/(LN(2)/25)*Calculateur!AQ122*Calculateur!AS122*VLOOKUP('Données projet'!$B$10,Paramètres!$A$1:$I$89,3,0)*0.475*44/12</f>
        <v>0.42509013271825208</v>
      </c>
      <c r="AW122" s="23">
        <f>EXP(-LN(2)/2)*AW121+(1-EXP(-LN(2)/2))/(LN(2)/2)*AQ122*AT122*VLOOKUP('Données projet'!$B$10,Paramètres!$A$1:$I$89,3,0)*0.475*44/12</f>
        <v>1.6476771064439081E-9</v>
      </c>
      <c r="AX122" s="23">
        <f t="shared" si="60"/>
        <v>27.088640051764887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3.6</v>
      </c>
      <c r="BD122" s="13">
        <f>IF('Données projet'!$A$88&gt;35,BD121+BC122-BL121,IF(A122&lt;'Données projet'!$A$88,$BA$205^A122,IF(A122='Données projet'!$A$88,'Données projet'!$B$88,BD121+BC122-BL121)))</f>
        <v>301.40000000000009</v>
      </c>
      <c r="BE122" s="14">
        <f>BD122*VLOOKUP('Données projet'!$B$11,Paramètres!$A$1:$I$89,3,0)*VLOOKUP('Données projet'!$B$11,Paramètres!$A$1:$I$89,5,0)</f>
        <v>272.70672000000008</v>
      </c>
      <c r="BF122" s="14">
        <f t="shared" si="91"/>
        <v>65.423369675748305</v>
      </c>
      <c r="BG122" s="22">
        <f t="shared" si="61"/>
        <v>588.90990618526166</v>
      </c>
      <c r="BH122" s="62">
        <f t="shared" si="62"/>
        <v>882.24323951859492</v>
      </c>
      <c r="BI122" s="62">
        <f ca="1">AVERAGE(OFFSET($BH$3,0,0,'Données projet'!$E$11+1,1))-AVERAGE(OFFSET($H$3,0,0,'Données projet'!$E$11+1,1))</f>
        <v>278.41778972502732</v>
      </c>
      <c r="BJ122" s="62">
        <f t="shared" si="92"/>
        <v>157.75772798974242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0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67.07999999999987</v>
      </c>
      <c r="D123" s="12">
        <f t="shared" si="86"/>
        <v>18.946530238513862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664.06444394642187</v>
      </c>
      <c r="H123" s="70">
        <f t="shared" si="56"/>
        <v>443.16287349874472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-1.1368683772161603E-13</v>
      </c>
      <c r="O123" s="14">
        <f>N123*VLOOKUP('Données projet'!$B$9,Paramètres!$A$1:$I$89,3,0)*VLOOKUP('Données projet'!$B$9,Paramètres!$A$1:$I$89,5,0)</f>
        <v>-5.3205440053716299E-14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302.30714066618623</v>
      </c>
      <c r="T123" s="62">
        <f t="shared" si="88"/>
        <v>218.81984836501334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-1.7053025658242404E-13</v>
      </c>
      <c r="AJ123" s="14">
        <f>AI123*VLOOKUP('Données projet'!$B$10,Paramètres!$A$1:$I$89,3,0)*VLOOKUP('Données projet'!$B$10,Paramètres!$A$1:$I$89,5,0)</f>
        <v>-1.0197709343628959E-13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150.05970318721711</v>
      </c>
      <c r="AO123" s="62">
        <f t="shared" si="90"/>
        <v>230.8269864623847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26.140693966678359</v>
      </c>
      <c r="AV123" s="23">
        <f>EXP(-LN(2)/25)*AV122+(1-EXP(-LN(2)/25))/(LN(2)/25)*Calculateur!AQ123*Calculateur!AS123*VLOOKUP('Données projet'!$B$10,Paramètres!$A$1:$I$89,3,0)*0.475*44/12</f>
        <v>0.41346602068455296</v>
      </c>
      <c r="AW123" s="23">
        <f>EXP(-LN(2)/2)*AW122+(1-EXP(-LN(2)/2))/(LN(2)/2)*AQ123*AT123*VLOOKUP('Données projet'!$B$10,Paramètres!$A$1:$I$89,3,0)*0.475*44/12</f>
        <v>1.1650836551723163E-9</v>
      </c>
      <c r="AX123" s="23">
        <f t="shared" si="60"/>
        <v>26.554159988527996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>
        <f>VLOOKUP(A123,'Données projet'!$A$87:$I$107,2,0)</f>
        <v>305</v>
      </c>
      <c r="BB123" s="13">
        <f>VLOOKUP(A123,'Données projet'!$A$87:$I$107,9,0)</f>
        <v>3.6</v>
      </c>
      <c r="BC123" s="13">
        <f t="array" ref="BC123">INDEX(BB:BB,MIN(IF(ISNUMBER(BB123:BB319),ROW(BB123:BB319),"")))</f>
        <v>3.6</v>
      </c>
      <c r="BD123" s="13">
        <f>IF('Données projet'!$A$88&gt;35,BD122+BC123-BL122,IF(A123&lt;'Données projet'!$A$88,$BA$205^A123,IF(A123='Données projet'!$A$88,'Données projet'!$B$88,BD122+BC123-BL122)))</f>
        <v>305.00000000000011</v>
      </c>
      <c r="BE123" s="14">
        <f>BD123*VLOOKUP('Données projet'!$B$11,Paramètres!$A$1:$I$89,3,0)*VLOOKUP('Données projet'!$B$11,Paramètres!$A$1:$I$89,5,0)</f>
        <v>275.96400000000011</v>
      </c>
      <c r="BF123" s="14">
        <f t="shared" si="91"/>
        <v>66.113366665488911</v>
      </c>
      <c r="BG123" s="22">
        <f t="shared" si="61"/>
        <v>595.78474694239333</v>
      </c>
      <c r="BH123" s="62">
        <f t="shared" si="62"/>
        <v>889.1180802757267</v>
      </c>
      <c r="BI123" s="62">
        <f ca="1">AVERAGE(OFFSET($BH$3,0,0,'Données projet'!$E$11+1,1))-AVERAGE(OFFSET($H$3,0,0,'Données projet'!$E$11+1,1))</f>
        <v>278.41778972502732</v>
      </c>
      <c r="BJ123" s="62">
        <f t="shared" si="92"/>
        <v>157.75772798974242</v>
      </c>
      <c r="BK123" s="16">
        <f>IF(ISNA(VLOOKUP(A123,'Données projet'!$A$87:$I$107,3,0)),0,VLOOKUP(A123,'Données projet'!$A$87:$I$107,3,0))</f>
        <v>20</v>
      </c>
      <c r="BL123" s="16">
        <f>IF(ISNA(VLOOKUP(A123,'Données projet'!$A$87:$I$107,4,0)),0,VLOOKUP(A123,'Données projet'!$A$87:$I$107,4,0))</f>
        <v>305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0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67.638999999999868</v>
      </c>
      <c r="D124" s="12">
        <f t="shared" si="86"/>
        <v>19.085972402913047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669.45592732073135</v>
      </c>
      <c r="H124" s="70">
        <f t="shared" si="56"/>
        <v>444.37932693507332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-1.1368683772161603E-13</v>
      </c>
      <c r="O124" s="14">
        <f>N124*VLOOKUP('Données projet'!$B$9,Paramètres!$A$1:$I$89,3,0)*VLOOKUP('Données projet'!$B$9,Paramètres!$A$1:$I$89,5,0)</f>
        <v>-5.3205440053716299E-14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302.30714066618623</v>
      </c>
      <c r="T124" s="62">
        <f t="shared" si="88"/>
        <v>218.81984836501334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-1.7053025658242404E-13</v>
      </c>
      <c r="AJ124" s="14">
        <f>AI124*VLOOKUP('Données projet'!$B$10,Paramètres!$A$1:$I$89,3,0)*VLOOKUP('Données projet'!$B$10,Paramètres!$A$1:$I$89,5,0)</f>
        <v>-1.0197709343628959E-13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150.05970318721711</v>
      </c>
      <c r="AO124" s="62">
        <f t="shared" si="90"/>
        <v>230.8269864623847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25.628090902240753</v>
      </c>
      <c r="AV124" s="23">
        <f>EXP(-LN(2)/25)*AV123+(1-EXP(-LN(2)/25))/(LN(2)/25)*Calculateur!AQ124*Calculateur!AS124*VLOOKUP('Données projet'!$B$10,Paramètres!$A$1:$I$89,3,0)*0.475*44/12</f>
        <v>0.40215977060570079</v>
      </c>
      <c r="AW124" s="23">
        <f>EXP(-LN(2)/2)*AW123+(1-EXP(-LN(2)/2))/(LN(2)/2)*AQ124*AT124*VLOOKUP('Données projet'!$B$10,Paramètres!$A$1:$I$89,3,0)*0.475*44/12</f>
        <v>8.2383855322195407E-10</v>
      </c>
      <c r="AX124" s="23">
        <f t="shared" si="60"/>
        <v>26.030250673670292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1.1368683772161603E-13</v>
      </c>
      <c r="BE124" s="14">
        <f>BD124*VLOOKUP('Données projet'!$B$11,Paramètres!$A$1:$I$89,3,0)*VLOOKUP('Données projet'!$B$11,Paramètres!$A$1:$I$89,5,0)</f>
        <v>1.0286385077051818E-13</v>
      </c>
      <c r="BF124" s="14">
        <f t="shared" si="91"/>
        <v>1.5402366592183556E-12</v>
      </c>
      <c r="BG124" s="22">
        <f t="shared" si="61"/>
        <v>2.8617333882306215E-12</v>
      </c>
      <c r="BH124" s="62">
        <f t="shared" si="62"/>
        <v>293.33333333333616</v>
      </c>
      <c r="BI124" s="62">
        <f ca="1">AVERAGE(OFFSET($BH$3,0,0,'Données projet'!$E$11+1,1))-AVERAGE(OFFSET($H$3,0,0,'Données projet'!$E$11+1,1))</f>
        <v>278.41778972502732</v>
      </c>
      <c r="BJ124" s="62">
        <f t="shared" si="92"/>
        <v>157.75772798974242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0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68.197999999999865</v>
      </c>
      <c r="D125" s="12">
        <f t="shared" si="86"/>
        <v>19.225280489140612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674.84637570564576</v>
      </c>
      <c r="H125" s="70">
        <f t="shared" si="56"/>
        <v>445.59554685191961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-1.1368683772161603E-13</v>
      </c>
      <c r="O125" s="14">
        <f>N125*VLOOKUP('Données projet'!$B$9,Paramètres!$A$1:$I$89,3,0)*VLOOKUP('Données projet'!$B$9,Paramètres!$A$1:$I$89,5,0)</f>
        <v>-5.3205440053716299E-14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302.30714066618623</v>
      </c>
      <c r="T125" s="62">
        <f t="shared" si="88"/>
        <v>218.81984836501334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-1.7053025658242404E-13</v>
      </c>
      <c r="AJ125" s="14">
        <f>AI125*VLOOKUP('Données projet'!$B$10,Paramètres!$A$1:$I$89,3,0)*VLOOKUP('Données projet'!$B$10,Paramètres!$A$1:$I$89,5,0)</f>
        <v>-1.0197709343628959E-13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150.05970318721711</v>
      </c>
      <c r="AO125" s="62">
        <f t="shared" si="90"/>
        <v>230.8269864623847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25.125539671239771</v>
      </c>
      <c r="AV125" s="23">
        <f>EXP(-LN(2)/25)*AV124+(1-EXP(-LN(2)/25))/(LN(2)/25)*Calculateur!AQ125*Calculateur!AS125*VLOOKUP('Données projet'!$B$10,Paramètres!$A$1:$I$89,3,0)*0.475*44/12</f>
        <v>0.39116269052982472</v>
      </c>
      <c r="AW125" s="23">
        <f>EXP(-LN(2)/2)*AW124+(1-EXP(-LN(2)/2))/(LN(2)/2)*AQ125*AT125*VLOOKUP('Données projet'!$B$10,Paramètres!$A$1:$I$89,3,0)*0.475*44/12</f>
        <v>5.8254182758615816E-10</v>
      </c>
      <c r="AX125" s="23">
        <f t="shared" si="60"/>
        <v>25.516702362352138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1.1368683772161603E-13</v>
      </c>
      <c r="BE125" s="14">
        <f>BD125*VLOOKUP('Données projet'!$B$11,Paramètres!$A$1:$I$89,3,0)*VLOOKUP('Données projet'!$B$11,Paramètres!$A$1:$I$89,5,0)</f>
        <v>1.0286385077051818E-13</v>
      </c>
      <c r="BF125" s="14">
        <f t="shared" si="91"/>
        <v>1.5402366592183556E-12</v>
      </c>
      <c r="BG125" s="22">
        <f t="shared" si="61"/>
        <v>2.8617333882306215E-12</v>
      </c>
      <c r="BH125" s="62">
        <f t="shared" si="62"/>
        <v>293.33333333333616</v>
      </c>
      <c r="BI125" s="62">
        <f ca="1">AVERAGE(OFFSET($BH$3,0,0,'Données projet'!$E$11+1,1))-AVERAGE(OFFSET($H$3,0,0,'Données projet'!$E$11+1,1))</f>
        <v>278.41778972502732</v>
      </c>
      <c r="BJ125" s="62">
        <f t="shared" si="92"/>
        <v>157.75772798974242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0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68.756999999999863</v>
      </c>
      <c r="D126" s="12">
        <f t="shared" si="86"/>
        <v>19.364455723564159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680.23579856786262</v>
      </c>
      <c r="H126" s="70">
        <f t="shared" si="56"/>
        <v>446.81153538520732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-1.1368683772161603E-13</v>
      </c>
      <c r="O126" s="14">
        <f>N126*VLOOKUP('Données projet'!$B$9,Paramètres!$A$1:$I$89,3,0)*VLOOKUP('Données projet'!$B$9,Paramètres!$A$1:$I$89,5,0)</f>
        <v>-5.3205440053716299E-14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302.30714066618623</v>
      </c>
      <c r="T126" s="62">
        <f t="shared" si="88"/>
        <v>218.81984836501334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-1.7053025658242404E-13</v>
      </c>
      <c r="AJ126" s="14">
        <f>AI126*VLOOKUP('Données projet'!$B$10,Paramètres!$A$1:$I$89,3,0)*VLOOKUP('Données projet'!$B$10,Paramètres!$A$1:$I$89,5,0)</f>
        <v>-1.0197709343628959E-13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150.05970318721711</v>
      </c>
      <c r="AO126" s="62">
        <f t="shared" si="90"/>
        <v>230.8269864623847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24.632843163352735</v>
      </c>
      <c r="AV126" s="23">
        <f>EXP(-LN(2)/25)*AV125+(1-EXP(-LN(2)/25))/(LN(2)/25)*Calculateur!AQ126*Calculateur!AS126*VLOOKUP('Données projet'!$B$10,Paramètres!$A$1:$I$89,3,0)*0.475*44/12</f>
        <v>0.38046632618693477</v>
      </c>
      <c r="AW126" s="23">
        <f>EXP(-LN(2)/2)*AW125+(1-EXP(-LN(2)/2))/(LN(2)/2)*AQ126*AT126*VLOOKUP('Données projet'!$B$10,Paramètres!$A$1:$I$89,3,0)*0.475*44/12</f>
        <v>4.1191927661097704E-10</v>
      </c>
      <c r="AX126" s="23">
        <f t="shared" si="60"/>
        <v>25.013309489951588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1.1368683772161603E-13</v>
      </c>
      <c r="BE126" s="14">
        <f>BD126*VLOOKUP('Données projet'!$B$11,Paramètres!$A$1:$I$89,3,0)*VLOOKUP('Données projet'!$B$11,Paramètres!$A$1:$I$89,5,0)</f>
        <v>1.0286385077051818E-13</v>
      </c>
      <c r="BF126" s="14">
        <f t="shared" si="91"/>
        <v>1.5402366592183556E-12</v>
      </c>
      <c r="BG126" s="22">
        <f t="shared" si="61"/>
        <v>2.8617333882306215E-12</v>
      </c>
      <c r="BH126" s="62">
        <f t="shared" si="62"/>
        <v>293.33333333333616</v>
      </c>
      <c r="BI126" s="62">
        <f ca="1">AVERAGE(OFFSET($BH$3,0,0,'Données projet'!$E$11+1,1))-AVERAGE(OFFSET($H$3,0,0,'Données projet'!$E$11+1,1))</f>
        <v>278.41778972502732</v>
      </c>
      <c r="BJ126" s="62">
        <f t="shared" si="92"/>
        <v>157.75772798974242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0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69.31599999999986</v>
      </c>
      <c r="D127" s="12">
        <f t="shared" si="86"/>
        <v>19.503499311459102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685.62420521126216</v>
      </c>
      <c r="H127" s="70">
        <f t="shared" si="56"/>
        <v>448.02729463412436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-1.1368683772161603E-13</v>
      </c>
      <c r="O127" s="14">
        <f>N127*VLOOKUP('Données projet'!$B$9,Paramètres!$A$1:$I$89,3,0)*VLOOKUP('Données projet'!$B$9,Paramètres!$A$1:$I$89,5,0)</f>
        <v>-5.3205440053716299E-14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302.30714066618623</v>
      </c>
      <c r="T127" s="62">
        <f t="shared" si="88"/>
        <v>218.81984836501334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-1.7053025658242404E-13</v>
      </c>
      <c r="AJ127" s="14">
        <f>AI127*VLOOKUP('Données projet'!$B$10,Paramètres!$A$1:$I$89,3,0)*VLOOKUP('Données projet'!$B$10,Paramètres!$A$1:$I$89,5,0)</f>
        <v>-1.0197709343628959E-13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150.05970318721711</v>
      </c>
      <c r="AO127" s="62">
        <f t="shared" si="90"/>
        <v>230.8269864623847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24.149808133470167</v>
      </c>
      <c r="AV127" s="23">
        <f>EXP(-LN(2)/25)*AV126+(1-EXP(-LN(2)/25))/(LN(2)/25)*Calculateur!AQ127*Calculateur!AS127*VLOOKUP('Données projet'!$B$10,Paramètres!$A$1:$I$89,3,0)*0.475*44/12</f>
        <v>0.37006245448949848</v>
      </c>
      <c r="AW127" s="23">
        <f>EXP(-LN(2)/2)*AW126+(1-EXP(-LN(2)/2))/(LN(2)/2)*AQ127*AT127*VLOOKUP('Données projet'!$B$10,Paramètres!$A$1:$I$89,3,0)*0.475*44/12</f>
        <v>2.9127091379307908E-10</v>
      </c>
      <c r="AX127" s="23">
        <f t="shared" si="60"/>
        <v>24.519870588250935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1.1368683772161603E-13</v>
      </c>
      <c r="BE127" s="14">
        <f>BD127*VLOOKUP('Données projet'!$B$11,Paramètres!$A$1:$I$89,3,0)*VLOOKUP('Données projet'!$B$11,Paramètres!$A$1:$I$89,5,0)</f>
        <v>1.0286385077051818E-13</v>
      </c>
      <c r="BF127" s="14">
        <f t="shared" si="91"/>
        <v>1.5402366592183556E-12</v>
      </c>
      <c r="BG127" s="22">
        <f t="shared" si="61"/>
        <v>2.8617333882306215E-12</v>
      </c>
      <c r="BH127" s="62">
        <f t="shared" si="62"/>
        <v>293.33333333333616</v>
      </c>
      <c r="BI127" s="62">
        <f ca="1">AVERAGE(OFFSET($BH$3,0,0,'Données projet'!$E$11+1,1))-AVERAGE(OFFSET($H$3,0,0,'Données projet'!$E$11+1,1))</f>
        <v>278.41778972502732</v>
      </c>
      <c r="BJ127" s="62">
        <f t="shared" si="92"/>
        <v>157.75772798974242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0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69.874999999999858</v>
      </c>
      <c r="D128" s="12">
        <f t="shared" si="86"/>
        <v>19.642412437538525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691.01160478099803</v>
      </c>
      <c r="H128" s="70">
        <f t="shared" si="56"/>
        <v>449.24282666204601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-1.1368683772161603E-13</v>
      </c>
      <c r="O128" s="14">
        <f>N128*VLOOKUP('Données projet'!$B$9,Paramètres!$A$1:$I$89,3,0)*VLOOKUP('Données projet'!$B$9,Paramètres!$A$1:$I$89,5,0)</f>
        <v>-5.3205440053716299E-14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302.30714066618623</v>
      </c>
      <c r="T128" s="62">
        <f t="shared" si="88"/>
        <v>218.81984836501334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-1.7053025658242404E-13</v>
      </c>
      <c r="AJ128" s="14">
        <f>AI128*VLOOKUP('Données projet'!$B$10,Paramètres!$A$1:$I$89,3,0)*VLOOKUP('Données projet'!$B$10,Paramètres!$A$1:$I$89,5,0)</f>
        <v>-1.0197709343628959E-13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150.05970318721711</v>
      </c>
      <c r="AO128" s="62">
        <f t="shared" si="90"/>
        <v>230.8269864623847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23.676245125901318</v>
      </c>
      <c r="AV128" s="23">
        <f>EXP(-LN(2)/25)*AV127+(1-EXP(-LN(2)/25))/(LN(2)/25)*Calculateur!AQ128*Calculateur!AS128*VLOOKUP('Données projet'!$B$10,Paramètres!$A$1:$I$89,3,0)*0.475*44/12</f>
        <v>0.35994307721074448</v>
      </c>
      <c r="AW128" s="23">
        <f>EXP(-LN(2)/2)*AW127+(1-EXP(-LN(2)/2))/(LN(2)/2)*AQ128*AT128*VLOOKUP('Données projet'!$B$10,Paramètres!$A$1:$I$89,3,0)*0.475*44/12</f>
        <v>2.0595963830548852E-10</v>
      </c>
      <c r="AX128" s="23">
        <f t="shared" si="60"/>
        <v>24.036188203318019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1.1368683772161603E-13</v>
      </c>
      <c r="BE128" s="14">
        <f>BD128*VLOOKUP('Données projet'!$B$11,Paramètres!$A$1:$I$89,3,0)*VLOOKUP('Données projet'!$B$11,Paramètres!$A$1:$I$89,5,0)</f>
        <v>1.0286385077051818E-13</v>
      </c>
      <c r="BF128" s="14">
        <f t="shared" si="91"/>
        <v>1.5402366592183556E-12</v>
      </c>
      <c r="BG128" s="22">
        <f t="shared" si="61"/>
        <v>2.8617333882306215E-12</v>
      </c>
      <c r="BH128" s="62">
        <f t="shared" si="62"/>
        <v>293.33333333333616</v>
      </c>
      <c r="BI128" s="62">
        <f ca="1">AVERAGE(OFFSET($BH$3,0,0,'Données projet'!$E$11+1,1))-AVERAGE(OFFSET($H$3,0,0,'Données projet'!$E$11+1,1))</f>
        <v>278.41778972502732</v>
      </c>
      <c r="BJ128" s="62">
        <f t="shared" si="92"/>
        <v>157.75772798974242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0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70.433999999999855</v>
      </c>
      <c r="D129" s="12">
        <f t="shared" si="86"/>
        <v>19.781196266465557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696.39800626745227</v>
      </c>
      <c r="H129" s="70">
        <f t="shared" si="56"/>
        <v>450.45813349742724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-1.1368683772161603E-13</v>
      </c>
      <c r="O129" s="14">
        <f>N129*VLOOKUP('Données projet'!$B$9,Paramètres!$A$1:$I$89,3,0)*VLOOKUP('Données projet'!$B$9,Paramètres!$A$1:$I$89,5,0)</f>
        <v>-5.3205440053716299E-14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302.30714066618623</v>
      </c>
      <c r="T129" s="62">
        <f t="shared" si="88"/>
        <v>218.81984836501334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-1.7053025658242404E-13</v>
      </c>
      <c r="AJ129" s="14">
        <f>AI129*VLOOKUP('Données projet'!$B$10,Paramètres!$A$1:$I$89,3,0)*VLOOKUP('Données projet'!$B$10,Paramètres!$A$1:$I$89,5,0)</f>
        <v>-1.0197709343628959E-13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150.05970318721711</v>
      </c>
      <c r="AO129" s="62">
        <f t="shared" si="90"/>
        <v>230.8269864623847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23.211968400065981</v>
      </c>
      <c r="AV129" s="23">
        <f>EXP(-LN(2)/25)*AV128+(1-EXP(-LN(2)/25))/(LN(2)/25)*Calculateur!AQ129*Calculateur!AS129*VLOOKUP('Données projet'!$B$10,Paramètres!$A$1:$I$89,3,0)*0.475*44/12</f>
        <v>0.35010041483583287</v>
      </c>
      <c r="AW129" s="23">
        <f>EXP(-LN(2)/2)*AW128+(1-EXP(-LN(2)/2))/(LN(2)/2)*AQ129*AT129*VLOOKUP('Données projet'!$B$10,Paramètres!$A$1:$I$89,3,0)*0.475*44/12</f>
        <v>1.4563545689653954E-10</v>
      </c>
      <c r="AX129" s="23">
        <f t="shared" si="60"/>
        <v>23.56206881504745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1.1368683772161603E-13</v>
      </c>
      <c r="BE129" s="14">
        <f>BD129*VLOOKUP('Données projet'!$B$11,Paramètres!$A$1:$I$89,3,0)*VLOOKUP('Données projet'!$B$11,Paramètres!$A$1:$I$89,5,0)</f>
        <v>1.0286385077051818E-13</v>
      </c>
      <c r="BF129" s="14">
        <f t="shared" si="91"/>
        <v>1.5402366592183556E-12</v>
      </c>
      <c r="BG129" s="22">
        <f t="shared" si="61"/>
        <v>2.8617333882306215E-12</v>
      </c>
      <c r="BH129" s="62">
        <f t="shared" si="62"/>
        <v>293.33333333333616</v>
      </c>
      <c r="BI129" s="62">
        <f ca="1">AVERAGE(OFFSET($BH$3,0,0,'Données projet'!$E$11+1,1))-AVERAGE(OFFSET($H$3,0,0,'Données projet'!$E$11+1,1))</f>
        <v>278.41778972502732</v>
      </c>
      <c r="BJ129" s="62">
        <f t="shared" si="92"/>
        <v>157.75772798974242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0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70.992999999999853</v>
      </c>
      <c r="D130" s="12">
        <f t="shared" si="86"/>
        <v>19.919851943349197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701.78341851006292</v>
      </c>
      <c r="H130" s="70">
        <f t="shared" si="56"/>
        <v>451.67321713466623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-1.1368683772161603E-13</v>
      </c>
      <c r="O130" s="14">
        <f>N130*VLOOKUP('Données projet'!$B$9,Paramètres!$A$1:$I$89,3,0)*VLOOKUP('Données projet'!$B$9,Paramètres!$A$1:$I$89,5,0)</f>
        <v>-5.3205440053716299E-14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302.30714066618623</v>
      </c>
      <c r="T130" s="62">
        <f t="shared" si="88"/>
        <v>218.81984836501334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-1.7053025658242404E-13</v>
      </c>
      <c r="AJ130" s="14">
        <f>AI130*VLOOKUP('Données projet'!$B$10,Paramètres!$A$1:$I$89,3,0)*VLOOKUP('Données projet'!$B$10,Paramètres!$A$1:$I$89,5,0)</f>
        <v>-1.0197709343628959E-13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150.05970318721711</v>
      </c>
      <c r="AO130" s="62">
        <f t="shared" si="90"/>
        <v>230.8269864623847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22.756795857643436</v>
      </c>
      <c r="AV130" s="23">
        <f>EXP(-LN(2)/25)*AV129+(1-EXP(-LN(2)/25))/(LN(2)/25)*Calculateur!AQ130*Calculateur!AS130*VLOOKUP('Données projet'!$B$10,Paramètres!$A$1:$I$89,3,0)*0.475*44/12</f>
        <v>0.34052690058116636</v>
      </c>
      <c r="AW130" s="23">
        <f>EXP(-LN(2)/2)*AW129+(1-EXP(-LN(2)/2))/(LN(2)/2)*AQ130*AT130*VLOOKUP('Données projet'!$B$10,Paramètres!$A$1:$I$89,3,0)*0.475*44/12</f>
        <v>1.0297981915274426E-10</v>
      </c>
      <c r="AX130" s="23">
        <f t="shared" si="60"/>
        <v>23.097322758327582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1.1368683772161603E-13</v>
      </c>
      <c r="BE130" s="14">
        <f>BD130*VLOOKUP('Données projet'!$B$11,Paramètres!$A$1:$I$89,3,0)*VLOOKUP('Données projet'!$B$11,Paramètres!$A$1:$I$89,5,0)</f>
        <v>1.0286385077051818E-13</v>
      </c>
      <c r="BF130" s="14">
        <f t="shared" si="91"/>
        <v>1.5402366592183556E-12</v>
      </c>
      <c r="BG130" s="22">
        <f t="shared" si="61"/>
        <v>2.8617333882306215E-12</v>
      </c>
      <c r="BH130" s="62">
        <f t="shared" si="62"/>
        <v>293.33333333333616</v>
      </c>
      <c r="BI130" s="62">
        <f ca="1">AVERAGE(OFFSET($BH$3,0,0,'Données projet'!$E$11+1,1))-AVERAGE(OFFSET($H$3,0,0,'Données projet'!$E$11+1,1))</f>
        <v>278.41778972502732</v>
      </c>
      <c r="BJ130" s="62">
        <f t="shared" si="92"/>
        <v>157.75772798974242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0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71.55199999999985</v>
      </c>
      <c r="D131" s="12">
        <f t="shared" si="86"/>
        <v>20.058380594223749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707.16785020102441</v>
      </c>
      <c r="H131" s="70">
        <f t="shared" si="56"/>
        <v>452.88807953493938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-1.1368683772161603E-13</v>
      </c>
      <c r="O131" s="14">
        <f>N131*VLOOKUP('Données projet'!$B$9,Paramètres!$A$1:$I$89,3,0)*VLOOKUP('Données projet'!$B$9,Paramètres!$A$1:$I$89,5,0)</f>
        <v>-5.3205440053716299E-14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302.30714066618623</v>
      </c>
      <c r="T131" s="62">
        <f t="shared" si="88"/>
        <v>218.81984836501334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-1.7053025658242404E-13</v>
      </c>
      <c r="AJ131" s="14">
        <f>AI131*VLOOKUP('Données projet'!$B$10,Paramètres!$A$1:$I$89,3,0)*VLOOKUP('Données projet'!$B$10,Paramètres!$A$1:$I$89,5,0)</f>
        <v>-1.0197709343628959E-13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150.05970318721711</v>
      </c>
      <c r="AO131" s="62">
        <f t="shared" si="90"/>
        <v>230.8269864623847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22.310548971149959</v>
      </c>
      <c r="AV131" s="23">
        <f>EXP(-LN(2)/25)*AV130+(1-EXP(-LN(2)/25))/(LN(2)/25)*Calculateur!AQ131*Calculateur!AS131*VLOOKUP('Données projet'!$B$10,Paramètres!$A$1:$I$89,3,0)*0.475*44/12</f>
        <v>0.33121517457724292</v>
      </c>
      <c r="AW131" s="23">
        <f>EXP(-LN(2)/2)*AW130+(1-EXP(-LN(2)/2))/(LN(2)/2)*AQ131*AT131*VLOOKUP('Données projet'!$B$10,Paramètres!$A$1:$I$89,3,0)*0.475*44/12</f>
        <v>7.281772844826977E-11</v>
      </c>
      <c r="AX131" s="23">
        <f t="shared" si="60"/>
        <v>22.641764145800018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1.1368683772161603E-13</v>
      </c>
      <c r="BE131" s="14">
        <f>BD131*VLOOKUP('Données projet'!$B$11,Paramètres!$A$1:$I$89,3,0)*VLOOKUP('Données projet'!$B$11,Paramètres!$A$1:$I$89,5,0)</f>
        <v>1.0286385077051818E-13</v>
      </c>
      <c r="BF131" s="14">
        <f t="shared" si="91"/>
        <v>1.5402366592183556E-12</v>
      </c>
      <c r="BG131" s="22">
        <f t="shared" si="61"/>
        <v>2.8617333882306215E-12</v>
      </c>
      <c r="BH131" s="62">
        <f t="shared" si="62"/>
        <v>293.33333333333616</v>
      </c>
      <c r="BI131" s="62">
        <f ca="1">AVERAGE(OFFSET($BH$3,0,0,'Données projet'!$E$11+1,1))-AVERAGE(OFFSET($H$3,0,0,'Données projet'!$E$11+1,1))</f>
        <v>278.41778972502732</v>
      </c>
      <c r="BJ131" s="62">
        <f t="shared" si="92"/>
        <v>157.75772798974242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0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72.110999999999848</v>
      </c>
      <c r="D132" s="12">
        <f t="shared" si="86"/>
        <v>20.19678332651322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712.55130988887277</v>
      </c>
      <c r="H132" s="70">
        <f t="shared" ref="H132:H195" si="110">(B132+E132+F132)*44/12+(C132+D132)*0.475*44/12</f>
        <v>454.10272262701022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-1.1368683772161603E-13</v>
      </c>
      <c r="O132" s="14">
        <f>N132*VLOOKUP('Données projet'!$B$9,Paramètres!$A$1:$I$89,3,0)*VLOOKUP('Données projet'!$B$9,Paramètres!$A$1:$I$89,5,0)</f>
        <v>-5.3205440053716299E-14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302.30714066618623</v>
      </c>
      <c r="T132" s="62">
        <f t="shared" si="88"/>
        <v>218.81984836501334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-1.7053025658242404E-13</v>
      </c>
      <c r="AJ132" s="14">
        <f>AI132*VLOOKUP('Données projet'!$B$10,Paramètres!$A$1:$I$89,3,0)*VLOOKUP('Données projet'!$B$10,Paramètres!$A$1:$I$89,5,0)</f>
        <v>-1.0197709343628959E-13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150.05970318721711</v>
      </c>
      <c r="AO132" s="62">
        <f t="shared" si="90"/>
        <v>230.8269864623847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21.873052713916895</v>
      </c>
      <c r="AV132" s="23">
        <f>EXP(-LN(2)/25)*AV131+(1-EXP(-LN(2)/25))/(LN(2)/25)*Calculateur!AQ132*Calculateur!AS132*VLOOKUP('Données projet'!$B$10,Paramètres!$A$1:$I$89,3,0)*0.475*44/12</f>
        <v>0.32215807821057918</v>
      </c>
      <c r="AW132" s="23">
        <f>EXP(-LN(2)/2)*AW131+(1-EXP(-LN(2)/2))/(LN(2)/2)*AQ132*AT132*VLOOKUP('Données projet'!$B$10,Paramètres!$A$1:$I$89,3,0)*0.475*44/12</f>
        <v>5.1489909576372129E-11</v>
      </c>
      <c r="AX132" s="23">
        <f t="shared" ref="AX132:AX153" si="114">SUM(AU132:AW132)</f>
        <v>22.195210792178962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1.1368683772161603E-13</v>
      </c>
      <c r="BE132" s="14">
        <f>BD132*VLOOKUP('Données projet'!$B$11,Paramètres!$A$1:$I$89,3,0)*VLOOKUP('Données projet'!$B$11,Paramètres!$A$1:$I$89,5,0)</f>
        <v>1.0286385077051818E-13</v>
      </c>
      <c r="BF132" s="14">
        <f t="shared" si="91"/>
        <v>1.5402366592183556E-12</v>
      </c>
      <c r="BG132" s="22">
        <f t="shared" ref="BG132:BG153" si="115">(BE132+BF132)*0.475*44/12</f>
        <v>2.8617333882306215E-12</v>
      </c>
      <c r="BH132" s="62">
        <f t="shared" ref="BH132:BH195" si="116">BG132+(AY132+AZ132)*44/12</f>
        <v>293.33333333333616</v>
      </c>
      <c r="BI132" s="62">
        <f ca="1">AVERAGE(OFFSET($BH$3,0,0,'Données projet'!$E$11+1,1))-AVERAGE(OFFSET($H$3,0,0,'Données projet'!$E$11+1,1))</f>
        <v>278.41778972502732</v>
      </c>
      <c r="BJ132" s="62">
        <f t="shared" si="92"/>
        <v>157.75772798974242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0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72.669999999999845</v>
      </c>
      <c r="D133" s="12">
        <f t="shared" ref="D133:D196" si="140">IFERROR(EXP(-1.0587+0.8836*LN(C133)+0.284),0)</f>
        <v>20.335061229480619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717.93380598195461</v>
      </c>
      <c r="H133" s="70">
        <f t="shared" si="110"/>
        <v>455.31714830801172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-1.1368683772161603E-13</v>
      </c>
      <c r="O133" s="14">
        <f>N133*VLOOKUP('Données projet'!$B$9,Paramètres!$A$1:$I$89,3,0)*VLOOKUP('Données projet'!$B$9,Paramètres!$A$1:$I$89,5,0)</f>
        <v>-5.3205440053716299E-14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302.30714066618623</v>
      </c>
      <c r="T133" s="62">
        <f t="shared" ref="T133:T196" si="142">$T$3</f>
        <v>218.81984836501334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-1.7053025658242404E-13</v>
      </c>
      <c r="AJ133" s="14">
        <f>AI133*VLOOKUP('Données projet'!$B$10,Paramètres!$A$1:$I$89,3,0)*VLOOKUP('Données projet'!$B$10,Paramètres!$A$1:$I$89,5,0)</f>
        <v>-1.0197709343628959E-13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150.05970318721711</v>
      </c>
      <c r="AO133" s="62">
        <f t="shared" ref="AO133:AO196" si="144">$AO$3</f>
        <v>230.8269864623847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21.444135491441802</v>
      </c>
      <c r="AV133" s="23">
        <f>EXP(-LN(2)/25)*AV132+(1-EXP(-LN(2)/25))/(LN(2)/25)*Calculateur!AQ133*Calculateur!AS133*VLOOKUP('Données projet'!$B$10,Paramètres!$A$1:$I$89,3,0)*0.475*44/12</f>
        <v>0.31334864862035389</v>
      </c>
      <c r="AW133" s="23">
        <f>EXP(-LN(2)/2)*AW132+(1-EXP(-LN(2)/2))/(LN(2)/2)*AQ133*AT133*VLOOKUP('Données projet'!$B$10,Paramètres!$A$1:$I$89,3,0)*0.475*44/12</f>
        <v>3.6408864224134885E-11</v>
      </c>
      <c r="AX133" s="23">
        <f t="shared" si="114"/>
        <v>21.757484140098565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1.1368683772161603E-13</v>
      </c>
      <c r="BE133" s="14">
        <f>BD133*VLOOKUP('Données projet'!$B$11,Paramètres!$A$1:$I$89,3,0)*VLOOKUP('Données projet'!$B$11,Paramètres!$A$1:$I$89,5,0)</f>
        <v>1.0286385077051818E-13</v>
      </c>
      <c r="BF133" s="14">
        <f t="shared" ref="BF133:BF153" si="145">EXP(-1.0587+0.8836*LN(BE133)+0.284)</f>
        <v>1.5402366592183556E-12</v>
      </c>
      <c r="BG133" s="22">
        <f t="shared" si="115"/>
        <v>2.8617333882306215E-12</v>
      </c>
      <c r="BH133" s="62">
        <f t="shared" si="116"/>
        <v>293.33333333333616</v>
      </c>
      <c r="BI133" s="62">
        <f ca="1">AVERAGE(OFFSET($BH$3,0,0,'Données projet'!$E$11+1,1))-AVERAGE(OFFSET($H$3,0,0,'Données projet'!$E$11+1,1))</f>
        <v>278.41778972502732</v>
      </c>
      <c r="BJ133" s="62">
        <f t="shared" ref="BJ133:BJ196" si="146">$BJ$3</f>
        <v>157.75772798974242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0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73.228999999999843</v>
      </c>
      <c r="D134" s="12">
        <f t="shared" si="140"/>
        <v>20.473215374663191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723.31534675178489</v>
      </c>
      <c r="H134" s="70">
        <f t="shared" si="110"/>
        <v>456.53135844420478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-1.1368683772161603E-13</v>
      </c>
      <c r="O134" s="14">
        <f>N134*VLOOKUP('Données projet'!$B$9,Paramètres!$A$1:$I$89,3,0)*VLOOKUP('Données projet'!$B$9,Paramètres!$A$1:$I$89,5,0)</f>
        <v>-5.3205440053716299E-14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302.30714066618623</v>
      </c>
      <c r="T134" s="62">
        <f t="shared" si="142"/>
        <v>218.81984836501334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-1.7053025658242404E-13</v>
      </c>
      <c r="AJ134" s="14">
        <f>AI134*VLOOKUP('Données projet'!$B$10,Paramètres!$A$1:$I$89,3,0)*VLOOKUP('Données projet'!$B$10,Paramètres!$A$1:$I$89,5,0)</f>
        <v>-1.0197709343628959E-13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150.05970318721711</v>
      </c>
      <c r="AO134" s="62">
        <f t="shared" si="144"/>
        <v>230.8269864623847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21.023629074085772</v>
      </c>
      <c r="AV134" s="23">
        <f>EXP(-LN(2)/25)*AV133+(1-EXP(-LN(2)/25))/(LN(2)/25)*Calculateur!AQ134*Calculateur!AS134*VLOOKUP('Données projet'!$B$10,Paramètres!$A$1:$I$89,3,0)*0.475*44/12</f>
        <v>0.30478011334554106</v>
      </c>
      <c r="AW134" s="23">
        <f>EXP(-LN(2)/2)*AW133+(1-EXP(-LN(2)/2))/(LN(2)/2)*AQ134*AT134*VLOOKUP('Données projet'!$B$10,Paramètres!$A$1:$I$89,3,0)*0.475*44/12</f>
        <v>2.5744954788186065E-11</v>
      </c>
      <c r="AX134" s="23">
        <f t="shared" si="114"/>
        <v>21.328409187457058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1.1368683772161603E-13</v>
      </c>
      <c r="BE134" s="14">
        <f>BD134*VLOOKUP('Données projet'!$B$11,Paramètres!$A$1:$I$89,3,0)*VLOOKUP('Données projet'!$B$11,Paramètres!$A$1:$I$89,5,0)</f>
        <v>1.0286385077051818E-13</v>
      </c>
      <c r="BF134" s="14">
        <f t="shared" si="145"/>
        <v>1.5402366592183556E-12</v>
      </c>
      <c r="BG134" s="22">
        <f t="shared" si="115"/>
        <v>2.8617333882306215E-12</v>
      </c>
      <c r="BH134" s="62">
        <f t="shared" si="116"/>
        <v>293.33333333333616</v>
      </c>
      <c r="BI134" s="62">
        <f ca="1">AVERAGE(OFFSET($BH$3,0,0,'Données projet'!$E$11+1,1))-AVERAGE(OFFSET($H$3,0,0,'Données projet'!$E$11+1,1))</f>
        <v>278.41778972502732</v>
      </c>
      <c r="BJ134" s="62">
        <f t="shared" si="146"/>
        <v>157.75772798974242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0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73.78799999999984</v>
      </c>
      <c r="D135" s="12">
        <f t="shared" si="140"/>
        <v>20.611246816293903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728.69594033630256</v>
      </c>
      <c r="H135" s="70">
        <f t="shared" si="110"/>
        <v>457.74535487171158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-1.1368683772161603E-13</v>
      </c>
      <c r="O135" s="14">
        <f>N135*VLOOKUP('Données projet'!$B$9,Paramètres!$A$1:$I$89,3,0)*VLOOKUP('Données projet'!$B$9,Paramètres!$A$1:$I$89,5,0)</f>
        <v>-5.3205440053716299E-14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302.30714066618623</v>
      </c>
      <c r="T135" s="62">
        <f t="shared" si="142"/>
        <v>218.81984836501334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-1.7053025658242404E-13</v>
      </c>
      <c r="AJ135" s="14">
        <f>AI135*VLOOKUP('Données projet'!$B$10,Paramètres!$A$1:$I$89,3,0)*VLOOKUP('Données projet'!$B$10,Paramètres!$A$1:$I$89,5,0)</f>
        <v>-1.0197709343628959E-13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150.05970318721711</v>
      </c>
      <c r="AO135" s="62">
        <f t="shared" si="144"/>
        <v>230.8269864623847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20.611368531090505</v>
      </c>
      <c r="AV135" s="23">
        <f>EXP(-LN(2)/25)*AV134+(1-EXP(-LN(2)/25))/(LN(2)/25)*Calculateur!AQ135*Calculateur!AS135*VLOOKUP('Données projet'!$B$10,Paramètres!$A$1:$I$89,3,0)*0.475*44/12</f>
        <v>0.29644588511841768</v>
      </c>
      <c r="AW135" s="23">
        <f>EXP(-LN(2)/2)*AW134+(1-EXP(-LN(2)/2))/(LN(2)/2)*AQ135*AT135*VLOOKUP('Données projet'!$B$10,Paramètres!$A$1:$I$89,3,0)*0.475*44/12</f>
        <v>1.8204432112067443E-11</v>
      </c>
      <c r="AX135" s="23">
        <f t="shared" si="114"/>
        <v>20.907814416227126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1.1368683772161603E-13</v>
      </c>
      <c r="BE135" s="14">
        <f>BD135*VLOOKUP('Données projet'!$B$11,Paramètres!$A$1:$I$89,3,0)*VLOOKUP('Données projet'!$B$11,Paramètres!$A$1:$I$89,5,0)</f>
        <v>1.0286385077051818E-13</v>
      </c>
      <c r="BF135" s="14">
        <f t="shared" si="145"/>
        <v>1.5402366592183556E-12</v>
      </c>
      <c r="BG135" s="22">
        <f t="shared" si="115"/>
        <v>2.8617333882306215E-12</v>
      </c>
      <c r="BH135" s="62">
        <f t="shared" si="116"/>
        <v>293.33333333333616</v>
      </c>
      <c r="BI135" s="62">
        <f ca="1">AVERAGE(OFFSET($BH$3,0,0,'Données projet'!$E$11+1,1))-AVERAGE(OFFSET($H$3,0,0,'Données projet'!$E$11+1,1))</f>
        <v>278.41778972502732</v>
      </c>
      <c r="BJ135" s="62">
        <f t="shared" si="146"/>
        <v>157.75772798974242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0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74.346999999999838</v>
      </c>
      <c r="D136" s="12">
        <f t="shared" si="140"/>
        <v>20.749156591709802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734.07559474302195</v>
      </c>
      <c r="H136" s="70">
        <f t="shared" si="110"/>
        <v>458.9591393972276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-1.1368683772161603E-13</v>
      </c>
      <c r="O136" s="14">
        <f>N136*VLOOKUP('Données projet'!$B$9,Paramètres!$A$1:$I$89,3,0)*VLOOKUP('Données projet'!$B$9,Paramètres!$A$1:$I$89,5,0)</f>
        <v>-5.3205440053716299E-14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302.30714066618623</v>
      </c>
      <c r="T136" s="62">
        <f t="shared" si="142"/>
        <v>218.81984836501334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-1.7053025658242404E-13</v>
      </c>
      <c r="AJ136" s="14">
        <f>AI136*VLOOKUP('Données projet'!$B$10,Paramètres!$A$1:$I$89,3,0)*VLOOKUP('Données projet'!$B$10,Paramètres!$A$1:$I$89,5,0)</f>
        <v>-1.0197709343628959E-13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150.05970318721711</v>
      </c>
      <c r="AO136" s="62">
        <f t="shared" si="144"/>
        <v>230.8269864623847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20.207192165889271</v>
      </c>
      <c r="AV136" s="23">
        <f>EXP(-LN(2)/25)*AV135+(1-EXP(-LN(2)/25))/(LN(2)/25)*Calculateur!AQ136*Calculateur!AS136*VLOOKUP('Données projet'!$B$10,Paramètres!$A$1:$I$89,3,0)*0.475*44/12</f>
        <v>0.28833955680044299</v>
      </c>
      <c r="AW136" s="23">
        <f>EXP(-LN(2)/2)*AW135+(1-EXP(-LN(2)/2))/(LN(2)/2)*AQ136*AT136*VLOOKUP('Données projet'!$B$10,Paramètres!$A$1:$I$89,3,0)*0.475*44/12</f>
        <v>1.2872477394093032E-11</v>
      </c>
      <c r="AX136" s="23">
        <f t="shared" si="114"/>
        <v>20.495531722702587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1.1368683772161603E-13</v>
      </c>
      <c r="BE136" s="14">
        <f>BD136*VLOOKUP('Données projet'!$B$11,Paramètres!$A$1:$I$89,3,0)*VLOOKUP('Données projet'!$B$11,Paramètres!$A$1:$I$89,5,0)</f>
        <v>1.0286385077051818E-13</v>
      </c>
      <c r="BF136" s="14">
        <f t="shared" si="145"/>
        <v>1.5402366592183556E-12</v>
      </c>
      <c r="BG136" s="22">
        <f t="shared" si="115"/>
        <v>2.8617333882306215E-12</v>
      </c>
      <c r="BH136" s="62">
        <f t="shared" si="116"/>
        <v>293.33333333333616</v>
      </c>
      <c r="BI136" s="62">
        <f ca="1">AVERAGE(OFFSET($BH$3,0,0,'Données projet'!$E$11+1,1))-AVERAGE(OFFSET($H$3,0,0,'Données projet'!$E$11+1,1))</f>
        <v>278.41778972502732</v>
      </c>
      <c r="BJ136" s="62">
        <f t="shared" si="146"/>
        <v>157.75772798974242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0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74.905999999999835</v>
      </c>
      <c r="D137" s="12">
        <f t="shared" si="140"/>
        <v>20.886945721747846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739.45431785208746</v>
      </c>
      <c r="H137" s="70">
        <f t="shared" si="110"/>
        <v>460.17271379871056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-1.1368683772161603E-13</v>
      </c>
      <c r="O137" s="14">
        <f>N137*VLOOKUP('Données projet'!$B$9,Paramètres!$A$1:$I$89,3,0)*VLOOKUP('Données projet'!$B$9,Paramètres!$A$1:$I$89,5,0)</f>
        <v>-5.3205440053716299E-14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302.30714066618623</v>
      </c>
      <c r="T137" s="62">
        <f t="shared" si="142"/>
        <v>218.81984836501334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-1.7053025658242404E-13</v>
      </c>
      <c r="AJ137" s="14">
        <f>AI137*VLOOKUP('Données projet'!$B$10,Paramètres!$A$1:$I$89,3,0)*VLOOKUP('Données projet'!$B$10,Paramètres!$A$1:$I$89,5,0)</f>
        <v>-1.0197709343628959E-13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150.05970318721711</v>
      </c>
      <c r="AO137" s="62">
        <f t="shared" si="144"/>
        <v>230.8269864623847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19.810941452686393</v>
      </c>
      <c r="AV137" s="23">
        <f>EXP(-LN(2)/25)*AV136+(1-EXP(-LN(2)/25))/(LN(2)/25)*Calculateur!AQ137*Calculateur!AS137*VLOOKUP('Données projet'!$B$10,Paramètres!$A$1:$I$89,3,0)*0.475*44/12</f>
        <v>0.28045489645661659</v>
      </c>
      <c r="AW137" s="23">
        <f>EXP(-LN(2)/2)*AW136+(1-EXP(-LN(2)/2))/(LN(2)/2)*AQ137*AT137*VLOOKUP('Données projet'!$B$10,Paramètres!$A$1:$I$89,3,0)*0.475*44/12</f>
        <v>9.1022160560337213E-12</v>
      </c>
      <c r="AX137" s="23">
        <f t="shared" si="114"/>
        <v>20.091396349152113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1.1368683772161603E-13</v>
      </c>
      <c r="BE137" s="14">
        <f>BD137*VLOOKUP('Données projet'!$B$11,Paramètres!$A$1:$I$89,3,0)*VLOOKUP('Données projet'!$B$11,Paramètres!$A$1:$I$89,5,0)</f>
        <v>1.0286385077051818E-13</v>
      </c>
      <c r="BF137" s="14">
        <f t="shared" si="145"/>
        <v>1.5402366592183556E-12</v>
      </c>
      <c r="BG137" s="22">
        <f t="shared" si="115"/>
        <v>2.8617333882306215E-12</v>
      </c>
      <c r="BH137" s="62">
        <f t="shared" si="116"/>
        <v>293.33333333333616</v>
      </c>
      <c r="BI137" s="62">
        <f ca="1">AVERAGE(OFFSET($BH$3,0,0,'Données projet'!$E$11+1,1))-AVERAGE(OFFSET($H$3,0,0,'Données projet'!$E$11+1,1))</f>
        <v>278.41778972502732</v>
      </c>
      <c r="BJ137" s="62">
        <f t="shared" si="146"/>
        <v>157.75772798974242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0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75.464999999999833</v>
      </c>
      <c r="D138" s="12">
        <f t="shared" si="140"/>
        <v>21.02461521112831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744.83211741923481</v>
      </c>
      <c r="H138" s="70">
        <f t="shared" si="110"/>
        <v>461.3860798260481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-1.1368683772161603E-13</v>
      </c>
      <c r="O138" s="14">
        <f>N138*VLOOKUP('Données projet'!$B$9,Paramètres!$A$1:$I$89,3,0)*VLOOKUP('Données projet'!$B$9,Paramètres!$A$1:$I$89,5,0)</f>
        <v>-5.3205440053716299E-14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302.30714066618623</v>
      </c>
      <c r="T138" s="62">
        <f t="shared" si="142"/>
        <v>218.81984836501334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-1.7053025658242404E-13</v>
      </c>
      <c r="AJ138" s="14">
        <f>AI138*VLOOKUP('Données projet'!$B$10,Paramètres!$A$1:$I$89,3,0)*VLOOKUP('Données projet'!$B$10,Paramètres!$A$1:$I$89,5,0)</f>
        <v>-1.0197709343628959E-13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150.05970318721711</v>
      </c>
      <c r="AO138" s="62">
        <f t="shared" si="144"/>
        <v>230.8269864623847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19.422460974280355</v>
      </c>
      <c r="AV138" s="23">
        <f>EXP(-LN(2)/25)*AV137+(1-EXP(-LN(2)/25))/(LN(2)/25)*Calculateur!AQ138*Calculateur!AS138*VLOOKUP('Données projet'!$B$10,Paramètres!$A$1:$I$89,3,0)*0.475*44/12</f>
        <v>0.27278584256452837</v>
      </c>
      <c r="AW138" s="23">
        <f>EXP(-LN(2)/2)*AW137+(1-EXP(-LN(2)/2))/(LN(2)/2)*AQ138*AT138*VLOOKUP('Données projet'!$B$10,Paramètres!$A$1:$I$89,3,0)*0.475*44/12</f>
        <v>6.4362386970465162E-12</v>
      </c>
      <c r="AX138" s="23">
        <f t="shared" si="114"/>
        <v>19.69524681685132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1.1368683772161603E-13</v>
      </c>
      <c r="BE138" s="14">
        <f>BD138*VLOOKUP('Données projet'!$B$11,Paramètres!$A$1:$I$89,3,0)*VLOOKUP('Données projet'!$B$11,Paramètres!$A$1:$I$89,5,0)</f>
        <v>1.0286385077051818E-13</v>
      </c>
      <c r="BF138" s="14">
        <f t="shared" si="145"/>
        <v>1.5402366592183556E-12</v>
      </c>
      <c r="BG138" s="22">
        <f t="shared" si="115"/>
        <v>2.8617333882306215E-12</v>
      </c>
      <c r="BH138" s="62">
        <f t="shared" si="116"/>
        <v>293.33333333333616</v>
      </c>
      <c r="BI138" s="62">
        <f ca="1">AVERAGE(OFFSET($BH$3,0,0,'Données projet'!$E$11+1,1))-AVERAGE(OFFSET($H$3,0,0,'Données projet'!$E$11+1,1))</f>
        <v>278.41778972502732</v>
      </c>
      <c r="BJ138" s="62">
        <f t="shared" si="146"/>
        <v>157.75772798974242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0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76.02399999999983</v>
      </c>
      <c r="D139" s="12">
        <f t="shared" si="140"/>
        <v>21.162166048826901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750.20900107866248</v>
      </c>
      <c r="H139" s="70">
        <f t="shared" si="110"/>
        <v>462.59923920170655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-1.1368683772161603E-13</v>
      </c>
      <c r="O139" s="14">
        <f>N139*VLOOKUP('Données projet'!$B$9,Paramètres!$A$1:$I$89,3,0)*VLOOKUP('Données projet'!$B$9,Paramètres!$A$1:$I$89,5,0)</f>
        <v>-5.3205440053716299E-14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302.30714066618623</v>
      </c>
      <c r="T139" s="62">
        <f t="shared" si="142"/>
        <v>218.81984836501334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-1.7053025658242404E-13</v>
      </c>
      <c r="AJ139" s="14">
        <f>AI139*VLOOKUP('Données projet'!$B$10,Paramètres!$A$1:$I$89,3,0)*VLOOKUP('Données projet'!$B$10,Paramètres!$A$1:$I$89,5,0)</f>
        <v>-1.0197709343628959E-13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150.05970318721711</v>
      </c>
      <c r="AO139" s="62">
        <f t="shared" si="144"/>
        <v>230.8269864623847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19.041598361106164</v>
      </c>
      <c r="AV139" s="23">
        <f>EXP(-LN(2)/25)*AV138+(1-EXP(-LN(2)/25))/(LN(2)/25)*Calculateur!AQ139*Calculateur!AS139*VLOOKUP('Données projet'!$B$10,Paramètres!$A$1:$I$89,3,0)*0.475*44/12</f>
        <v>0.26532649935441732</v>
      </c>
      <c r="AW139" s="23">
        <f>EXP(-LN(2)/2)*AW138+(1-EXP(-LN(2)/2))/(LN(2)/2)*AQ139*AT139*VLOOKUP('Données projet'!$B$10,Paramètres!$A$1:$I$89,3,0)*0.475*44/12</f>
        <v>4.5511080280168606E-12</v>
      </c>
      <c r="AX139" s="23">
        <f t="shared" si="114"/>
        <v>19.306924860465134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1.1368683772161603E-13</v>
      </c>
      <c r="BE139" s="14">
        <f>BD139*VLOOKUP('Données projet'!$B$11,Paramètres!$A$1:$I$89,3,0)*VLOOKUP('Données projet'!$B$11,Paramètres!$A$1:$I$89,5,0)</f>
        <v>1.0286385077051818E-13</v>
      </c>
      <c r="BF139" s="14">
        <f t="shared" si="145"/>
        <v>1.5402366592183556E-12</v>
      </c>
      <c r="BG139" s="22">
        <f t="shared" si="115"/>
        <v>2.8617333882306215E-12</v>
      </c>
      <c r="BH139" s="62">
        <f t="shared" si="116"/>
        <v>293.33333333333616</v>
      </c>
      <c r="BI139" s="62">
        <f ca="1">AVERAGE(OFFSET($BH$3,0,0,'Données projet'!$E$11+1,1))-AVERAGE(OFFSET($H$3,0,0,'Données projet'!$E$11+1,1))</f>
        <v>278.41778972502732</v>
      </c>
      <c r="BJ139" s="62">
        <f t="shared" si="146"/>
        <v>157.75772798974242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0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76.582999999999828</v>
      </c>
      <c r="D140" s="12">
        <f t="shared" si="140"/>
        <v>21.299599208435229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755.58497634581454</v>
      </c>
      <c r="H140" s="70">
        <f t="shared" si="110"/>
        <v>463.81219362135766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-1.1368683772161603E-13</v>
      </c>
      <c r="O140" s="14">
        <f>N140*VLOOKUP('Données projet'!$B$9,Paramètres!$A$1:$I$89,3,0)*VLOOKUP('Données projet'!$B$9,Paramètres!$A$1:$I$89,5,0)</f>
        <v>-5.3205440053716299E-14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302.30714066618623</v>
      </c>
      <c r="T140" s="62">
        <f t="shared" si="142"/>
        <v>218.81984836501334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-1.7053025658242404E-13</v>
      </c>
      <c r="AJ140" s="14">
        <f>AI140*VLOOKUP('Données projet'!$B$10,Paramètres!$A$1:$I$89,3,0)*VLOOKUP('Données projet'!$B$10,Paramètres!$A$1:$I$89,5,0)</f>
        <v>-1.0197709343628959E-13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150.05970318721711</v>
      </c>
      <c r="AO140" s="62">
        <f t="shared" si="144"/>
        <v>230.8269864623847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18.668204231473062</v>
      </c>
      <c r="AV140" s="23">
        <f>EXP(-LN(2)/25)*AV139+(1-EXP(-LN(2)/25))/(LN(2)/25)*Calculateur!AQ140*Calculateur!AS140*VLOOKUP('Données projet'!$B$10,Paramètres!$A$1:$I$89,3,0)*0.475*44/12</f>
        <v>0.25807113227665657</v>
      </c>
      <c r="AW140" s="23">
        <f>EXP(-LN(2)/2)*AW139+(1-EXP(-LN(2)/2))/(LN(2)/2)*AQ140*AT140*VLOOKUP('Données projet'!$B$10,Paramètres!$A$1:$I$89,3,0)*0.475*44/12</f>
        <v>3.2181193485232581E-12</v>
      </c>
      <c r="AX140" s="23">
        <f t="shared" si="114"/>
        <v>18.926275363752939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1.1368683772161603E-13</v>
      </c>
      <c r="BE140" s="14">
        <f>BD140*VLOOKUP('Données projet'!$B$11,Paramètres!$A$1:$I$89,3,0)*VLOOKUP('Données projet'!$B$11,Paramètres!$A$1:$I$89,5,0)</f>
        <v>1.0286385077051818E-13</v>
      </c>
      <c r="BF140" s="14">
        <f t="shared" si="145"/>
        <v>1.5402366592183556E-12</v>
      </c>
      <c r="BG140" s="22">
        <f t="shared" si="115"/>
        <v>2.8617333882306215E-12</v>
      </c>
      <c r="BH140" s="62">
        <f t="shared" si="116"/>
        <v>293.33333333333616</v>
      </c>
      <c r="BI140" s="62">
        <f ca="1">AVERAGE(OFFSET($BH$3,0,0,'Données projet'!$E$11+1,1))-AVERAGE(OFFSET($H$3,0,0,'Données projet'!$E$11+1,1))</f>
        <v>278.41778972502732</v>
      </c>
      <c r="BJ140" s="62">
        <f t="shared" si="146"/>
        <v>157.75772798974242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0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77.141999999999825</v>
      </c>
      <c r="D141" s="12">
        <f t="shared" si="140"/>
        <v>21.43691564851072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760.96005062008135</v>
      </c>
      <c r="H141" s="70">
        <f t="shared" si="110"/>
        <v>465.02494475448918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-1.1368683772161603E-13</v>
      </c>
      <c r="O141" s="14">
        <f>N141*VLOOKUP('Données projet'!$B$9,Paramètres!$A$1:$I$89,3,0)*VLOOKUP('Données projet'!$B$9,Paramètres!$A$1:$I$89,5,0)</f>
        <v>-5.3205440053716299E-14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302.30714066618623</v>
      </c>
      <c r="T141" s="62">
        <f t="shared" si="142"/>
        <v>218.81984836501334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-1.7053025658242404E-13</v>
      </c>
      <c r="AJ141" s="14">
        <f>AI141*VLOOKUP('Données projet'!$B$10,Paramètres!$A$1:$I$89,3,0)*VLOOKUP('Données projet'!$B$10,Paramètres!$A$1:$I$89,5,0)</f>
        <v>-1.0197709343628959E-13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150.05970318721711</v>
      </c>
      <c r="AO141" s="62">
        <f t="shared" si="144"/>
        <v>230.8269864623847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18.302132132974137</v>
      </c>
      <c r="AV141" s="23">
        <f>EXP(-LN(2)/25)*AV140+(1-EXP(-LN(2)/25))/(LN(2)/25)*Calculateur!AQ141*Calculateur!AS141*VLOOKUP('Données projet'!$B$10,Paramètres!$A$1:$I$89,3,0)*0.475*44/12</f>
        <v>0.25101416359318035</v>
      </c>
      <c r="AW141" s="23">
        <f>EXP(-LN(2)/2)*AW140+(1-EXP(-LN(2)/2))/(LN(2)/2)*AQ141*AT141*VLOOKUP('Données projet'!$B$10,Paramètres!$A$1:$I$89,3,0)*0.475*44/12</f>
        <v>2.2755540140084303E-12</v>
      </c>
      <c r="AX141" s="23">
        <f t="shared" si="114"/>
        <v>18.553146296569594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1.1368683772161603E-13</v>
      </c>
      <c r="BE141" s="14">
        <f>BD141*VLOOKUP('Données projet'!$B$11,Paramètres!$A$1:$I$89,3,0)*VLOOKUP('Données projet'!$B$11,Paramètres!$A$1:$I$89,5,0)</f>
        <v>1.0286385077051818E-13</v>
      </c>
      <c r="BF141" s="14">
        <f t="shared" si="145"/>
        <v>1.5402366592183556E-12</v>
      </c>
      <c r="BG141" s="22">
        <f t="shared" si="115"/>
        <v>2.8617333882306215E-12</v>
      </c>
      <c r="BH141" s="62">
        <f t="shared" si="116"/>
        <v>293.33333333333616</v>
      </c>
      <c r="BI141" s="62">
        <f ca="1">AVERAGE(OFFSET($BH$3,0,0,'Données projet'!$E$11+1,1))-AVERAGE(OFFSET($H$3,0,0,'Données projet'!$E$11+1,1))</f>
        <v>278.41778972502732</v>
      </c>
      <c r="BJ141" s="62">
        <f t="shared" si="146"/>
        <v>157.75772798974242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0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77.700999999999823</v>
      </c>
      <c r="D142" s="12">
        <f t="shared" si="140"/>
        <v>21.574116312915926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766.33423118741973</v>
      </c>
      <c r="H142" s="70">
        <f t="shared" si="110"/>
        <v>466.23749424499488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-1.1368683772161603E-13</v>
      </c>
      <c r="O142" s="14">
        <f>N142*VLOOKUP('Données projet'!$B$9,Paramètres!$A$1:$I$89,3,0)*VLOOKUP('Données projet'!$B$9,Paramètres!$A$1:$I$89,5,0)</f>
        <v>-5.3205440053716299E-14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302.30714066618623</v>
      </c>
      <c r="T142" s="62">
        <f t="shared" si="142"/>
        <v>218.81984836501334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-1.7053025658242404E-13</v>
      </c>
      <c r="AJ142" s="14">
        <f>AI142*VLOOKUP('Données projet'!$B$10,Paramètres!$A$1:$I$89,3,0)*VLOOKUP('Données projet'!$B$10,Paramètres!$A$1:$I$89,5,0)</f>
        <v>-1.0197709343628959E-13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150.05970318721711</v>
      </c>
      <c r="AO142" s="62">
        <f t="shared" si="144"/>
        <v>230.8269864623847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17.943238485044841</v>
      </c>
      <c r="AV142" s="23">
        <f>EXP(-LN(2)/25)*AV141+(1-EXP(-LN(2)/25))/(LN(2)/25)*Calculateur!AQ142*Calculateur!AS142*VLOOKUP('Données projet'!$B$10,Paramètres!$A$1:$I$89,3,0)*0.475*44/12</f>
        <v>0.24415016808946366</v>
      </c>
      <c r="AW142" s="23">
        <f>EXP(-LN(2)/2)*AW141+(1-EXP(-LN(2)/2))/(LN(2)/2)*AQ142*AT142*VLOOKUP('Données projet'!$B$10,Paramètres!$A$1:$I$89,3,0)*0.475*44/12</f>
        <v>1.609059674261629E-12</v>
      </c>
      <c r="AX142" s="23">
        <f t="shared" si="114"/>
        <v>18.187388653135915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1.1368683772161603E-13</v>
      </c>
      <c r="BE142" s="14">
        <f>BD142*VLOOKUP('Données projet'!$B$11,Paramètres!$A$1:$I$89,3,0)*VLOOKUP('Données projet'!$B$11,Paramètres!$A$1:$I$89,5,0)</f>
        <v>1.0286385077051818E-13</v>
      </c>
      <c r="BF142" s="14">
        <f t="shared" si="145"/>
        <v>1.5402366592183556E-12</v>
      </c>
      <c r="BG142" s="22">
        <f t="shared" si="115"/>
        <v>2.8617333882306215E-12</v>
      </c>
      <c r="BH142" s="62">
        <f t="shared" si="116"/>
        <v>293.33333333333616</v>
      </c>
      <c r="BI142" s="62">
        <f ca="1">AVERAGE(OFFSET($BH$3,0,0,'Données projet'!$E$11+1,1))-AVERAGE(OFFSET($H$3,0,0,'Données projet'!$E$11+1,1))</f>
        <v>278.41778972502732</v>
      </c>
      <c r="BJ142" s="62">
        <f t="shared" si="146"/>
        <v>157.75772798974242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0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78.25999999999982</v>
      </c>
      <c r="D143" s="12">
        <f t="shared" si="140"/>
        <v>21.7112021311479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771.70752522289467</v>
      </c>
      <c r="H143" s="70">
        <f t="shared" si="110"/>
        <v>467.44984371174894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-1.1368683772161603E-13</v>
      </c>
      <c r="O143" s="14">
        <f>N143*VLOOKUP('Données projet'!$B$9,Paramètres!$A$1:$I$89,3,0)*VLOOKUP('Données projet'!$B$9,Paramètres!$A$1:$I$89,5,0)</f>
        <v>-5.3205440053716299E-14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302.30714066618623</v>
      </c>
      <c r="T143" s="62">
        <f t="shared" si="142"/>
        <v>218.81984836501334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-1.7053025658242404E-13</v>
      </c>
      <c r="AJ143" s="14">
        <f>AI143*VLOOKUP('Données projet'!$B$10,Paramètres!$A$1:$I$89,3,0)*VLOOKUP('Données projet'!$B$10,Paramètres!$A$1:$I$89,5,0)</f>
        <v>-1.0197709343628959E-13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150.05970318721711</v>
      </c>
      <c r="AO143" s="62">
        <f t="shared" si="144"/>
        <v>230.8269864623847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17.59138252264793</v>
      </c>
      <c r="AV143" s="23">
        <f>EXP(-LN(2)/25)*AV142+(1-EXP(-LN(2)/25))/(LN(2)/25)*Calculateur!AQ143*Calculateur!AS143*VLOOKUP('Données projet'!$B$10,Paramètres!$A$1:$I$89,3,0)*0.475*44/12</f>
        <v>0.23747386890375796</v>
      </c>
      <c r="AW143" s="23">
        <f>EXP(-LN(2)/2)*AW142+(1-EXP(-LN(2)/2))/(LN(2)/2)*AQ143*AT143*VLOOKUP('Données projet'!$B$10,Paramètres!$A$1:$I$89,3,0)*0.475*44/12</f>
        <v>1.1377770070042152E-12</v>
      </c>
      <c r="AX143" s="23">
        <f t="shared" si="114"/>
        <v>17.828856391552826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1.1368683772161603E-13</v>
      </c>
      <c r="BE143" s="14">
        <f>BD143*VLOOKUP('Données projet'!$B$11,Paramètres!$A$1:$I$89,3,0)*VLOOKUP('Données projet'!$B$11,Paramètres!$A$1:$I$89,5,0)</f>
        <v>1.0286385077051818E-13</v>
      </c>
      <c r="BF143" s="14">
        <f t="shared" si="145"/>
        <v>1.5402366592183556E-12</v>
      </c>
      <c r="BG143" s="22">
        <f t="shared" si="115"/>
        <v>2.8617333882306215E-12</v>
      </c>
      <c r="BH143" s="62">
        <f t="shared" si="116"/>
        <v>293.33333333333616</v>
      </c>
      <c r="BI143" s="62">
        <f ca="1">AVERAGE(OFFSET($BH$3,0,0,'Données projet'!$E$11+1,1))-AVERAGE(OFFSET($H$3,0,0,'Données projet'!$E$11+1,1))</f>
        <v>278.41778972502732</v>
      </c>
      <c r="BJ143" s="62">
        <f t="shared" si="146"/>
        <v>157.75772798974242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0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78.818999999999818</v>
      </c>
      <c r="D144" s="12">
        <f t="shared" si="140"/>
        <v>21.848174018657858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777.07993979314699</v>
      </c>
      <c r="H144" s="70">
        <f t="shared" si="110"/>
        <v>468.66199474916209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-1.1368683772161603E-13</v>
      </c>
      <c r="O144" s="14">
        <f>N144*VLOOKUP('Données projet'!$B$9,Paramètres!$A$1:$I$89,3,0)*VLOOKUP('Données projet'!$B$9,Paramètres!$A$1:$I$89,5,0)</f>
        <v>-5.3205440053716299E-14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302.30714066618623</v>
      </c>
      <c r="T144" s="62">
        <f t="shared" si="142"/>
        <v>218.81984836501334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-1.7053025658242404E-13</v>
      </c>
      <c r="AJ144" s="14">
        <f>AI144*VLOOKUP('Données projet'!$B$10,Paramètres!$A$1:$I$89,3,0)*VLOOKUP('Données projet'!$B$10,Paramètres!$A$1:$I$89,5,0)</f>
        <v>-1.0197709343628959E-13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150.05970318721711</v>
      </c>
      <c r="AO144" s="62">
        <f t="shared" si="144"/>
        <v>230.8269864623847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17.246426241062675</v>
      </c>
      <c r="AV144" s="23">
        <f>EXP(-LN(2)/25)*AV143+(1-EXP(-LN(2)/25))/(LN(2)/25)*Calculateur!AQ144*Calculateur!AS144*VLOOKUP('Données projet'!$B$10,Paramètres!$A$1:$I$89,3,0)*0.475*44/12</f>
        <v>0.23098013347037669</v>
      </c>
      <c r="AW144" s="23">
        <f>EXP(-LN(2)/2)*AW143+(1-EXP(-LN(2)/2))/(LN(2)/2)*AQ144*AT144*VLOOKUP('Données projet'!$B$10,Paramètres!$A$1:$I$89,3,0)*0.475*44/12</f>
        <v>8.0452983713081452E-13</v>
      </c>
      <c r="AX144" s="23">
        <f t="shared" si="114"/>
        <v>17.477406374533853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1.1368683772161603E-13</v>
      </c>
      <c r="BE144" s="14">
        <f>BD144*VLOOKUP('Données projet'!$B$11,Paramètres!$A$1:$I$89,3,0)*VLOOKUP('Données projet'!$B$11,Paramètres!$A$1:$I$89,5,0)</f>
        <v>1.0286385077051818E-13</v>
      </c>
      <c r="BF144" s="14">
        <f t="shared" si="145"/>
        <v>1.5402366592183556E-12</v>
      </c>
      <c r="BG144" s="22">
        <f t="shared" si="115"/>
        <v>2.8617333882306215E-12</v>
      </c>
      <c r="BH144" s="62">
        <f t="shared" si="116"/>
        <v>293.33333333333616</v>
      </c>
      <c r="BI144" s="62">
        <f ca="1">AVERAGE(OFFSET($BH$3,0,0,'Données projet'!$E$11+1,1))-AVERAGE(OFFSET($H$3,0,0,'Données projet'!$E$11+1,1))</f>
        <v>278.41778972502732</v>
      </c>
      <c r="BJ144" s="62">
        <f t="shared" si="146"/>
        <v>157.75772798974242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0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79.377999999999815</v>
      </c>
      <c r="D145" s="12">
        <f t="shared" si="140"/>
        <v>21.985032877161469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782.45148185878895</v>
      </c>
      <c r="H145" s="70">
        <f t="shared" si="110"/>
        <v>469.87394892772255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-1.1368683772161603E-13</v>
      </c>
      <c r="O145" s="14">
        <f>N145*VLOOKUP('Données projet'!$B$9,Paramètres!$A$1:$I$89,3,0)*VLOOKUP('Données projet'!$B$9,Paramètres!$A$1:$I$89,5,0)</f>
        <v>-5.3205440053716299E-14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302.30714066618623</v>
      </c>
      <c r="T145" s="62">
        <f t="shared" si="142"/>
        <v>218.81984836501334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-1.7053025658242404E-13</v>
      </c>
      <c r="AJ145" s="14">
        <f>AI145*VLOOKUP('Données projet'!$B$10,Paramètres!$A$1:$I$89,3,0)*VLOOKUP('Données projet'!$B$10,Paramètres!$A$1:$I$89,5,0)</f>
        <v>-1.0197709343628959E-13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150.05970318721711</v>
      </c>
      <c r="AO145" s="62">
        <f t="shared" si="144"/>
        <v>230.8269864623847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16.908234341756749</v>
      </c>
      <c r="AV145" s="23">
        <f>EXP(-LN(2)/25)*AV144+(1-EXP(-LN(2)/25))/(LN(2)/25)*Calculateur!AQ145*Calculateur!AS145*VLOOKUP('Données projet'!$B$10,Paramètres!$A$1:$I$89,3,0)*0.475*44/12</f>
        <v>0.22466396957391194</v>
      </c>
      <c r="AW145" s="23">
        <f>EXP(-LN(2)/2)*AW144+(1-EXP(-LN(2)/2))/(LN(2)/2)*AQ145*AT145*VLOOKUP('Données projet'!$B$10,Paramètres!$A$1:$I$89,3,0)*0.475*44/12</f>
        <v>5.6888850350210758E-13</v>
      </c>
      <c r="AX145" s="23">
        <f t="shared" si="114"/>
        <v>17.132898311331228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1.1368683772161603E-13</v>
      </c>
      <c r="BE145" s="14">
        <f>BD145*VLOOKUP('Données projet'!$B$11,Paramètres!$A$1:$I$89,3,0)*VLOOKUP('Données projet'!$B$11,Paramètres!$A$1:$I$89,5,0)</f>
        <v>1.0286385077051818E-13</v>
      </c>
      <c r="BF145" s="14">
        <f t="shared" si="145"/>
        <v>1.5402366592183556E-12</v>
      </c>
      <c r="BG145" s="22">
        <f t="shared" si="115"/>
        <v>2.8617333882306215E-12</v>
      </c>
      <c r="BH145" s="62">
        <f t="shared" si="116"/>
        <v>293.33333333333616</v>
      </c>
      <c r="BI145" s="62">
        <f ca="1">AVERAGE(OFFSET($BH$3,0,0,'Données projet'!$E$11+1,1))-AVERAGE(OFFSET($H$3,0,0,'Données projet'!$E$11+1,1))</f>
        <v>278.41778972502732</v>
      </c>
      <c r="BJ145" s="62">
        <f t="shared" si="146"/>
        <v>157.75772798974242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0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79.936999999999813</v>
      </c>
      <c r="D146" s="12">
        <f t="shared" si="140"/>
        <v>22.121779594940222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787.82215827673008</v>
      </c>
      <c r="H146" s="70">
        <f t="shared" si="110"/>
        <v>471.08570779452054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-1.1368683772161603E-13</v>
      </c>
      <c r="O146" s="14">
        <f>N146*VLOOKUP('Données projet'!$B$9,Paramètres!$A$1:$I$89,3,0)*VLOOKUP('Données projet'!$B$9,Paramètres!$A$1:$I$89,5,0)</f>
        <v>-5.3205440053716299E-14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302.30714066618623</v>
      </c>
      <c r="T146" s="62">
        <f t="shared" si="142"/>
        <v>218.81984836501334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-1.7053025658242404E-13</v>
      </c>
      <c r="AJ146" s="14">
        <f>AI146*VLOOKUP('Données projet'!$B$10,Paramètres!$A$1:$I$89,3,0)*VLOOKUP('Données projet'!$B$10,Paramètres!$A$1:$I$89,5,0)</f>
        <v>-1.0197709343628959E-13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150.05970318721711</v>
      </c>
      <c r="AO146" s="62">
        <f t="shared" si="144"/>
        <v>230.8269864623847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16.576674179319522</v>
      </c>
      <c r="AV146" s="23">
        <f>EXP(-LN(2)/25)*AV145+(1-EXP(-LN(2)/25))/(LN(2)/25)*Calculateur!AQ146*Calculateur!AS146*VLOOKUP('Données projet'!$B$10,Paramètres!$A$1:$I$89,3,0)*0.475*44/12</f>
        <v>0.21852052151134863</v>
      </c>
      <c r="AW146" s="23">
        <f>EXP(-LN(2)/2)*AW145+(1-EXP(-LN(2)/2))/(LN(2)/2)*AQ146*AT146*VLOOKUP('Données projet'!$B$10,Paramètres!$A$1:$I$89,3,0)*0.475*44/12</f>
        <v>4.0226491856540726E-13</v>
      </c>
      <c r="AX146" s="23">
        <f t="shared" si="114"/>
        <v>16.795194700831271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1.1368683772161603E-13</v>
      </c>
      <c r="BE146" s="14">
        <f>BD146*VLOOKUP('Données projet'!$B$11,Paramètres!$A$1:$I$89,3,0)*VLOOKUP('Données projet'!$B$11,Paramètres!$A$1:$I$89,5,0)</f>
        <v>1.0286385077051818E-13</v>
      </c>
      <c r="BF146" s="14">
        <f t="shared" si="145"/>
        <v>1.5402366592183556E-12</v>
      </c>
      <c r="BG146" s="22">
        <f t="shared" si="115"/>
        <v>2.8617333882306215E-12</v>
      </c>
      <c r="BH146" s="62">
        <f t="shared" si="116"/>
        <v>293.33333333333616</v>
      </c>
      <c r="BI146" s="62">
        <f ca="1">AVERAGE(OFFSET($BH$3,0,0,'Données projet'!$E$11+1,1))-AVERAGE(OFFSET($H$3,0,0,'Données projet'!$E$11+1,1))</f>
        <v>278.41778972502732</v>
      </c>
      <c r="BJ146" s="62">
        <f t="shared" si="146"/>
        <v>157.75772798974242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0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80.49599999999981</v>
      </c>
      <c r="D147" s="12">
        <f t="shared" si="140"/>
        <v>22.258415047134058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793.1919758024369</v>
      </c>
      <c r="H147" s="70">
        <f t="shared" si="110"/>
        <v>472.29727287375817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-1.1368683772161603E-13</v>
      </c>
      <c r="O147" s="14">
        <f>N147*VLOOKUP('Données projet'!$B$9,Paramètres!$A$1:$I$89,3,0)*VLOOKUP('Données projet'!$B$9,Paramètres!$A$1:$I$89,5,0)</f>
        <v>-5.3205440053716299E-14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302.30714066618623</v>
      </c>
      <c r="T147" s="62">
        <f t="shared" si="142"/>
        <v>218.81984836501334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-1.7053025658242404E-13</v>
      </c>
      <c r="AJ147" s="14">
        <f>AI147*VLOOKUP('Données projet'!$B$10,Paramètres!$A$1:$I$89,3,0)*VLOOKUP('Données projet'!$B$10,Paramètres!$A$1:$I$89,5,0)</f>
        <v>-1.0197709343628959E-13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150.05970318721711</v>
      </c>
      <c r="AO147" s="62">
        <f t="shared" si="144"/>
        <v>230.8269864623847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16.25161570943596</v>
      </c>
      <c r="AV147" s="23">
        <f>EXP(-LN(2)/25)*AV146+(1-EXP(-LN(2)/25))/(LN(2)/25)*Calculateur!AQ147*Calculateur!AS147*VLOOKUP('Données projet'!$B$10,Paramètres!$A$1:$I$89,3,0)*0.475*44/12</f>
        <v>0.21254506635912601</v>
      </c>
      <c r="AW147" s="23">
        <f>EXP(-LN(2)/2)*AW146+(1-EXP(-LN(2)/2))/(LN(2)/2)*AQ147*AT147*VLOOKUP('Données projet'!$B$10,Paramètres!$A$1:$I$89,3,0)*0.475*44/12</f>
        <v>2.8444425175105379E-13</v>
      </c>
      <c r="AX147" s="23">
        <f t="shared" si="114"/>
        <v>16.464160775795371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1.1368683772161603E-13</v>
      </c>
      <c r="BE147" s="14">
        <f>BD147*VLOOKUP('Données projet'!$B$11,Paramètres!$A$1:$I$89,3,0)*VLOOKUP('Données projet'!$B$11,Paramètres!$A$1:$I$89,5,0)</f>
        <v>1.0286385077051818E-13</v>
      </c>
      <c r="BF147" s="14">
        <f t="shared" si="145"/>
        <v>1.5402366592183556E-12</v>
      </c>
      <c r="BG147" s="22">
        <f t="shared" si="115"/>
        <v>2.8617333882306215E-12</v>
      </c>
      <c r="BH147" s="62">
        <f t="shared" si="116"/>
        <v>293.33333333333616</v>
      </c>
      <c r="BI147" s="62">
        <f ca="1">AVERAGE(OFFSET($BH$3,0,0,'Données projet'!$E$11+1,1))-AVERAGE(OFFSET($H$3,0,0,'Données projet'!$E$11+1,1))</f>
        <v>278.41778972502732</v>
      </c>
      <c r="BJ147" s="62">
        <f t="shared" si="146"/>
        <v>157.75772798974242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0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81.054999999999808</v>
      </c>
      <c r="D148" s="12">
        <f t="shared" si="140"/>
        <v>22.394940096025689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798.56094109212665</v>
      </c>
      <c r="H148" s="70">
        <f t="shared" si="110"/>
        <v>473.50864566724437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-1.1368683772161603E-13</v>
      </c>
      <c r="O148" s="14">
        <f>N148*VLOOKUP('Données projet'!$B$9,Paramètres!$A$1:$I$89,3,0)*VLOOKUP('Données projet'!$B$9,Paramètres!$A$1:$I$89,5,0)</f>
        <v>-5.3205440053716299E-14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302.30714066618623</v>
      </c>
      <c r="T148" s="62">
        <f t="shared" si="142"/>
        <v>218.81984836501334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-1.7053025658242404E-13</v>
      </c>
      <c r="AJ148" s="14">
        <f>AI148*VLOOKUP('Données projet'!$B$10,Paramètres!$A$1:$I$89,3,0)*VLOOKUP('Données projet'!$B$10,Paramètres!$A$1:$I$89,5,0)</f>
        <v>-1.0197709343628959E-13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150.05970318721711</v>
      </c>
      <c r="AO148" s="62">
        <f t="shared" si="144"/>
        <v>230.8269864623847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15.932931437880725</v>
      </c>
      <c r="AV148" s="23">
        <f>EXP(-LN(2)/25)*AV147+(1-EXP(-LN(2)/25))/(LN(2)/25)*Calculateur!AQ148*Calculateur!AS148*VLOOKUP('Données projet'!$B$10,Paramètres!$A$1:$I$89,3,0)*0.475*44/12</f>
        <v>0.20673301034227645</v>
      </c>
      <c r="AW148" s="23">
        <f>EXP(-LN(2)/2)*AW147+(1-EXP(-LN(2)/2))/(LN(2)/2)*AQ148*AT148*VLOOKUP('Données projet'!$B$10,Paramètres!$A$1:$I$89,3,0)*0.475*44/12</f>
        <v>2.0113245928270363E-13</v>
      </c>
      <c r="AX148" s="23">
        <f t="shared" si="114"/>
        <v>16.139664448223204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1.1368683772161603E-13</v>
      </c>
      <c r="BE148" s="14">
        <f>BD148*VLOOKUP('Données projet'!$B$11,Paramètres!$A$1:$I$89,3,0)*VLOOKUP('Données projet'!$B$11,Paramètres!$A$1:$I$89,5,0)</f>
        <v>1.0286385077051818E-13</v>
      </c>
      <c r="BF148" s="14">
        <f t="shared" si="145"/>
        <v>1.5402366592183556E-12</v>
      </c>
      <c r="BG148" s="22">
        <f t="shared" si="115"/>
        <v>2.8617333882306215E-12</v>
      </c>
      <c r="BH148" s="62">
        <f t="shared" si="116"/>
        <v>293.33333333333616</v>
      </c>
      <c r="BI148" s="62">
        <f ca="1">AVERAGE(OFFSET($BH$3,0,0,'Données projet'!$E$11+1,1))-AVERAGE(OFFSET($H$3,0,0,'Données projet'!$E$11+1,1))</f>
        <v>278.41778972502732</v>
      </c>
      <c r="BJ148" s="62">
        <f t="shared" si="146"/>
        <v>157.75772798974242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0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81.613999999999805</v>
      </c>
      <c r="D149" s="12">
        <f t="shared" si="140"/>
        <v>22.531355591316824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803.92906070490028</v>
      </c>
      <c r="H149" s="70">
        <f t="shared" si="110"/>
        <v>474.71982765487644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-1.1368683772161603E-13</v>
      </c>
      <c r="O149" s="14">
        <f>N149*VLOOKUP('Données projet'!$B$9,Paramètres!$A$1:$I$89,3,0)*VLOOKUP('Données projet'!$B$9,Paramètres!$A$1:$I$89,5,0)</f>
        <v>-5.3205440053716299E-14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302.30714066618623</v>
      </c>
      <c r="T149" s="62">
        <f t="shared" si="142"/>
        <v>218.81984836501334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-1.7053025658242404E-13</v>
      </c>
      <c r="AJ149" s="14">
        <f>AI149*VLOOKUP('Données projet'!$B$10,Paramètres!$A$1:$I$89,3,0)*VLOOKUP('Données projet'!$B$10,Paramètres!$A$1:$I$89,5,0)</f>
        <v>-1.0197709343628959E-13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150.05970318721711</v>
      </c>
      <c r="AO149" s="62">
        <f t="shared" si="144"/>
        <v>230.8269864623847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15.620496370512477</v>
      </c>
      <c r="AV149" s="23">
        <f>EXP(-LN(2)/25)*AV148+(1-EXP(-LN(2)/25))/(LN(2)/25)*Calculateur!AQ149*Calculateur!AS149*VLOOKUP('Données projet'!$B$10,Paramètres!$A$1:$I$89,3,0)*0.475*44/12</f>
        <v>0.20107988530285037</v>
      </c>
      <c r="AW149" s="23">
        <f>EXP(-LN(2)/2)*AW148+(1-EXP(-LN(2)/2))/(LN(2)/2)*AQ149*AT149*VLOOKUP('Données projet'!$B$10,Paramètres!$A$1:$I$89,3,0)*0.475*44/12</f>
        <v>1.4222212587552689E-13</v>
      </c>
      <c r="AX149" s="23">
        <f t="shared" si="114"/>
        <v>15.821576255815469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1.1368683772161603E-13</v>
      </c>
      <c r="BE149" s="14">
        <f>BD149*VLOOKUP('Données projet'!$B$11,Paramètres!$A$1:$I$89,3,0)*VLOOKUP('Données projet'!$B$11,Paramètres!$A$1:$I$89,5,0)</f>
        <v>1.0286385077051818E-13</v>
      </c>
      <c r="BF149" s="14">
        <f t="shared" si="145"/>
        <v>1.5402366592183556E-12</v>
      </c>
      <c r="BG149" s="22">
        <f t="shared" si="115"/>
        <v>2.8617333882306215E-12</v>
      </c>
      <c r="BH149" s="62">
        <f t="shared" si="116"/>
        <v>293.33333333333616</v>
      </c>
      <c r="BI149" s="62">
        <f ca="1">AVERAGE(OFFSET($BH$3,0,0,'Données projet'!$E$11+1,1))-AVERAGE(OFFSET($H$3,0,0,'Données projet'!$E$11+1,1))</f>
        <v>278.41778972502732</v>
      </c>
      <c r="BJ149" s="62">
        <f t="shared" si="146"/>
        <v>157.75772798974242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0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82.172999999999803</v>
      </c>
      <c r="D150" s="12">
        <f t="shared" si="140"/>
        <v>22.667662370396606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809.29634110481447</v>
      </c>
      <c r="H150" s="70">
        <f t="shared" si="110"/>
        <v>475.93082029510708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-1.1368683772161603E-13</v>
      </c>
      <c r="O150" s="14">
        <f>N150*VLOOKUP('Données projet'!$B$9,Paramètres!$A$1:$I$89,3,0)*VLOOKUP('Données projet'!$B$9,Paramètres!$A$1:$I$89,5,0)</f>
        <v>-5.3205440053716299E-14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302.30714066618623</v>
      </c>
      <c r="T150" s="62">
        <f t="shared" si="142"/>
        <v>218.81984836501334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-1.7053025658242404E-13</v>
      </c>
      <c r="AJ150" s="14">
        <f>AI150*VLOOKUP('Données projet'!$B$10,Paramètres!$A$1:$I$89,3,0)*VLOOKUP('Données projet'!$B$10,Paramètres!$A$1:$I$89,5,0)</f>
        <v>-1.0197709343628959E-13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150.05970318721711</v>
      </c>
      <c r="AO150" s="62">
        <f t="shared" si="144"/>
        <v>230.8269864623847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15.314187964248745</v>
      </c>
      <c r="AV150" s="23">
        <f>EXP(-LN(2)/25)*AV149+(1-EXP(-LN(2)/25))/(LN(2)/25)*Calculateur!AQ150*Calculateur!AS150*VLOOKUP('Données projet'!$B$10,Paramètres!$A$1:$I$89,3,0)*0.475*44/12</f>
        <v>0.19558134526491233</v>
      </c>
      <c r="AW150" s="23">
        <f>EXP(-LN(2)/2)*AW149+(1-EXP(-LN(2)/2))/(LN(2)/2)*AQ150*AT150*VLOOKUP('Données projet'!$B$10,Paramètres!$A$1:$I$89,3,0)*0.475*44/12</f>
        <v>1.0056622964135182E-13</v>
      </c>
      <c r="AX150" s="23">
        <f t="shared" si="114"/>
        <v>15.509769309513759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1.1368683772161603E-13</v>
      </c>
      <c r="BE150" s="14">
        <f>BD150*VLOOKUP('Données projet'!$B$11,Paramètres!$A$1:$I$89,3,0)*VLOOKUP('Données projet'!$B$11,Paramètres!$A$1:$I$89,5,0)</f>
        <v>1.0286385077051818E-13</v>
      </c>
      <c r="BF150" s="14">
        <f t="shared" si="145"/>
        <v>1.5402366592183556E-12</v>
      </c>
      <c r="BG150" s="22">
        <f t="shared" si="115"/>
        <v>2.8617333882306215E-12</v>
      </c>
      <c r="BH150" s="62">
        <f t="shared" si="116"/>
        <v>293.33333333333616</v>
      </c>
      <c r="BI150" s="62">
        <f ca="1">AVERAGE(OFFSET($BH$3,0,0,'Données projet'!$E$11+1,1))-AVERAGE(OFFSET($H$3,0,0,'Données projet'!$E$11+1,1))</f>
        <v>278.41778972502732</v>
      </c>
      <c r="BJ150" s="62">
        <f t="shared" si="146"/>
        <v>157.75772798974242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0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82.7319999999998</v>
      </c>
      <c r="D151" s="12">
        <f t="shared" si="140"/>
        <v>22.803861258602545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814.66278866289542</v>
      </c>
      <c r="H151" s="70">
        <f t="shared" si="110"/>
        <v>477.14162502539909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-1.1368683772161603E-13</v>
      </c>
      <c r="O151" s="14">
        <f>N151*VLOOKUP('Données projet'!$B$9,Paramètres!$A$1:$I$89,3,0)*VLOOKUP('Données projet'!$B$9,Paramètres!$A$1:$I$89,5,0)</f>
        <v>-5.3205440053716299E-14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302.30714066618623</v>
      </c>
      <c r="T151" s="62">
        <f t="shared" si="142"/>
        <v>218.81984836501334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-1.7053025658242404E-13</v>
      </c>
      <c r="AJ151" s="14">
        <f>AI151*VLOOKUP('Données projet'!$B$10,Paramètres!$A$1:$I$89,3,0)*VLOOKUP('Données projet'!$B$10,Paramètres!$A$1:$I$89,5,0)</f>
        <v>-1.0197709343628959E-13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150.05970318721711</v>
      </c>
      <c r="AO151" s="62">
        <f t="shared" si="144"/>
        <v>230.8269864623847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15.013886079002164</v>
      </c>
      <c r="AV151" s="23">
        <f>EXP(-LN(2)/25)*AV150+(1-EXP(-LN(2)/25))/(LN(2)/25)*Calculateur!AQ151*Calculateur!AS151*VLOOKUP('Données projet'!$B$10,Paramètres!$A$1:$I$89,3,0)*0.475*44/12</f>
        <v>0.19023316309346736</v>
      </c>
      <c r="AW151" s="23">
        <f>EXP(-LN(2)/2)*AW150+(1-EXP(-LN(2)/2))/(LN(2)/2)*AQ151*AT151*VLOOKUP('Données projet'!$B$10,Paramètres!$A$1:$I$89,3,0)*0.475*44/12</f>
        <v>7.1111062937763447E-14</v>
      </c>
      <c r="AX151" s="23">
        <f t="shared" si="114"/>
        <v>15.204119242095702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1.1368683772161603E-13</v>
      </c>
      <c r="BE151" s="14">
        <f>BD151*VLOOKUP('Données projet'!$B$11,Paramètres!$A$1:$I$89,3,0)*VLOOKUP('Données projet'!$B$11,Paramètres!$A$1:$I$89,5,0)</f>
        <v>1.0286385077051818E-13</v>
      </c>
      <c r="BF151" s="14">
        <f t="shared" si="145"/>
        <v>1.5402366592183556E-12</v>
      </c>
      <c r="BG151" s="22">
        <f t="shared" si="115"/>
        <v>2.8617333882306215E-12</v>
      </c>
      <c r="BH151" s="62">
        <f t="shared" si="116"/>
        <v>293.33333333333616</v>
      </c>
      <c r="BI151" s="62">
        <f ca="1">AVERAGE(OFFSET($BH$3,0,0,'Données projet'!$E$11+1,1))-AVERAGE(OFFSET($H$3,0,0,'Données projet'!$E$11+1,1))</f>
        <v>278.41778972502732</v>
      </c>
      <c r="BJ151" s="62">
        <f t="shared" si="146"/>
        <v>157.75772798974242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0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83.290999999999798</v>
      </c>
      <c r="D152" s="12">
        <f t="shared" si="140"/>
        <v>22.939953069474232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820.02840965909775</v>
      </c>
      <c r="H152" s="70">
        <f t="shared" si="110"/>
        <v>478.35224326266723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-1.1368683772161603E-13</v>
      </c>
      <c r="O152" s="14">
        <f>N152*VLOOKUP('Données projet'!$B$9,Paramètres!$A$1:$I$89,3,0)*VLOOKUP('Données projet'!$B$9,Paramètres!$A$1:$I$89,5,0)</f>
        <v>-5.3205440053716299E-14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302.30714066618623</v>
      </c>
      <c r="T152" s="62">
        <f t="shared" si="142"/>
        <v>218.81984836501334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-1.7053025658242404E-13</v>
      </c>
      <c r="AJ152" s="14">
        <f>AI152*VLOOKUP('Données projet'!$B$10,Paramètres!$A$1:$I$89,3,0)*VLOOKUP('Données projet'!$B$10,Paramètres!$A$1:$I$89,5,0)</f>
        <v>-1.0197709343628959E-13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150.05970318721711</v>
      </c>
      <c r="AO152" s="62">
        <f t="shared" si="144"/>
        <v>230.8269864623847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14.719472930559206</v>
      </c>
      <c r="AV152" s="23">
        <f>EXP(-LN(2)/25)*AV151+(1-EXP(-LN(2)/25))/(LN(2)/25)*Calculateur!AQ152*Calculateur!AS152*VLOOKUP('Données projet'!$B$10,Paramètres!$A$1:$I$89,3,0)*0.475*44/12</f>
        <v>0.18503122724474924</v>
      </c>
      <c r="AW152" s="23">
        <f>EXP(-LN(2)/2)*AW151+(1-EXP(-LN(2)/2))/(LN(2)/2)*AQ152*AT152*VLOOKUP('Données projet'!$B$10,Paramètres!$A$1:$I$89,3,0)*0.475*44/12</f>
        <v>5.0283114820675908E-14</v>
      </c>
      <c r="AX152" s="23">
        <f t="shared" si="114"/>
        <v>14.904504157804006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1.1368683772161603E-13</v>
      </c>
      <c r="BE152" s="14">
        <f>BD152*VLOOKUP('Données projet'!$B$11,Paramètres!$A$1:$I$89,3,0)*VLOOKUP('Données projet'!$B$11,Paramètres!$A$1:$I$89,5,0)</f>
        <v>1.0286385077051818E-13</v>
      </c>
      <c r="BF152" s="14">
        <f t="shared" si="145"/>
        <v>1.5402366592183556E-12</v>
      </c>
      <c r="BG152" s="22">
        <f t="shared" si="115"/>
        <v>2.8617333882306215E-12</v>
      </c>
      <c r="BH152" s="62">
        <f t="shared" si="116"/>
        <v>293.33333333333616</v>
      </c>
      <c r="BI152" s="62">
        <f ca="1">AVERAGE(OFFSET($BH$3,0,0,'Données projet'!$E$11+1,1))-AVERAGE(OFFSET($H$3,0,0,'Données projet'!$E$11+1,1))</f>
        <v>278.41778972502732</v>
      </c>
      <c r="BJ152" s="62">
        <f t="shared" si="146"/>
        <v>157.75772798974242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0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83.849999999999795</v>
      </c>
      <c r="D153" s="12">
        <f t="shared" si="140"/>
        <v>23.075938604999934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825.39321028420852</v>
      </c>
      <c r="H153" s="70">
        <f t="shared" si="110"/>
        <v>479.56267640370783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-1.1368683772161603E-13</v>
      </c>
      <c r="O153" s="14">
        <f>N153*VLOOKUP('Données projet'!$B$9,Paramètres!$A$1:$I$89,3,0)*VLOOKUP('Données projet'!$B$9,Paramètres!$A$1:$I$89,5,0)</f>
        <v>-5.3205440053716299E-14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302.30714066618623</v>
      </c>
      <c r="T153" s="62">
        <f t="shared" si="142"/>
        <v>218.81984836501334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-1.7053025658242404E-13</v>
      </c>
      <c r="AJ153" s="14">
        <f>AI153*VLOOKUP('Données projet'!$B$10,Paramètres!$A$1:$I$89,3,0)*VLOOKUP('Données projet'!$B$10,Paramètres!$A$1:$I$89,5,0)</f>
        <v>-1.0197709343628959E-13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150.05970318721711</v>
      </c>
      <c r="AO153" s="62">
        <f t="shared" si="144"/>
        <v>230.8269864623847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14.430833044382926</v>
      </c>
      <c r="AV153" s="23">
        <f>EXP(-LN(2)/25)*AV152+(1-EXP(-LN(2)/25))/(LN(2)/25)*Calculateur!AQ153*Calculateur!AS153*VLOOKUP('Données projet'!$B$10,Paramètres!$A$1:$I$89,3,0)*0.475*44/12</f>
        <v>0.17997153860537224</v>
      </c>
      <c r="AW153" s="23">
        <f>EXP(-LN(2)/2)*AW152+(1-EXP(-LN(2)/2))/(LN(2)/2)*AQ153*AT153*VLOOKUP('Données projet'!$B$10,Paramètres!$A$1:$I$89,3,0)*0.475*44/12</f>
        <v>3.5555531468881724E-14</v>
      </c>
      <c r="AX153" s="23">
        <f t="shared" si="114"/>
        <v>14.610804582988333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1.1368683772161603E-13</v>
      </c>
      <c r="BE153" s="14">
        <f>BD153*VLOOKUP('Données projet'!$B$11,Paramètres!$A$1:$I$89,3,0)*VLOOKUP('Données projet'!$B$11,Paramètres!$A$1:$I$89,5,0)</f>
        <v>1.0286385077051818E-13</v>
      </c>
      <c r="BF153" s="14">
        <f t="shared" si="145"/>
        <v>1.5402366592183556E-12</v>
      </c>
      <c r="BG153" s="22">
        <f t="shared" si="115"/>
        <v>2.8617333882306215E-12</v>
      </c>
      <c r="BH153" s="62">
        <f t="shared" si="116"/>
        <v>293.33333333333616</v>
      </c>
      <c r="BI153" s="62">
        <f ca="1">AVERAGE(OFFSET($BH$3,0,0,'Données projet'!$E$11+1,1))-AVERAGE(OFFSET($H$3,0,0,'Données projet'!$E$11+1,1))</f>
        <v>278.41778972502732</v>
      </c>
      <c r="BJ153" s="62">
        <f t="shared" si="146"/>
        <v>157.75772798974242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0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84.408999999999793</v>
      </c>
      <c r="D154" s="12">
        <f t="shared" si="140"/>
        <v>23.211818655856568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830.75719664169821</v>
      </c>
      <c r="H154" s="70">
        <f t="shared" si="110"/>
        <v>480.77292582561648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-1.1368683772161603E-13</v>
      </c>
      <c r="O154" s="14">
        <f>N154*VLOOKUP('Données projet'!$B$9,Paramètres!$A$1:$I$89,3,0)*VLOOKUP('Données projet'!$B$9,Paramètres!$A$1:$I$89,5,0)</f>
        <v>-5.3205440053716299E-14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302.30714066618623</v>
      </c>
      <c r="T154" s="62">
        <f t="shared" si="142"/>
        <v>218.81984836501334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-1.7053025658242404E-13</v>
      </c>
      <c r="AJ154" s="14">
        <f>AI154*VLOOKUP('Données projet'!$B$10,Paramètres!$A$1:$I$89,3,0)*VLOOKUP('Données projet'!$B$10,Paramètres!$A$1:$I$89,5,0)</f>
        <v>-1.0197709343628959E-13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150.05970318721711</v>
      </c>
      <c r="AO154" s="62">
        <f t="shared" si="144"/>
        <v>230.8269864623847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14.147853210321614</v>
      </c>
      <c r="AV154" s="23">
        <f>EXP(-LN(2)/25)*AV153+(1-EXP(-LN(2)/25))/(LN(2)/25)*Calculateur!AQ154*Calculateur!AS154*VLOOKUP('Données projet'!$B$10,Paramètres!$A$1:$I$89,3,0)*0.475*44/12</f>
        <v>0.17505020741791644</v>
      </c>
      <c r="AW154" s="23">
        <f>EXP(-LN(2)/2)*AW153+(1-EXP(-LN(2)/2))/(LN(2)/2)*AQ154*AT154*VLOOKUP('Données projet'!$B$10,Paramètres!$A$1:$I$89,3,0)*0.475*44/12</f>
        <v>2.5141557410337954E-14</v>
      </c>
      <c r="AX154" s="23">
        <f t="shared" ref="AX154:AX203" si="166">SUM(AU154:AW154)</f>
        <v>14.322903417739555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1.1368683772161603E-13</v>
      </c>
      <c r="BE154" s="14">
        <f>BD154*VLOOKUP('Données projet'!$B$11,Paramètres!$A$1:$I$89,3,0)*VLOOKUP('Données projet'!$B$11,Paramètres!$A$1:$I$89,5,0)</f>
        <v>1.0286385077051818E-13</v>
      </c>
      <c r="BF154" s="14">
        <f t="shared" ref="BF154:BF203" si="167">EXP(-1.0587+0.8836*LN(BE154)+0.284)</f>
        <v>1.5402366592183556E-12</v>
      </c>
      <c r="BG154" s="22">
        <f t="shared" ref="BG154:BG203" si="168">(BE154+BF154)*0.475*44/12</f>
        <v>2.8617333882306215E-12</v>
      </c>
      <c r="BH154" s="62">
        <f t="shared" si="116"/>
        <v>293.33333333333616</v>
      </c>
      <c r="BI154" s="62">
        <f ca="1">AVERAGE(OFFSET($BH$3,0,0,'Données projet'!$E$11+1,1))-AVERAGE(OFFSET($H$3,0,0,'Données projet'!$E$11+1,1))</f>
        <v>278.41778972502732</v>
      </c>
      <c r="BJ154" s="62">
        <f t="shared" si="146"/>
        <v>157.75772798974242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0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84.96799999999979</v>
      </c>
      <c r="D155" s="12">
        <f t="shared" si="140"/>
        <v>23.347594001643007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836.12037474952342</v>
      </c>
      <c r="H155" s="70">
        <f t="shared" si="110"/>
        <v>481.98299288619449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-1.1368683772161603E-13</v>
      </c>
      <c r="O155" s="14">
        <f>N155*VLOOKUP('Données projet'!$B$9,Paramètres!$A$1:$I$89,3,0)*VLOOKUP('Données projet'!$B$9,Paramètres!$A$1:$I$89,5,0)</f>
        <v>-5.3205440053716299E-14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302.30714066618623</v>
      </c>
      <c r="T155" s="62">
        <f t="shared" si="142"/>
        <v>218.81984836501334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-1.7053025658242404E-13</v>
      </c>
      <c r="AJ155" s="14">
        <f>AI155*VLOOKUP('Données projet'!$B$10,Paramètres!$A$1:$I$89,3,0)*VLOOKUP('Données projet'!$B$10,Paramètres!$A$1:$I$89,5,0)</f>
        <v>-1.0197709343628959E-13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150.05970318721711</v>
      </c>
      <c r="AO155" s="62">
        <f t="shared" si="144"/>
        <v>230.8269864623847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13.870422438205589</v>
      </c>
      <c r="AV155" s="23">
        <f>EXP(-LN(2)/25)*AV154+(1-EXP(-LN(2)/25))/(LN(2)/25)*Calculateur!AQ155*Calculateur!AS155*VLOOKUP('Données projet'!$B$10,Paramètres!$A$1:$I$89,3,0)*0.475*44/12</f>
        <v>0.17026345029058318</v>
      </c>
      <c r="AW155" s="23">
        <f>EXP(-LN(2)/2)*AW154+(1-EXP(-LN(2)/2))/(LN(2)/2)*AQ155*AT155*VLOOKUP('Données projet'!$B$10,Paramètres!$A$1:$I$89,3,0)*0.475*44/12</f>
        <v>1.7777765734440862E-14</v>
      </c>
      <c r="AX155" s="23">
        <f t="shared" si="166"/>
        <v>14.04068588849619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1.1368683772161603E-13</v>
      </c>
      <c r="BE155" s="14">
        <f>BD155*VLOOKUP('Données projet'!$B$11,Paramètres!$A$1:$I$89,3,0)*VLOOKUP('Données projet'!$B$11,Paramètres!$A$1:$I$89,5,0)</f>
        <v>1.0286385077051818E-13</v>
      </c>
      <c r="BF155" s="14">
        <f t="shared" si="167"/>
        <v>1.5402366592183556E-12</v>
      </c>
      <c r="BG155" s="22">
        <f t="shared" si="168"/>
        <v>2.8617333882306215E-12</v>
      </c>
      <c r="BH155" s="62">
        <f t="shared" si="116"/>
        <v>293.33333333333616</v>
      </c>
      <c r="BI155" s="62">
        <f ca="1">AVERAGE(OFFSET($BH$3,0,0,'Données projet'!$E$11+1,1))-AVERAGE(OFFSET($H$3,0,0,'Données projet'!$E$11+1,1))</f>
        <v>278.41778972502732</v>
      </c>
      <c r="BJ155" s="62">
        <f t="shared" si="146"/>
        <v>157.75772798974242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0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85.526999999999788</v>
      </c>
      <c r="D156" s="12">
        <f t="shared" si="140"/>
        <v>23.483265411107197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841.48275054187854</v>
      </c>
      <c r="H156" s="70">
        <f t="shared" si="110"/>
        <v>483.19287892434465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-1.1368683772161603E-13</v>
      </c>
      <c r="O156" s="14">
        <f>N156*VLOOKUP('Données projet'!$B$9,Paramètres!$A$1:$I$89,3,0)*VLOOKUP('Données projet'!$B$9,Paramètres!$A$1:$I$89,5,0)</f>
        <v>-5.3205440053716299E-14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302.30714066618623</v>
      </c>
      <c r="T156" s="62">
        <f t="shared" si="142"/>
        <v>218.81984836501334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-1.7053025658242404E-13</v>
      </c>
      <c r="AJ156" s="14">
        <f>AI156*VLOOKUP('Données projet'!$B$10,Paramètres!$A$1:$I$89,3,0)*VLOOKUP('Données projet'!$B$10,Paramètres!$A$1:$I$89,5,0)</f>
        <v>-1.0197709343628959E-13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150.05970318721711</v>
      </c>
      <c r="AO156" s="62">
        <f t="shared" si="144"/>
        <v>230.8269864623847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13.598431914314697</v>
      </c>
      <c r="AV156" s="23">
        <f>EXP(-LN(2)/25)*AV155+(1-EXP(-LN(2)/25))/(LN(2)/25)*Calculateur!AQ156*Calculateur!AS156*VLOOKUP('Données projet'!$B$10,Paramètres!$A$1:$I$89,3,0)*0.475*44/12</f>
        <v>0.16560758728862146</v>
      </c>
      <c r="AW156" s="23">
        <f>EXP(-LN(2)/2)*AW155+(1-EXP(-LN(2)/2))/(LN(2)/2)*AQ156*AT156*VLOOKUP('Données projet'!$B$10,Paramètres!$A$1:$I$89,3,0)*0.475*44/12</f>
        <v>1.2570778705168977E-14</v>
      </c>
      <c r="AX156" s="23">
        <f t="shared" si="166"/>
        <v>13.76403950160333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1.1368683772161603E-13</v>
      </c>
      <c r="BE156" s="14">
        <f>BD156*VLOOKUP('Données projet'!$B$11,Paramètres!$A$1:$I$89,3,0)*VLOOKUP('Données projet'!$B$11,Paramètres!$A$1:$I$89,5,0)</f>
        <v>1.0286385077051818E-13</v>
      </c>
      <c r="BF156" s="14">
        <f t="shared" si="167"/>
        <v>1.5402366592183556E-12</v>
      </c>
      <c r="BG156" s="22">
        <f t="shared" si="168"/>
        <v>2.8617333882306215E-12</v>
      </c>
      <c r="BH156" s="62">
        <f t="shared" si="116"/>
        <v>293.33333333333616</v>
      </c>
      <c r="BI156" s="62">
        <f ca="1">AVERAGE(OFFSET($BH$3,0,0,'Données projet'!$E$11+1,1))-AVERAGE(OFFSET($H$3,0,0,'Données projet'!$E$11+1,1))</f>
        <v>278.41778972502732</v>
      </c>
      <c r="BJ156" s="62">
        <f t="shared" si="146"/>
        <v>157.75772798974242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0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86.085999999999785</v>
      </c>
      <c r="D157" s="12">
        <f t="shared" si="140"/>
        <v>23.618833642367036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846.84432987090179</v>
      </c>
      <c r="H157" s="70">
        <f t="shared" si="110"/>
        <v>484.40258526045551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-1.1368683772161603E-13</v>
      </c>
      <c r="O157" s="14">
        <f>N157*VLOOKUP('Données projet'!$B$9,Paramètres!$A$1:$I$89,3,0)*VLOOKUP('Données projet'!$B$9,Paramètres!$A$1:$I$89,5,0)</f>
        <v>-5.3205440053716299E-14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302.30714066618623</v>
      </c>
      <c r="T157" s="62">
        <f t="shared" si="142"/>
        <v>218.81984836501334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-1.7053025658242404E-13</v>
      </c>
      <c r="AJ157" s="14">
        <f>AI157*VLOOKUP('Données projet'!$B$10,Paramètres!$A$1:$I$89,3,0)*VLOOKUP('Données projet'!$B$10,Paramètres!$A$1:$I$89,5,0)</f>
        <v>-1.0197709343628959E-13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150.05970318721711</v>
      </c>
      <c r="AO157" s="62">
        <f t="shared" si="144"/>
        <v>230.8269864623847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13.331774958699466</v>
      </c>
      <c r="AV157" s="23">
        <f>EXP(-LN(2)/25)*AV156+(1-EXP(-LN(2)/25))/(LN(2)/25)*Calculateur!AQ157*Calculateur!AS157*VLOOKUP('Données projet'!$B$10,Paramètres!$A$1:$I$89,3,0)*0.475*44/12</f>
        <v>0.16107903910528959</v>
      </c>
      <c r="AW157" s="23">
        <f>EXP(-LN(2)/2)*AW156+(1-EXP(-LN(2)/2))/(LN(2)/2)*AQ157*AT157*VLOOKUP('Données projet'!$B$10,Paramètres!$A$1:$I$89,3,0)*0.475*44/12</f>
        <v>8.8888828672204309E-15</v>
      </c>
      <c r="AX157" s="23">
        <f t="shared" si="166"/>
        <v>13.492853997804763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1.1368683772161603E-13</v>
      </c>
      <c r="BE157" s="14">
        <f>BD157*VLOOKUP('Données projet'!$B$11,Paramètres!$A$1:$I$89,3,0)*VLOOKUP('Données projet'!$B$11,Paramètres!$A$1:$I$89,5,0)</f>
        <v>1.0286385077051818E-13</v>
      </c>
      <c r="BF157" s="14">
        <f t="shared" si="167"/>
        <v>1.5402366592183556E-12</v>
      </c>
      <c r="BG157" s="22">
        <f t="shared" si="168"/>
        <v>2.8617333882306215E-12</v>
      </c>
      <c r="BH157" s="62">
        <f t="shared" si="116"/>
        <v>293.33333333333616</v>
      </c>
      <c r="BI157" s="62">
        <f ca="1">AVERAGE(OFFSET($BH$3,0,0,'Données projet'!$E$11+1,1))-AVERAGE(OFFSET($H$3,0,0,'Données projet'!$E$11+1,1))</f>
        <v>278.41778972502732</v>
      </c>
      <c r="BJ157" s="62">
        <f t="shared" si="146"/>
        <v>157.75772798974242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0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86.644999999999783</v>
      </c>
      <c r="D158" s="12">
        <f t="shared" si="140"/>
        <v>23.75429944312544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852.20511850833509</v>
      </c>
      <c r="H158" s="70">
        <f t="shared" si="110"/>
        <v>485.61211319677642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-1.1368683772161603E-13</v>
      </c>
      <c r="O158" s="14">
        <f>N158*VLOOKUP('Données projet'!$B$9,Paramètres!$A$1:$I$89,3,0)*VLOOKUP('Données projet'!$B$9,Paramètres!$A$1:$I$89,5,0)</f>
        <v>-5.3205440053716299E-14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302.30714066618623</v>
      </c>
      <c r="T158" s="62">
        <f t="shared" si="142"/>
        <v>218.81984836501334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-1.7053025658242404E-13</v>
      </c>
      <c r="AJ158" s="14">
        <f>AI158*VLOOKUP('Données projet'!$B$10,Paramètres!$A$1:$I$89,3,0)*VLOOKUP('Données projet'!$B$10,Paramètres!$A$1:$I$89,5,0)</f>
        <v>-1.0197709343628959E-13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150.05970318721711</v>
      </c>
      <c r="AO158" s="62">
        <f t="shared" si="144"/>
        <v>230.8269864623847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13.070346983339167</v>
      </c>
      <c r="AV158" s="23">
        <f>EXP(-LN(2)/25)*AV157+(1-EXP(-LN(2)/25))/(LN(2)/25)*Calculateur!AQ158*Calculateur!AS158*VLOOKUP('Données projet'!$B$10,Paramètres!$A$1:$I$89,3,0)*0.475*44/12</f>
        <v>0.15667432431017694</v>
      </c>
      <c r="AW158" s="23">
        <f>EXP(-LN(2)/2)*AW157+(1-EXP(-LN(2)/2))/(LN(2)/2)*AQ158*AT158*VLOOKUP('Données projet'!$B$10,Paramètres!$A$1:$I$89,3,0)*0.475*44/12</f>
        <v>6.2853893525844885E-15</v>
      </c>
      <c r="AX158" s="23">
        <f t="shared" si="166"/>
        <v>13.227021307649352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1.1368683772161603E-13</v>
      </c>
      <c r="BE158" s="14">
        <f>BD158*VLOOKUP('Données projet'!$B$11,Paramètres!$A$1:$I$89,3,0)*VLOOKUP('Données projet'!$B$11,Paramètres!$A$1:$I$89,5,0)</f>
        <v>1.0286385077051818E-13</v>
      </c>
      <c r="BF158" s="14">
        <f t="shared" si="167"/>
        <v>1.5402366592183556E-12</v>
      </c>
      <c r="BG158" s="22">
        <f t="shared" si="168"/>
        <v>2.8617333882306215E-12</v>
      </c>
      <c r="BH158" s="62">
        <f t="shared" si="116"/>
        <v>293.33333333333616</v>
      </c>
      <c r="BI158" s="62">
        <f ca="1">AVERAGE(OFFSET($BH$3,0,0,'Données projet'!$E$11+1,1))-AVERAGE(OFFSET($H$3,0,0,'Données projet'!$E$11+1,1))</f>
        <v>278.41778972502732</v>
      </c>
      <c r="BJ158" s="62">
        <f t="shared" si="146"/>
        <v>157.75772798974242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0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87.20399999999978</v>
      </c>
      <c r="D159" s="12">
        <f t="shared" si="140"/>
        <v>23.889663550879664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857.5651221471395</v>
      </c>
      <c r="H159" s="70">
        <f t="shared" si="110"/>
        <v>486.82146401778164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-1.1368683772161603E-13</v>
      </c>
      <c r="O159" s="14">
        <f>N159*VLOOKUP('Données projet'!$B$9,Paramètres!$A$1:$I$89,3,0)*VLOOKUP('Données projet'!$B$9,Paramètres!$A$1:$I$89,5,0)</f>
        <v>-5.3205440053716299E-14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302.30714066618623</v>
      </c>
      <c r="T159" s="62">
        <f t="shared" si="142"/>
        <v>218.81984836501334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-1.7053025658242404E-13</v>
      </c>
      <c r="AJ159" s="14">
        <f>AI159*VLOOKUP('Données projet'!$B$10,Paramètres!$A$1:$I$89,3,0)*VLOOKUP('Données projet'!$B$10,Paramètres!$A$1:$I$89,5,0)</f>
        <v>-1.0197709343628959E-13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150.05970318721711</v>
      </c>
      <c r="AO159" s="62">
        <f t="shared" si="144"/>
        <v>230.8269864623847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12.814045451120364</v>
      </c>
      <c r="AV159" s="23">
        <f>EXP(-LN(2)/25)*AV158+(1-EXP(-LN(2)/25))/(LN(2)/25)*Calculateur!AQ159*Calculateur!AS159*VLOOKUP('Données projet'!$B$10,Paramètres!$A$1:$I$89,3,0)*0.475*44/12</f>
        <v>0.15239005667277053</v>
      </c>
      <c r="AW159" s="23">
        <f>EXP(-LN(2)/2)*AW158+(1-EXP(-LN(2)/2))/(LN(2)/2)*AQ159*AT159*VLOOKUP('Données projet'!$B$10,Paramètres!$A$1:$I$89,3,0)*0.475*44/12</f>
        <v>4.4444414336102155E-15</v>
      </c>
      <c r="AX159" s="23">
        <f t="shared" si="166"/>
        <v>12.96643550779314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1.1368683772161603E-13</v>
      </c>
      <c r="BE159" s="14">
        <f>BD159*VLOOKUP('Données projet'!$B$11,Paramètres!$A$1:$I$89,3,0)*VLOOKUP('Données projet'!$B$11,Paramètres!$A$1:$I$89,5,0)</f>
        <v>1.0286385077051818E-13</v>
      </c>
      <c r="BF159" s="14">
        <f t="shared" si="167"/>
        <v>1.5402366592183556E-12</v>
      </c>
      <c r="BG159" s="22">
        <f t="shared" si="168"/>
        <v>2.8617333882306215E-12</v>
      </c>
      <c r="BH159" s="62">
        <f t="shared" si="116"/>
        <v>293.33333333333616</v>
      </c>
      <c r="BI159" s="62">
        <f ca="1">AVERAGE(OFFSET($BH$3,0,0,'Données projet'!$E$11+1,1))-AVERAGE(OFFSET($H$3,0,0,'Données projet'!$E$11+1,1))</f>
        <v>278.41778972502732</v>
      </c>
      <c r="BJ159" s="62">
        <f t="shared" si="146"/>
        <v>157.75772798974242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0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87.762999999999778</v>
      </c>
      <c r="D160" s="12">
        <f t="shared" si="140"/>
        <v>24.024926693125117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862.92434640306931</v>
      </c>
      <c r="H160" s="70">
        <f t="shared" si="110"/>
        <v>488.03063899052586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-1.1368683772161603E-13</v>
      </c>
      <c r="O160" s="14">
        <f>N160*VLOOKUP('Données projet'!$B$9,Paramètres!$A$1:$I$89,3,0)*VLOOKUP('Données projet'!$B$9,Paramètres!$A$1:$I$89,5,0)</f>
        <v>-5.3205440053716299E-14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302.30714066618623</v>
      </c>
      <c r="T160" s="62">
        <f t="shared" si="142"/>
        <v>218.81984836501334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-1.7053025658242404E-13</v>
      </c>
      <c r="AJ160" s="14">
        <f>AI160*VLOOKUP('Données projet'!$B$10,Paramètres!$A$1:$I$89,3,0)*VLOOKUP('Données projet'!$B$10,Paramètres!$A$1:$I$89,5,0)</f>
        <v>-1.0197709343628959E-13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150.05970318721711</v>
      </c>
      <c r="AO160" s="62">
        <f t="shared" si="144"/>
        <v>230.8269864623847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12.562769835619873</v>
      </c>
      <c r="AV160" s="23">
        <f>EXP(-LN(2)/25)*AV159+(1-EXP(-LN(2)/25))/(LN(2)/25)*Calculateur!AQ160*Calculateur!AS160*VLOOKUP('Données projet'!$B$10,Paramètres!$A$1:$I$89,3,0)*0.475*44/12</f>
        <v>0.14822294255920884</v>
      </c>
      <c r="AW160" s="23">
        <f>EXP(-LN(2)/2)*AW159+(1-EXP(-LN(2)/2))/(LN(2)/2)*AQ160*AT160*VLOOKUP('Données projet'!$B$10,Paramètres!$A$1:$I$89,3,0)*0.475*44/12</f>
        <v>3.1426946762922442E-15</v>
      </c>
      <c r="AX160" s="23">
        <f t="shared" si="166"/>
        <v>12.710992778179085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1.1368683772161603E-13</v>
      </c>
      <c r="BE160" s="14">
        <f>BD160*VLOOKUP('Données projet'!$B$11,Paramètres!$A$1:$I$89,3,0)*VLOOKUP('Données projet'!$B$11,Paramètres!$A$1:$I$89,5,0)</f>
        <v>1.0286385077051818E-13</v>
      </c>
      <c r="BF160" s="14">
        <f t="shared" si="167"/>
        <v>1.5402366592183556E-12</v>
      </c>
      <c r="BG160" s="22">
        <f t="shared" si="168"/>
        <v>2.8617333882306215E-12</v>
      </c>
      <c r="BH160" s="62">
        <f t="shared" si="116"/>
        <v>293.33333333333616</v>
      </c>
      <c r="BI160" s="62">
        <f ca="1">AVERAGE(OFFSET($BH$3,0,0,'Données projet'!$E$11+1,1))-AVERAGE(OFFSET($H$3,0,0,'Données projet'!$E$11+1,1))</f>
        <v>278.41778972502732</v>
      </c>
      <c r="BJ160" s="62">
        <f t="shared" si="146"/>
        <v>157.75772798974242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0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88.321999999999775</v>
      </c>
      <c r="D161" s="12">
        <f t="shared" si="140"/>
        <v>24.160089587553845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868.28279681620336</v>
      </c>
      <c r="H161" s="70">
        <f t="shared" si="110"/>
        <v>489.23963936498916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-1.1368683772161603E-13</v>
      </c>
      <c r="O161" s="14">
        <f>N161*VLOOKUP('Données projet'!$B$9,Paramètres!$A$1:$I$89,3,0)*VLOOKUP('Données projet'!$B$9,Paramètres!$A$1:$I$89,5,0)</f>
        <v>-5.3205440053716299E-14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302.30714066618623</v>
      </c>
      <c r="T161" s="62">
        <f t="shared" si="142"/>
        <v>218.81984836501334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-1.7053025658242404E-13</v>
      </c>
      <c r="AJ161" s="14">
        <f>AI161*VLOOKUP('Données projet'!$B$10,Paramètres!$A$1:$I$89,3,0)*VLOOKUP('Données projet'!$B$10,Paramètres!$A$1:$I$89,5,0)</f>
        <v>-1.0197709343628959E-13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150.05970318721711</v>
      </c>
      <c r="AO161" s="62">
        <f t="shared" si="144"/>
        <v>230.8269864623847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12.316421581676355</v>
      </c>
      <c r="AV161" s="23">
        <f>EXP(-LN(2)/25)*AV160+(1-EXP(-LN(2)/25))/(LN(2)/25)*Calculateur!AQ161*Calculateur!AS161*VLOOKUP('Données projet'!$B$10,Paramètres!$A$1:$I$89,3,0)*0.475*44/12</f>
        <v>0.14416977840022149</v>
      </c>
      <c r="AW161" s="23">
        <f>EXP(-LN(2)/2)*AW160+(1-EXP(-LN(2)/2))/(LN(2)/2)*AQ161*AT161*VLOOKUP('Données projet'!$B$10,Paramètres!$A$1:$I$89,3,0)*0.475*44/12</f>
        <v>2.2222207168051077E-15</v>
      </c>
      <c r="AX161" s="23">
        <f t="shared" si="166"/>
        <v>12.460591360076579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1.1368683772161603E-13</v>
      </c>
      <c r="BE161" s="14">
        <f>BD161*VLOOKUP('Données projet'!$B$11,Paramètres!$A$1:$I$89,3,0)*VLOOKUP('Données projet'!$B$11,Paramètres!$A$1:$I$89,5,0)</f>
        <v>1.0286385077051818E-13</v>
      </c>
      <c r="BF161" s="14">
        <f t="shared" si="167"/>
        <v>1.5402366592183556E-12</v>
      </c>
      <c r="BG161" s="22">
        <f t="shared" si="168"/>
        <v>2.8617333882306215E-12</v>
      </c>
      <c r="BH161" s="62">
        <f t="shared" si="116"/>
        <v>293.33333333333616</v>
      </c>
      <c r="BI161" s="62">
        <f ca="1">AVERAGE(OFFSET($BH$3,0,0,'Données projet'!$E$11+1,1))-AVERAGE(OFFSET($H$3,0,0,'Données projet'!$E$11+1,1))</f>
        <v>278.41778972502732</v>
      </c>
      <c r="BJ161" s="62">
        <f t="shared" si="146"/>
        <v>157.75772798974242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0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88.880999999999773</v>
      </c>
      <c r="D162" s="12">
        <f t="shared" si="140"/>
        <v>24.295152942247746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873.64047885243701</v>
      </c>
      <c r="H162" s="70">
        <f t="shared" si="110"/>
        <v>490.44846637441435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-1.1368683772161603E-13</v>
      </c>
      <c r="O162" s="14">
        <f>N162*VLOOKUP('Données projet'!$B$9,Paramètres!$A$1:$I$89,3,0)*VLOOKUP('Données projet'!$B$9,Paramètres!$A$1:$I$89,5,0)</f>
        <v>-5.3205440053716299E-14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302.30714066618623</v>
      </c>
      <c r="T162" s="62">
        <f t="shared" si="142"/>
        <v>218.81984836501334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-1.7053025658242404E-13</v>
      </c>
      <c r="AJ162" s="14">
        <f>AI162*VLOOKUP('Données projet'!$B$10,Paramètres!$A$1:$I$89,3,0)*VLOOKUP('Données projet'!$B$10,Paramètres!$A$1:$I$89,5,0)</f>
        <v>-1.0197709343628959E-13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150.05970318721711</v>
      </c>
      <c r="AO162" s="62">
        <f t="shared" si="144"/>
        <v>230.8269864623847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12.074904066735071</v>
      </c>
      <c r="AV162" s="23">
        <f>EXP(-LN(2)/25)*AV161+(1-EXP(-LN(2)/25))/(LN(2)/25)*Calculateur!AQ162*Calculateur!AS162*VLOOKUP('Données projet'!$B$10,Paramètres!$A$1:$I$89,3,0)*0.475*44/12</f>
        <v>0.14022744822830829</v>
      </c>
      <c r="AW162" s="23">
        <f>EXP(-LN(2)/2)*AW161+(1-EXP(-LN(2)/2))/(LN(2)/2)*AQ162*AT162*VLOOKUP('Données projet'!$B$10,Paramètres!$A$1:$I$89,3,0)*0.475*44/12</f>
        <v>1.5713473381461221E-15</v>
      </c>
      <c r="AX162" s="23">
        <f t="shared" si="166"/>
        <v>12.215131514963382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1.1368683772161603E-13</v>
      </c>
      <c r="BE162" s="14">
        <f>BD162*VLOOKUP('Données projet'!$B$11,Paramètres!$A$1:$I$89,3,0)*VLOOKUP('Données projet'!$B$11,Paramètres!$A$1:$I$89,5,0)</f>
        <v>1.0286385077051818E-13</v>
      </c>
      <c r="BF162" s="14">
        <f t="shared" si="167"/>
        <v>1.5402366592183556E-12</v>
      </c>
      <c r="BG162" s="22">
        <f t="shared" si="168"/>
        <v>2.8617333882306215E-12</v>
      </c>
      <c r="BH162" s="62">
        <f t="shared" si="116"/>
        <v>293.33333333333616</v>
      </c>
      <c r="BI162" s="62">
        <f ca="1">AVERAGE(OFFSET($BH$3,0,0,'Données projet'!$E$11+1,1))-AVERAGE(OFFSET($H$3,0,0,'Données projet'!$E$11+1,1))</f>
        <v>278.41778972502732</v>
      </c>
      <c r="BJ162" s="62">
        <f t="shared" si="146"/>
        <v>157.75772798974242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0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89.43999999999977</v>
      </c>
      <c r="D163" s="12">
        <f t="shared" si="140"/>
        <v>24.430117455866995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878.99739790493641</v>
      </c>
      <c r="H163" s="70">
        <f t="shared" si="110"/>
        <v>491.65712123563458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-1.1368683772161603E-13</v>
      </c>
      <c r="O163" s="14">
        <f>N163*VLOOKUP('Données projet'!$B$9,Paramètres!$A$1:$I$89,3,0)*VLOOKUP('Données projet'!$B$9,Paramètres!$A$1:$I$89,5,0)</f>
        <v>-5.3205440053716299E-14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302.30714066618623</v>
      </c>
      <c r="T163" s="62">
        <f t="shared" si="142"/>
        <v>218.81984836501334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-1.7053025658242404E-13</v>
      </c>
      <c r="AJ163" s="14">
        <f>AI163*VLOOKUP('Données projet'!$B$10,Paramètres!$A$1:$I$89,3,0)*VLOOKUP('Données projet'!$B$10,Paramètres!$A$1:$I$89,5,0)</f>
        <v>-1.0197709343628959E-13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150.05970318721711</v>
      </c>
      <c r="AO163" s="62">
        <f t="shared" si="144"/>
        <v>230.8269864623847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11.838122562950646</v>
      </c>
      <c r="AV163" s="23">
        <f>EXP(-LN(2)/25)*AV162+(1-EXP(-LN(2)/25))/(LN(2)/25)*Calculateur!AQ163*Calculateur!AS163*VLOOKUP('Données projet'!$B$10,Paramètres!$A$1:$I$89,3,0)*0.475*44/12</f>
        <v>0.13639292128226418</v>
      </c>
      <c r="AW163" s="23">
        <f>EXP(-LN(2)/2)*AW162+(1-EXP(-LN(2)/2))/(LN(2)/2)*AQ163*AT163*VLOOKUP('Données projet'!$B$10,Paramètres!$A$1:$I$89,3,0)*0.475*44/12</f>
        <v>1.1111103584025539E-15</v>
      </c>
      <c r="AX163" s="23">
        <f t="shared" si="166"/>
        <v>11.974515484232912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1.1368683772161603E-13</v>
      </c>
      <c r="BE163" s="14">
        <f>BD163*VLOOKUP('Données projet'!$B$11,Paramètres!$A$1:$I$89,3,0)*VLOOKUP('Données projet'!$B$11,Paramètres!$A$1:$I$89,5,0)</f>
        <v>1.0286385077051818E-13</v>
      </c>
      <c r="BF163" s="14">
        <f t="shared" si="167"/>
        <v>1.5402366592183556E-12</v>
      </c>
      <c r="BG163" s="22">
        <f t="shared" si="168"/>
        <v>2.8617333882306215E-12</v>
      </c>
      <c r="BH163" s="62">
        <f t="shared" si="116"/>
        <v>293.33333333333616</v>
      </c>
      <c r="BI163" s="62">
        <f ca="1">AVERAGE(OFFSET($BH$3,0,0,'Données projet'!$E$11+1,1))-AVERAGE(OFFSET($H$3,0,0,'Données projet'!$E$11+1,1))</f>
        <v>278.41778972502732</v>
      </c>
      <c r="BJ163" s="62">
        <f t="shared" si="146"/>
        <v>157.75772798974242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0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89.998999999999768</v>
      </c>
      <c r="D164" s="12">
        <f t="shared" si="140"/>
        <v>24.564983817833372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884.35355929555408</v>
      </c>
      <c r="H164" s="70">
        <f t="shared" si="110"/>
        <v>492.86560514939265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-1.1368683772161603E-13</v>
      </c>
      <c r="O164" s="14">
        <f>N164*VLOOKUP('Données projet'!$B$9,Paramètres!$A$1:$I$89,3,0)*VLOOKUP('Données projet'!$B$9,Paramètres!$A$1:$I$89,5,0)</f>
        <v>-5.3205440053716299E-14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302.30714066618623</v>
      </c>
      <c r="T164" s="62">
        <f t="shared" si="142"/>
        <v>218.81984836501334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-1.7053025658242404E-13</v>
      </c>
      <c r="AJ164" s="14">
        <f>AI164*VLOOKUP('Données projet'!$B$10,Paramètres!$A$1:$I$89,3,0)*VLOOKUP('Données projet'!$B$10,Paramètres!$A$1:$I$89,5,0)</f>
        <v>-1.0197709343628959E-13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150.05970318721711</v>
      </c>
      <c r="AO164" s="62">
        <f t="shared" si="144"/>
        <v>230.8269864623847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11.605984200032978</v>
      </c>
      <c r="AV164" s="23">
        <f>EXP(-LN(2)/25)*AV163+(1-EXP(-LN(2)/25))/(LN(2)/25)*Calculateur!AQ164*Calculateur!AS164*VLOOKUP('Données projet'!$B$10,Paramètres!$A$1:$I$89,3,0)*0.475*44/12</f>
        <v>0.13266324967720866</v>
      </c>
      <c r="AW164" s="23">
        <f>EXP(-LN(2)/2)*AW163+(1-EXP(-LN(2)/2))/(LN(2)/2)*AQ164*AT164*VLOOKUP('Données projet'!$B$10,Paramètres!$A$1:$I$89,3,0)*0.475*44/12</f>
        <v>7.8567366907306106E-16</v>
      </c>
      <c r="AX164" s="23">
        <f t="shared" si="166"/>
        <v>11.738647449710186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1.1368683772161603E-13</v>
      </c>
      <c r="BE164" s="14">
        <f>BD164*VLOOKUP('Données projet'!$B$11,Paramètres!$A$1:$I$89,3,0)*VLOOKUP('Données projet'!$B$11,Paramètres!$A$1:$I$89,5,0)</f>
        <v>1.0286385077051818E-13</v>
      </c>
      <c r="BF164" s="14">
        <f t="shared" si="167"/>
        <v>1.5402366592183556E-12</v>
      </c>
      <c r="BG164" s="22">
        <f t="shared" si="168"/>
        <v>2.8617333882306215E-12</v>
      </c>
      <c r="BH164" s="62">
        <f t="shared" si="116"/>
        <v>293.33333333333616</v>
      </c>
      <c r="BI164" s="62">
        <f ca="1">AVERAGE(OFFSET($BH$3,0,0,'Données projet'!$E$11+1,1))-AVERAGE(OFFSET($H$3,0,0,'Données projet'!$E$11+1,1))</f>
        <v>278.41778972502732</v>
      </c>
      <c r="BJ164" s="62">
        <f t="shared" si="146"/>
        <v>157.75772798974242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0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90.557999999999765</v>
      </c>
      <c r="D165" s="12">
        <f t="shared" si="140"/>
        <v>24.699752708509081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889.70896827620857</v>
      </c>
      <c r="H165" s="70">
        <f t="shared" si="110"/>
        <v>494.0739193006529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-1.1368683772161603E-13</v>
      </c>
      <c r="O165" s="14">
        <f>N165*VLOOKUP('Données projet'!$B$9,Paramètres!$A$1:$I$89,3,0)*VLOOKUP('Données projet'!$B$9,Paramètres!$A$1:$I$89,5,0)</f>
        <v>-5.3205440053716299E-14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302.30714066618623</v>
      </c>
      <c r="T165" s="62">
        <f t="shared" si="142"/>
        <v>218.81984836501334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-1.7053025658242404E-13</v>
      </c>
      <c r="AJ165" s="14">
        <f>AI165*VLOOKUP('Données projet'!$B$10,Paramètres!$A$1:$I$89,3,0)*VLOOKUP('Données projet'!$B$10,Paramètres!$A$1:$I$89,5,0)</f>
        <v>-1.0197709343628959E-13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150.05970318721711</v>
      </c>
      <c r="AO165" s="62">
        <f t="shared" si="144"/>
        <v>230.8269864623847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11.378397928821705</v>
      </c>
      <c r="AV165" s="23">
        <f>EXP(-LN(2)/25)*AV164+(1-EXP(-LN(2)/25))/(LN(2)/25)*Calculateur!AQ165*Calculateur!AS165*VLOOKUP('Données projet'!$B$10,Paramètres!$A$1:$I$89,3,0)*0.475*44/12</f>
        <v>0.12903556613832828</v>
      </c>
      <c r="AW165" s="23">
        <f>EXP(-LN(2)/2)*AW164+(1-EXP(-LN(2)/2))/(LN(2)/2)*AQ165*AT165*VLOOKUP('Données projet'!$B$10,Paramètres!$A$1:$I$89,3,0)*0.475*44/12</f>
        <v>5.5555517920127693E-16</v>
      </c>
      <c r="AX165" s="23">
        <f t="shared" si="166"/>
        <v>11.507433494960035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1.1368683772161603E-13</v>
      </c>
      <c r="BE165" s="14">
        <f>BD165*VLOOKUP('Données projet'!$B$11,Paramètres!$A$1:$I$89,3,0)*VLOOKUP('Données projet'!$B$11,Paramètres!$A$1:$I$89,5,0)</f>
        <v>1.0286385077051818E-13</v>
      </c>
      <c r="BF165" s="14">
        <f t="shared" si="167"/>
        <v>1.5402366592183556E-12</v>
      </c>
      <c r="BG165" s="22">
        <f t="shared" si="168"/>
        <v>2.8617333882306215E-12</v>
      </c>
      <c r="BH165" s="62">
        <f t="shared" si="116"/>
        <v>293.33333333333616</v>
      </c>
      <c r="BI165" s="62">
        <f ca="1">AVERAGE(OFFSET($BH$3,0,0,'Données projet'!$E$11+1,1))-AVERAGE(OFFSET($H$3,0,0,'Données projet'!$E$11+1,1))</f>
        <v>278.41778972502732</v>
      </c>
      <c r="BJ165" s="62">
        <f t="shared" si="146"/>
        <v>157.75772798974242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0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91.116999999999763</v>
      </c>
      <c r="D166" s="12">
        <f t="shared" si="140"/>
        <v>24.834424799371007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895.06363003023068</v>
      </c>
      <c r="H166" s="70">
        <f t="shared" si="110"/>
        <v>495.28206485890405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-1.1368683772161603E-13</v>
      </c>
      <c r="O166" s="14">
        <f>N166*VLOOKUP('Données projet'!$B$9,Paramètres!$A$1:$I$89,3,0)*VLOOKUP('Données projet'!$B$9,Paramètres!$A$1:$I$89,5,0)</f>
        <v>-5.3205440053716299E-14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302.30714066618623</v>
      </c>
      <c r="T166" s="62">
        <f t="shared" si="142"/>
        <v>218.81984836501334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-1.7053025658242404E-13</v>
      </c>
      <c r="AJ166" s="14">
        <f>AI166*VLOOKUP('Données projet'!$B$10,Paramètres!$A$1:$I$89,3,0)*VLOOKUP('Données projet'!$B$10,Paramètres!$A$1:$I$89,5,0)</f>
        <v>-1.0197709343628959E-13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150.05970318721711</v>
      </c>
      <c r="AO166" s="62">
        <f t="shared" si="144"/>
        <v>230.8269864623847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11.155274485574967</v>
      </c>
      <c r="AV166" s="23">
        <f>EXP(-LN(2)/25)*AV165+(1-EXP(-LN(2)/25))/(LN(2)/25)*Calculateur!AQ166*Calculateur!AS166*VLOOKUP('Données projet'!$B$10,Paramètres!$A$1:$I$89,3,0)*0.475*44/12</f>
        <v>0.12550708179659018</v>
      </c>
      <c r="AW166" s="23">
        <f>EXP(-LN(2)/2)*AW165+(1-EXP(-LN(2)/2))/(LN(2)/2)*AQ166*AT166*VLOOKUP('Données projet'!$B$10,Paramètres!$A$1:$I$89,3,0)*0.475*44/12</f>
        <v>3.9283683453653053E-16</v>
      </c>
      <c r="AX166" s="23">
        <f t="shared" si="166"/>
        <v>11.280781567371557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1.1368683772161603E-13</v>
      </c>
      <c r="BE166" s="14">
        <f>BD166*VLOOKUP('Données projet'!$B$11,Paramètres!$A$1:$I$89,3,0)*VLOOKUP('Données projet'!$B$11,Paramètres!$A$1:$I$89,5,0)</f>
        <v>1.0286385077051818E-13</v>
      </c>
      <c r="BF166" s="14">
        <f t="shared" si="167"/>
        <v>1.5402366592183556E-12</v>
      </c>
      <c r="BG166" s="22">
        <f t="shared" si="168"/>
        <v>2.8617333882306215E-12</v>
      </c>
      <c r="BH166" s="62">
        <f t="shared" si="116"/>
        <v>293.33333333333616</v>
      </c>
      <c r="BI166" s="62">
        <f ca="1">AVERAGE(OFFSET($BH$3,0,0,'Données projet'!$E$11+1,1))-AVERAGE(OFFSET($H$3,0,0,'Données projet'!$E$11+1,1))</f>
        <v>278.41778972502732</v>
      </c>
      <c r="BJ166" s="62">
        <f t="shared" si="146"/>
        <v>157.75772798974242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0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91.67599999999976</v>
      </c>
      <c r="D167" s="12">
        <f t="shared" si="140"/>
        <v>24.969000753180424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900.4175496736716</v>
      </c>
      <c r="H167" s="70">
        <f t="shared" si="110"/>
        <v>496.49004297845545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-1.1368683772161603E-13</v>
      </c>
      <c r="O167" s="14">
        <f>N167*VLOOKUP('Données projet'!$B$9,Paramètres!$A$1:$I$89,3,0)*VLOOKUP('Données projet'!$B$9,Paramètres!$A$1:$I$89,5,0)</f>
        <v>-5.3205440053716299E-14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302.30714066618623</v>
      </c>
      <c r="T167" s="62">
        <f t="shared" si="142"/>
        <v>218.81984836501334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-1.7053025658242404E-13</v>
      </c>
      <c r="AJ167" s="14">
        <f>AI167*VLOOKUP('Données projet'!$B$10,Paramètres!$A$1:$I$89,3,0)*VLOOKUP('Données projet'!$B$10,Paramètres!$A$1:$I$89,5,0)</f>
        <v>-1.0197709343628959E-13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150.05970318721711</v>
      </c>
      <c r="AO167" s="62">
        <f t="shared" si="144"/>
        <v>230.8269864623847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10.936526356958435</v>
      </c>
      <c r="AV167" s="23">
        <f>EXP(-LN(2)/25)*AV166+(1-EXP(-LN(2)/25))/(LN(2)/25)*Calculateur!AQ167*Calculateur!AS167*VLOOKUP('Données projet'!$B$10,Paramètres!$A$1:$I$89,3,0)*0.475*44/12</f>
        <v>0.12207508404473183</v>
      </c>
      <c r="AW167" s="23">
        <f>EXP(-LN(2)/2)*AW166+(1-EXP(-LN(2)/2))/(LN(2)/2)*AQ167*AT167*VLOOKUP('Données projet'!$B$10,Paramètres!$A$1:$I$89,3,0)*0.475*44/12</f>
        <v>2.7777758960063847E-16</v>
      </c>
      <c r="AX167" s="23">
        <f t="shared" si="166"/>
        <v>11.058601441003168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1.1368683772161603E-13</v>
      </c>
      <c r="BE167" s="14">
        <f>BD167*VLOOKUP('Données projet'!$B$11,Paramètres!$A$1:$I$89,3,0)*VLOOKUP('Données projet'!$B$11,Paramètres!$A$1:$I$89,5,0)</f>
        <v>1.0286385077051818E-13</v>
      </c>
      <c r="BF167" s="14">
        <f t="shared" si="167"/>
        <v>1.5402366592183556E-12</v>
      </c>
      <c r="BG167" s="22">
        <f t="shared" si="168"/>
        <v>2.8617333882306215E-12</v>
      </c>
      <c r="BH167" s="62">
        <f t="shared" si="116"/>
        <v>293.33333333333616</v>
      </c>
      <c r="BI167" s="62">
        <f ca="1">AVERAGE(OFFSET($BH$3,0,0,'Données projet'!$E$11+1,1))-AVERAGE(OFFSET($H$3,0,0,'Données projet'!$E$11+1,1))</f>
        <v>278.41778972502732</v>
      </c>
      <c r="BJ167" s="62">
        <f t="shared" si="146"/>
        <v>157.75772798974242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0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92.234999999999758</v>
      </c>
      <c r="D168" s="12">
        <f t="shared" si="140"/>
        <v>25.103481224148709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905.77073225658467</v>
      </c>
      <c r="H168" s="70">
        <f t="shared" si="110"/>
        <v>497.69785479872519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-1.1368683772161603E-13</v>
      </c>
      <c r="O168" s="14">
        <f>N168*VLOOKUP('Données projet'!$B$9,Paramètres!$A$1:$I$89,3,0)*VLOOKUP('Données projet'!$B$9,Paramètres!$A$1:$I$89,5,0)</f>
        <v>-5.3205440053716299E-14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302.30714066618623</v>
      </c>
      <c r="T168" s="62">
        <f t="shared" si="142"/>
        <v>218.81984836501334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-1.7053025658242404E-13</v>
      </c>
      <c r="AJ168" s="14">
        <f>AI168*VLOOKUP('Données projet'!$B$10,Paramètres!$A$1:$I$89,3,0)*VLOOKUP('Données projet'!$B$10,Paramètres!$A$1:$I$89,5,0)</f>
        <v>-1.0197709343628959E-13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150.05970318721711</v>
      </c>
      <c r="AO168" s="62">
        <f t="shared" si="144"/>
        <v>230.8269864623847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10.722067745720889</v>
      </c>
      <c r="AV168" s="23">
        <f>EXP(-LN(2)/25)*AV167+(1-EXP(-LN(2)/25))/(LN(2)/25)*Calculateur!AQ168*Calculateur!AS168*VLOOKUP('Données projet'!$B$10,Paramètres!$A$1:$I$89,3,0)*0.475*44/12</f>
        <v>0.11873693445187898</v>
      </c>
      <c r="AW168" s="23">
        <f>EXP(-LN(2)/2)*AW167+(1-EXP(-LN(2)/2))/(LN(2)/2)*AQ168*AT168*VLOOKUP('Données projet'!$B$10,Paramètres!$A$1:$I$89,3,0)*0.475*44/12</f>
        <v>1.9641841726826526E-16</v>
      </c>
      <c r="AX168" s="23">
        <f t="shared" si="166"/>
        <v>10.840804680172768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1.1368683772161603E-13</v>
      </c>
      <c r="BE168" s="14">
        <f>BD168*VLOOKUP('Données projet'!$B$11,Paramètres!$A$1:$I$89,3,0)*VLOOKUP('Données projet'!$B$11,Paramètres!$A$1:$I$89,5,0)</f>
        <v>1.0286385077051818E-13</v>
      </c>
      <c r="BF168" s="14">
        <f t="shared" si="167"/>
        <v>1.5402366592183556E-12</v>
      </c>
      <c r="BG168" s="22">
        <f t="shared" si="168"/>
        <v>2.8617333882306215E-12</v>
      </c>
      <c r="BH168" s="62">
        <f t="shared" si="116"/>
        <v>293.33333333333616</v>
      </c>
      <c r="BI168" s="62">
        <f ca="1">AVERAGE(OFFSET($BH$3,0,0,'Données projet'!$E$11+1,1))-AVERAGE(OFFSET($H$3,0,0,'Données projet'!$E$11+1,1))</f>
        <v>278.41778972502732</v>
      </c>
      <c r="BJ168" s="62">
        <f t="shared" si="146"/>
        <v>157.75772798974242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0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92.793999999999755</v>
      </c>
      <c r="D169" s="12">
        <f t="shared" si="140"/>
        <v>25.237866858098624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911.12318276426822</v>
      </c>
      <c r="H169" s="70">
        <f t="shared" si="110"/>
        <v>498.90550144452129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-1.1368683772161603E-13</v>
      </c>
      <c r="O169" s="14">
        <f>N169*VLOOKUP('Données projet'!$B$9,Paramètres!$A$1:$I$89,3,0)*VLOOKUP('Données projet'!$B$9,Paramètres!$A$1:$I$89,5,0)</f>
        <v>-5.3205440053716299E-14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302.30714066618623</v>
      </c>
      <c r="T169" s="62">
        <f t="shared" si="142"/>
        <v>218.81984836501334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-1.7053025658242404E-13</v>
      </c>
      <c r="AJ169" s="14">
        <f>AI169*VLOOKUP('Données projet'!$B$10,Paramètres!$A$1:$I$89,3,0)*VLOOKUP('Données projet'!$B$10,Paramètres!$A$1:$I$89,5,0)</f>
        <v>-1.0197709343628959E-13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150.05970318721711</v>
      </c>
      <c r="AO169" s="62">
        <f t="shared" si="144"/>
        <v>230.8269864623847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10.511814537042873</v>
      </c>
      <c r="AV169" s="23">
        <f>EXP(-LN(2)/25)*AV168+(1-EXP(-LN(2)/25))/(LN(2)/25)*Calculateur!AQ169*Calculateur!AS169*VLOOKUP('Données projet'!$B$10,Paramètres!$A$1:$I$89,3,0)*0.475*44/12</f>
        <v>0.11549006673518834</v>
      </c>
      <c r="AW169" s="23">
        <f>EXP(-LN(2)/2)*AW168+(1-EXP(-LN(2)/2))/(LN(2)/2)*AQ169*AT169*VLOOKUP('Données projet'!$B$10,Paramètres!$A$1:$I$89,3,0)*0.475*44/12</f>
        <v>1.3888879480031923E-16</v>
      </c>
      <c r="AX169" s="23">
        <f t="shared" si="166"/>
        <v>10.627304603778061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1.1368683772161603E-13</v>
      </c>
      <c r="BE169" s="14">
        <f>BD169*VLOOKUP('Données projet'!$B$11,Paramètres!$A$1:$I$89,3,0)*VLOOKUP('Données projet'!$B$11,Paramètres!$A$1:$I$89,5,0)</f>
        <v>1.0286385077051818E-13</v>
      </c>
      <c r="BF169" s="14">
        <f t="shared" si="167"/>
        <v>1.5402366592183556E-12</v>
      </c>
      <c r="BG169" s="22">
        <f t="shared" si="168"/>
        <v>2.8617333882306215E-12</v>
      </c>
      <c r="BH169" s="62">
        <f t="shared" si="116"/>
        <v>293.33333333333616</v>
      </c>
      <c r="BI169" s="62">
        <f ca="1">AVERAGE(OFFSET($BH$3,0,0,'Données projet'!$E$11+1,1))-AVERAGE(OFFSET($H$3,0,0,'Données projet'!$E$11+1,1))</f>
        <v>278.41778972502732</v>
      </c>
      <c r="BJ169" s="62">
        <f t="shared" si="146"/>
        <v>157.75772798974242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0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93.352999999999753</v>
      </c>
      <c r="D170" s="12">
        <f t="shared" si="140"/>
        <v>25.372158292621872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916.47490611848286</v>
      </c>
      <c r="H170" s="70">
        <f t="shared" si="110"/>
        <v>500.11298402631598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-1.1368683772161603E-13</v>
      </c>
      <c r="O170" s="14">
        <f>N170*VLOOKUP('Données projet'!$B$9,Paramètres!$A$1:$I$89,3,0)*VLOOKUP('Données projet'!$B$9,Paramètres!$A$1:$I$89,5,0)</f>
        <v>-5.3205440053716299E-14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302.30714066618623</v>
      </c>
      <c r="T170" s="62">
        <f t="shared" si="142"/>
        <v>218.81984836501334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-1.7053025658242404E-13</v>
      </c>
      <c r="AJ170" s="14">
        <f>AI170*VLOOKUP('Données projet'!$B$10,Paramètres!$A$1:$I$89,3,0)*VLOOKUP('Données projet'!$B$10,Paramètres!$A$1:$I$89,5,0)</f>
        <v>-1.0197709343628959E-13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150.05970318721711</v>
      </c>
      <c r="AO170" s="62">
        <f t="shared" si="144"/>
        <v>230.8269864623847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10.30568426554524</v>
      </c>
      <c r="AV170" s="23">
        <f>EXP(-LN(2)/25)*AV169+(1-EXP(-LN(2)/25))/(LN(2)/25)*Calculateur!AQ170*Calculateur!AS170*VLOOKUP('Données projet'!$B$10,Paramètres!$A$1:$I$89,3,0)*0.475*44/12</f>
        <v>0.11233198478695597</v>
      </c>
      <c r="AW170" s="23">
        <f>EXP(-LN(2)/2)*AW169+(1-EXP(-LN(2)/2))/(LN(2)/2)*AQ170*AT170*VLOOKUP('Données projet'!$B$10,Paramètres!$A$1:$I$89,3,0)*0.475*44/12</f>
        <v>9.8209208634132632E-17</v>
      </c>
      <c r="AX170" s="23">
        <f t="shared" si="166"/>
        <v>10.418016250332196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1.1368683772161603E-13</v>
      </c>
      <c r="BE170" s="14">
        <f>BD170*VLOOKUP('Données projet'!$B$11,Paramètres!$A$1:$I$89,3,0)*VLOOKUP('Données projet'!$B$11,Paramètres!$A$1:$I$89,5,0)</f>
        <v>1.0286385077051818E-13</v>
      </c>
      <c r="BF170" s="14">
        <f t="shared" si="167"/>
        <v>1.5402366592183556E-12</v>
      </c>
      <c r="BG170" s="22">
        <f t="shared" si="168"/>
        <v>2.8617333882306215E-12</v>
      </c>
      <c r="BH170" s="62">
        <f t="shared" si="116"/>
        <v>293.33333333333616</v>
      </c>
      <c r="BI170" s="62">
        <f ca="1">AVERAGE(OFFSET($BH$3,0,0,'Données projet'!$E$11+1,1))-AVERAGE(OFFSET($H$3,0,0,'Données projet'!$E$11+1,1))</f>
        <v>278.41778972502732</v>
      </c>
      <c r="BJ170" s="62">
        <f t="shared" si="146"/>
        <v>157.75772798974242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0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93.91199999999975</v>
      </c>
      <c r="D171" s="12">
        <f t="shared" si="140"/>
        <v>25.506356157232599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921.8259071786357</v>
      </c>
      <c r="H171" s="70">
        <f t="shared" si="110"/>
        <v>501.32030364051298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-1.1368683772161603E-13</v>
      </c>
      <c r="O171" s="14">
        <f>N171*VLOOKUP('Données projet'!$B$9,Paramètres!$A$1:$I$89,3,0)*VLOOKUP('Données projet'!$B$9,Paramètres!$A$1:$I$89,5,0)</f>
        <v>-5.3205440053716299E-14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302.30714066618623</v>
      </c>
      <c r="T171" s="62">
        <f t="shared" si="142"/>
        <v>218.81984836501334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-1.7053025658242404E-13</v>
      </c>
      <c r="AJ171" s="14">
        <f>AI171*VLOOKUP('Données projet'!$B$10,Paramètres!$A$1:$I$89,3,0)*VLOOKUP('Données projet'!$B$10,Paramètres!$A$1:$I$89,5,0)</f>
        <v>-1.0197709343628959E-13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150.05970318721711</v>
      </c>
      <c r="AO171" s="62">
        <f t="shared" si="144"/>
        <v>230.8269864623847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10.103596082944625</v>
      </c>
      <c r="AV171" s="23">
        <f>EXP(-LN(2)/25)*AV170+(1-EXP(-LN(2)/25))/(LN(2)/25)*Calculateur!AQ171*Calculateur!AS171*VLOOKUP('Données projet'!$B$10,Paramètres!$A$1:$I$89,3,0)*0.475*44/12</f>
        <v>0.10926026075567431</v>
      </c>
      <c r="AW171" s="23">
        <f>EXP(-LN(2)/2)*AW170+(1-EXP(-LN(2)/2))/(LN(2)/2)*AQ171*AT171*VLOOKUP('Données projet'!$B$10,Paramètres!$A$1:$I$89,3,0)*0.475*44/12</f>
        <v>6.9444397400159617E-17</v>
      </c>
      <c r="AX171" s="23">
        <f t="shared" si="166"/>
        <v>10.212856343700299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1.1368683772161603E-13</v>
      </c>
      <c r="BE171" s="14">
        <f>BD171*VLOOKUP('Données projet'!$B$11,Paramètres!$A$1:$I$89,3,0)*VLOOKUP('Données projet'!$B$11,Paramètres!$A$1:$I$89,5,0)</f>
        <v>1.0286385077051818E-13</v>
      </c>
      <c r="BF171" s="14">
        <f t="shared" si="167"/>
        <v>1.5402366592183556E-12</v>
      </c>
      <c r="BG171" s="22">
        <f t="shared" si="168"/>
        <v>2.8617333882306215E-12</v>
      </c>
      <c r="BH171" s="62">
        <f t="shared" si="116"/>
        <v>293.33333333333616</v>
      </c>
      <c r="BI171" s="62">
        <f ca="1">AVERAGE(OFFSET($BH$3,0,0,'Données projet'!$E$11+1,1))-AVERAGE(OFFSET($H$3,0,0,'Données projet'!$E$11+1,1))</f>
        <v>278.41778972502732</v>
      </c>
      <c r="BJ171" s="62">
        <f t="shared" si="146"/>
        <v>157.75772798974242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0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94.470999999999748</v>
      </c>
      <c r="D172" s="12">
        <f t="shared" si="140"/>
        <v>25.640461073517091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927.17619074293691</v>
      </c>
      <c r="H172" s="70">
        <f t="shared" si="110"/>
        <v>502.52746136970848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-1.1368683772161603E-13</v>
      </c>
      <c r="O172" s="14">
        <f>N172*VLOOKUP('Données projet'!$B$9,Paramètres!$A$1:$I$89,3,0)*VLOOKUP('Données projet'!$B$9,Paramètres!$A$1:$I$89,5,0)</f>
        <v>-5.3205440053716299E-14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302.30714066618623</v>
      </c>
      <c r="T172" s="62">
        <f t="shared" si="142"/>
        <v>218.81984836501334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-1.7053025658242404E-13</v>
      </c>
      <c r="AJ172" s="14">
        <f>AI172*VLOOKUP('Données projet'!$B$10,Paramètres!$A$1:$I$89,3,0)*VLOOKUP('Données projet'!$B$10,Paramètres!$A$1:$I$89,5,0)</f>
        <v>-1.0197709343628959E-13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150.05970318721711</v>
      </c>
      <c r="AO172" s="62">
        <f t="shared" si="144"/>
        <v>230.8269864623847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9.9054707263431876</v>
      </c>
      <c r="AV172" s="23">
        <f>EXP(-LN(2)/25)*AV171+(1-EXP(-LN(2)/25))/(LN(2)/25)*Calculateur!AQ172*Calculateur!AS172*VLOOKUP('Données projet'!$B$10,Paramètres!$A$1:$I$89,3,0)*0.475*44/12</f>
        <v>0.10627253317956301</v>
      </c>
      <c r="AW172" s="23">
        <f>EXP(-LN(2)/2)*AW171+(1-EXP(-LN(2)/2))/(LN(2)/2)*AQ172*AT172*VLOOKUP('Données projet'!$B$10,Paramètres!$A$1:$I$89,3,0)*0.475*44/12</f>
        <v>4.9104604317066316E-17</v>
      </c>
      <c r="AX172" s="23">
        <f t="shared" si="166"/>
        <v>10.011743259522751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1.1368683772161603E-13</v>
      </c>
      <c r="BE172" s="14">
        <f>BD172*VLOOKUP('Données projet'!$B$11,Paramètres!$A$1:$I$89,3,0)*VLOOKUP('Données projet'!$B$11,Paramètres!$A$1:$I$89,5,0)</f>
        <v>1.0286385077051818E-13</v>
      </c>
      <c r="BF172" s="14">
        <f t="shared" si="167"/>
        <v>1.5402366592183556E-12</v>
      </c>
      <c r="BG172" s="22">
        <f t="shared" si="168"/>
        <v>2.8617333882306215E-12</v>
      </c>
      <c r="BH172" s="62">
        <f t="shared" si="116"/>
        <v>293.33333333333616</v>
      </c>
      <c r="BI172" s="62">
        <f ca="1">AVERAGE(OFFSET($BH$3,0,0,'Données projet'!$E$11+1,1))-AVERAGE(OFFSET($H$3,0,0,'Données projet'!$E$11+1,1))</f>
        <v>278.41778972502732</v>
      </c>
      <c r="BJ172" s="62">
        <f t="shared" si="146"/>
        <v>157.75772798974242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0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95.029999999999745</v>
      </c>
      <c r="D173" s="12">
        <f t="shared" si="140"/>
        <v>25.774473655280115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932.52576154952885</v>
      </c>
      <c r="H173" s="70">
        <f t="shared" si="110"/>
        <v>503.73445828294575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-1.1368683772161603E-13</v>
      </c>
      <c r="O173" s="14">
        <f>N173*VLOOKUP('Données projet'!$B$9,Paramètres!$A$1:$I$89,3,0)*VLOOKUP('Données projet'!$B$9,Paramètres!$A$1:$I$89,5,0)</f>
        <v>-5.3205440053716299E-14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302.30714066618623</v>
      </c>
      <c r="T173" s="62">
        <f t="shared" si="142"/>
        <v>218.81984836501334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-1.7053025658242404E-13</v>
      </c>
      <c r="AJ173" s="14">
        <f>AI173*VLOOKUP('Données projet'!$B$10,Paramètres!$A$1:$I$89,3,0)*VLOOKUP('Données projet'!$B$10,Paramètres!$A$1:$I$89,5,0)</f>
        <v>-1.0197709343628959E-13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150.05970318721711</v>
      </c>
      <c r="AO173" s="62">
        <f t="shared" si="144"/>
        <v>230.8269864623847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9.7112304871401687</v>
      </c>
      <c r="AV173" s="23">
        <f>EXP(-LN(2)/25)*AV172+(1-EXP(-LN(2)/25))/(LN(2)/25)*Calculateur!AQ173*Calculateur!AS173*VLOOKUP('Données projet'!$B$10,Paramètres!$A$1:$I$89,3,0)*0.475*44/12</f>
        <v>0.10336650517113823</v>
      </c>
      <c r="AW173" s="23">
        <f>EXP(-LN(2)/2)*AW172+(1-EXP(-LN(2)/2))/(LN(2)/2)*AQ173*AT173*VLOOKUP('Données projet'!$B$10,Paramètres!$A$1:$I$89,3,0)*0.475*44/12</f>
        <v>3.4722198700079808E-17</v>
      </c>
      <c r="AX173" s="23">
        <f t="shared" si="166"/>
        <v>9.8145969923113068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1.1368683772161603E-13</v>
      </c>
      <c r="BE173" s="14">
        <f>BD173*VLOOKUP('Données projet'!$B$11,Paramètres!$A$1:$I$89,3,0)*VLOOKUP('Données projet'!$B$11,Paramètres!$A$1:$I$89,5,0)</f>
        <v>1.0286385077051818E-13</v>
      </c>
      <c r="BF173" s="14">
        <f t="shared" si="167"/>
        <v>1.5402366592183556E-12</v>
      </c>
      <c r="BG173" s="22">
        <f t="shared" si="168"/>
        <v>2.8617333882306215E-12</v>
      </c>
      <c r="BH173" s="62">
        <f t="shared" si="116"/>
        <v>293.33333333333616</v>
      </c>
      <c r="BI173" s="62">
        <f ca="1">AVERAGE(OFFSET($BH$3,0,0,'Données projet'!$E$11+1,1))-AVERAGE(OFFSET($H$3,0,0,'Données projet'!$E$11+1,1))</f>
        <v>278.41778972502732</v>
      </c>
      <c r="BJ173" s="62">
        <f t="shared" si="146"/>
        <v>157.75772798974242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0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95.588999999999743</v>
      </c>
      <c r="D174" s="12">
        <f t="shared" si="140"/>
        <v>25.908394508687365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937.87462427758476</v>
      </c>
      <c r="H174" s="70">
        <f t="shared" si="110"/>
        <v>504.94129543596335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-1.1368683772161603E-13</v>
      </c>
      <c r="O174" s="14">
        <f>N174*VLOOKUP('Données projet'!$B$9,Paramètres!$A$1:$I$89,3,0)*VLOOKUP('Données projet'!$B$9,Paramètres!$A$1:$I$89,5,0)</f>
        <v>-5.3205440053716299E-14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302.30714066618623</v>
      </c>
      <c r="T174" s="62">
        <f t="shared" si="142"/>
        <v>218.81984836501334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-1.7053025658242404E-13</v>
      </c>
      <c r="AJ174" s="14">
        <f>AI174*VLOOKUP('Données projet'!$B$10,Paramètres!$A$1:$I$89,3,0)*VLOOKUP('Données projet'!$B$10,Paramètres!$A$1:$I$89,5,0)</f>
        <v>-1.0197709343628959E-13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150.05970318721711</v>
      </c>
      <c r="AO174" s="62">
        <f t="shared" si="144"/>
        <v>230.8269864623847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9.5207991805530732</v>
      </c>
      <c r="AV174" s="23">
        <f>EXP(-LN(2)/25)*AV173+(1-EXP(-LN(2)/25))/(LN(2)/25)*Calculateur!AQ174*Calculateur!AS174*VLOOKUP('Données projet'!$B$10,Paramètres!$A$1:$I$89,3,0)*0.475*44/12</f>
        <v>0.10053994265142518</v>
      </c>
      <c r="AW174" s="23">
        <f>EXP(-LN(2)/2)*AW173+(1-EXP(-LN(2)/2))/(LN(2)/2)*AQ174*AT174*VLOOKUP('Données projet'!$B$10,Paramètres!$A$1:$I$89,3,0)*0.475*44/12</f>
        <v>2.4552302158533158E-17</v>
      </c>
      <c r="AX174" s="23">
        <f t="shared" si="166"/>
        <v>9.621339123204498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1.1368683772161603E-13</v>
      </c>
      <c r="BE174" s="14">
        <f>BD174*VLOOKUP('Données projet'!$B$11,Paramètres!$A$1:$I$89,3,0)*VLOOKUP('Données projet'!$B$11,Paramètres!$A$1:$I$89,5,0)</f>
        <v>1.0286385077051818E-13</v>
      </c>
      <c r="BF174" s="14">
        <f t="shared" si="167"/>
        <v>1.5402366592183556E-12</v>
      </c>
      <c r="BG174" s="22">
        <f t="shared" si="168"/>
        <v>2.8617333882306215E-12</v>
      </c>
      <c r="BH174" s="62">
        <f t="shared" si="116"/>
        <v>293.33333333333616</v>
      </c>
      <c r="BI174" s="62">
        <f ca="1">AVERAGE(OFFSET($BH$3,0,0,'Données projet'!$E$11+1,1))-AVERAGE(OFFSET($H$3,0,0,'Données projet'!$E$11+1,1))</f>
        <v>278.41778972502732</v>
      </c>
      <c r="BJ174" s="62">
        <f t="shared" si="146"/>
        <v>157.75772798974242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0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96.14799999999974</v>
      </c>
      <c r="D175" s="12">
        <f t="shared" si="140"/>
        <v>26.042224232404703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943.22278354838511</v>
      </c>
      <c r="H175" s="70">
        <f t="shared" si="110"/>
        <v>506.14797387143773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-1.1368683772161603E-13</v>
      </c>
      <c r="O175" s="14">
        <f>N175*VLOOKUP('Données projet'!$B$9,Paramètres!$A$1:$I$89,3,0)*VLOOKUP('Données projet'!$B$9,Paramètres!$A$1:$I$89,5,0)</f>
        <v>-5.3205440053716299E-14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302.30714066618623</v>
      </c>
      <c r="T175" s="62">
        <f t="shared" si="142"/>
        <v>218.81984836501334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-1.7053025658242404E-13</v>
      </c>
      <c r="AJ175" s="14">
        <f>AI175*VLOOKUP('Données projet'!$B$10,Paramètres!$A$1:$I$89,3,0)*VLOOKUP('Données projet'!$B$10,Paramètres!$A$1:$I$89,5,0)</f>
        <v>-1.0197709343628959E-13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150.05970318721711</v>
      </c>
      <c r="AO175" s="62">
        <f t="shared" si="144"/>
        <v>230.8269864623847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9.3341021157365223</v>
      </c>
      <c r="AV175" s="23">
        <f>EXP(-LN(2)/25)*AV174+(1-EXP(-LN(2)/25))/(LN(2)/25)*Calculateur!AQ175*Calculateur!AS175*VLOOKUP('Données projet'!$B$10,Paramètres!$A$1:$I$89,3,0)*0.475*44/12</f>
        <v>9.7790672632456166E-2</v>
      </c>
      <c r="AW175" s="23">
        <f>EXP(-LN(2)/2)*AW174+(1-EXP(-LN(2)/2))/(LN(2)/2)*AQ175*AT175*VLOOKUP('Données projet'!$B$10,Paramètres!$A$1:$I$89,3,0)*0.475*44/12</f>
        <v>1.7361099350039904E-17</v>
      </c>
      <c r="AX175" s="23">
        <f t="shared" si="166"/>
        <v>9.4318927883689785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1.1368683772161603E-13</v>
      </c>
      <c r="BE175" s="14">
        <f>BD175*VLOOKUP('Données projet'!$B$11,Paramètres!$A$1:$I$89,3,0)*VLOOKUP('Données projet'!$B$11,Paramètres!$A$1:$I$89,5,0)</f>
        <v>1.0286385077051818E-13</v>
      </c>
      <c r="BF175" s="14">
        <f t="shared" si="167"/>
        <v>1.5402366592183556E-12</v>
      </c>
      <c r="BG175" s="22">
        <f t="shared" si="168"/>
        <v>2.8617333882306215E-12</v>
      </c>
      <c r="BH175" s="62">
        <f t="shared" si="116"/>
        <v>293.33333333333616</v>
      </c>
      <c r="BI175" s="62">
        <f ca="1">AVERAGE(OFFSET($BH$3,0,0,'Données projet'!$E$11+1,1))-AVERAGE(OFFSET($H$3,0,0,'Données projet'!$E$11+1,1))</f>
        <v>278.41778972502732</v>
      </c>
      <c r="BJ175" s="62">
        <f t="shared" si="146"/>
        <v>157.75772798974242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0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96.706999999999738</v>
      </c>
      <c r="D176" s="12">
        <f t="shared" si="140"/>
        <v>26.175963417733936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948.57024392636515</v>
      </c>
      <c r="H176" s="70">
        <f t="shared" si="110"/>
        <v>507.35449461921945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-1.1368683772161603E-13</v>
      </c>
      <c r="O176" s="14">
        <f>N176*VLOOKUP('Données projet'!$B$9,Paramètres!$A$1:$I$89,3,0)*VLOOKUP('Données projet'!$B$9,Paramètres!$A$1:$I$89,5,0)</f>
        <v>-5.3205440053716299E-14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302.30714066618623</v>
      </c>
      <c r="T176" s="62">
        <f t="shared" si="142"/>
        <v>218.81984836501334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-1.7053025658242404E-13</v>
      </c>
      <c r="AJ176" s="14">
        <f>AI176*VLOOKUP('Données projet'!$B$10,Paramètres!$A$1:$I$89,3,0)*VLOOKUP('Données projet'!$B$10,Paramètres!$A$1:$I$89,5,0)</f>
        <v>-1.0197709343628959E-13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150.05970318721711</v>
      </c>
      <c r="AO176" s="62">
        <f t="shared" si="144"/>
        <v>230.8269864623847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9.1510660664870596</v>
      </c>
      <c r="AV176" s="23">
        <f>EXP(-LN(2)/25)*AV175+(1-EXP(-LN(2)/25))/(LN(2)/25)*Calculateur!AQ176*Calculateur!AS176*VLOOKUP('Données projet'!$B$10,Paramètres!$A$1:$I$89,3,0)*0.475*44/12</f>
        <v>9.5116581546733678E-2</v>
      </c>
      <c r="AW176" s="23">
        <f>EXP(-LN(2)/2)*AW175+(1-EXP(-LN(2)/2))/(LN(2)/2)*AQ176*AT176*VLOOKUP('Données projet'!$B$10,Paramètres!$A$1:$I$89,3,0)*0.475*44/12</f>
        <v>1.2276151079266579E-17</v>
      </c>
      <c r="AX176" s="23">
        <f t="shared" si="166"/>
        <v>9.246182648033793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1.1368683772161603E-13</v>
      </c>
      <c r="BE176" s="14">
        <f>BD176*VLOOKUP('Données projet'!$B$11,Paramètres!$A$1:$I$89,3,0)*VLOOKUP('Données projet'!$B$11,Paramètres!$A$1:$I$89,5,0)</f>
        <v>1.0286385077051818E-13</v>
      </c>
      <c r="BF176" s="14">
        <f t="shared" si="167"/>
        <v>1.5402366592183556E-12</v>
      </c>
      <c r="BG176" s="22">
        <f t="shared" si="168"/>
        <v>2.8617333882306215E-12</v>
      </c>
      <c r="BH176" s="62">
        <f t="shared" si="116"/>
        <v>293.33333333333616</v>
      </c>
      <c r="BI176" s="62">
        <f ca="1">AVERAGE(OFFSET($BH$3,0,0,'Données projet'!$E$11+1,1))-AVERAGE(OFFSET($H$3,0,0,'Données projet'!$E$11+1,1))</f>
        <v>278.41778972502732</v>
      </c>
      <c r="BJ176" s="62">
        <f t="shared" si="146"/>
        <v>157.75772798974242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0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97.265999999999735</v>
      </c>
      <c r="D177" s="12">
        <f t="shared" si="140"/>
        <v>26.30961264874556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953.91700992013909</v>
      </c>
      <c r="H177" s="70">
        <f t="shared" si="110"/>
        <v>508.56085869656471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-1.1368683772161603E-13</v>
      </c>
      <c r="O177" s="14">
        <f>N177*VLOOKUP('Données projet'!$B$9,Paramètres!$A$1:$I$89,3,0)*VLOOKUP('Données projet'!$B$9,Paramètres!$A$1:$I$89,5,0)</f>
        <v>-5.3205440053716299E-14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302.30714066618623</v>
      </c>
      <c r="T177" s="62">
        <f t="shared" si="142"/>
        <v>218.81984836501334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-1.7053025658242404E-13</v>
      </c>
      <c r="AJ177" s="14">
        <f>AI177*VLOOKUP('Données projet'!$B$10,Paramètres!$A$1:$I$89,3,0)*VLOOKUP('Données projet'!$B$10,Paramètres!$A$1:$I$89,5,0)</f>
        <v>-1.0197709343628959E-13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150.05970318721711</v>
      </c>
      <c r="AO177" s="62">
        <f t="shared" si="144"/>
        <v>230.8269864623847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8.9716192425224115</v>
      </c>
      <c r="AV177" s="23">
        <f>EXP(-LN(2)/25)*AV176+(1-EXP(-LN(2)/25))/(LN(2)/25)*Calculateur!AQ177*Calculateur!AS177*VLOOKUP('Données projet'!$B$10,Paramètres!$A$1:$I$89,3,0)*0.475*44/12</f>
        <v>9.2515613622374621E-2</v>
      </c>
      <c r="AW177" s="23">
        <f>EXP(-LN(2)/2)*AW176+(1-EXP(-LN(2)/2))/(LN(2)/2)*AQ177*AT177*VLOOKUP('Données projet'!$B$10,Paramètres!$A$1:$I$89,3,0)*0.475*44/12</f>
        <v>8.6805496750199521E-18</v>
      </c>
      <c r="AX177" s="23">
        <f t="shared" si="166"/>
        <v>9.0641348561447863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1.1368683772161603E-13</v>
      </c>
      <c r="BE177" s="14">
        <f>BD177*VLOOKUP('Données projet'!$B$11,Paramètres!$A$1:$I$89,3,0)*VLOOKUP('Données projet'!$B$11,Paramètres!$A$1:$I$89,5,0)</f>
        <v>1.0286385077051818E-13</v>
      </c>
      <c r="BF177" s="14">
        <f t="shared" si="167"/>
        <v>1.5402366592183556E-12</v>
      </c>
      <c r="BG177" s="22">
        <f t="shared" si="168"/>
        <v>2.8617333882306215E-12</v>
      </c>
      <c r="BH177" s="62">
        <f t="shared" si="116"/>
        <v>293.33333333333616</v>
      </c>
      <c r="BI177" s="62">
        <f ca="1">AVERAGE(OFFSET($BH$3,0,0,'Données projet'!$E$11+1,1))-AVERAGE(OFFSET($H$3,0,0,'Données projet'!$E$11+1,1))</f>
        <v>278.41778972502732</v>
      </c>
      <c r="BJ177" s="62">
        <f t="shared" si="146"/>
        <v>157.75772798974242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0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97.824999999999733</v>
      </c>
      <c r="D178" s="12">
        <f t="shared" si="140"/>
        <v>26.443172502408078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959.26308598349897</v>
      </c>
      <c r="H178" s="70">
        <f t="shared" si="110"/>
        <v>509.76706710836027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-1.1368683772161603E-13</v>
      </c>
      <c r="O178" s="14">
        <f>N178*VLOOKUP('Données projet'!$B$9,Paramètres!$A$1:$I$89,3,0)*VLOOKUP('Données projet'!$B$9,Paramètres!$A$1:$I$89,5,0)</f>
        <v>-5.3205440053716299E-14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302.30714066618623</v>
      </c>
      <c r="T178" s="62">
        <f t="shared" si="142"/>
        <v>218.81984836501334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-1.7053025658242404E-13</v>
      </c>
      <c r="AJ178" s="14">
        <f>AI178*VLOOKUP('Données projet'!$B$10,Paramètres!$A$1:$I$89,3,0)*VLOOKUP('Données projet'!$B$10,Paramètres!$A$1:$I$89,5,0)</f>
        <v>-1.0197709343628959E-13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150.05970318721711</v>
      </c>
      <c r="AO178" s="62">
        <f t="shared" si="144"/>
        <v>230.8269864623847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8.795691261323956</v>
      </c>
      <c r="AV178" s="23">
        <f>EXP(-LN(2)/25)*AV177+(1-EXP(-LN(2)/25))/(LN(2)/25)*Calculateur!AQ178*Calculateur!AS178*VLOOKUP('Données projet'!$B$10,Paramètres!$A$1:$I$89,3,0)*0.475*44/12</f>
        <v>8.9985769302686119E-2</v>
      </c>
      <c r="AW178" s="23">
        <f>EXP(-LN(2)/2)*AW177+(1-EXP(-LN(2)/2))/(LN(2)/2)*AQ178*AT178*VLOOKUP('Données projet'!$B$10,Paramètres!$A$1:$I$89,3,0)*0.475*44/12</f>
        <v>6.1380755396332895E-18</v>
      </c>
      <c r="AX178" s="23">
        <f t="shared" si="166"/>
        <v>8.8856770306266419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1.1368683772161603E-13</v>
      </c>
      <c r="BE178" s="14">
        <f>BD178*VLOOKUP('Données projet'!$B$11,Paramètres!$A$1:$I$89,3,0)*VLOOKUP('Données projet'!$B$11,Paramètres!$A$1:$I$89,5,0)</f>
        <v>1.0286385077051818E-13</v>
      </c>
      <c r="BF178" s="14">
        <f t="shared" si="167"/>
        <v>1.5402366592183556E-12</v>
      </c>
      <c r="BG178" s="22">
        <f t="shared" si="168"/>
        <v>2.8617333882306215E-12</v>
      </c>
      <c r="BH178" s="62">
        <f t="shared" si="116"/>
        <v>293.33333333333616</v>
      </c>
      <c r="BI178" s="62">
        <f ca="1">AVERAGE(OFFSET($BH$3,0,0,'Données projet'!$E$11+1,1))-AVERAGE(OFFSET($H$3,0,0,'Données projet'!$E$11+1,1))</f>
        <v>278.41778972502732</v>
      </c>
      <c r="BJ178" s="62">
        <f t="shared" si="146"/>
        <v>157.75772798974242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0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98.38399999999973</v>
      </c>
      <c r="D179" s="12">
        <f t="shared" si="140"/>
        <v>26.576643548714546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964.60847651639085</v>
      </c>
      <c r="H179" s="70">
        <f t="shared" si="110"/>
        <v>510.97312084734403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-1.1368683772161603E-13</v>
      </c>
      <c r="O179" s="14">
        <f>N179*VLOOKUP('Données projet'!$B$9,Paramètres!$A$1:$I$89,3,0)*VLOOKUP('Données projet'!$B$9,Paramètres!$A$1:$I$89,5,0)</f>
        <v>-5.3205440053716299E-14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302.30714066618623</v>
      </c>
      <c r="T179" s="62">
        <f t="shared" si="142"/>
        <v>218.81984836501334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-1.7053025658242404E-13</v>
      </c>
      <c r="AJ179" s="14">
        <f>AI179*VLOOKUP('Données projet'!$B$10,Paramètres!$A$1:$I$89,3,0)*VLOOKUP('Données projet'!$B$10,Paramètres!$A$1:$I$89,5,0)</f>
        <v>-1.0197709343628959E-13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150.05970318721711</v>
      </c>
      <c r="AO179" s="62">
        <f t="shared" si="144"/>
        <v>230.8269864623847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8.6232131205313287</v>
      </c>
      <c r="AV179" s="23">
        <f>EXP(-LN(2)/25)*AV178+(1-EXP(-LN(2)/25))/(LN(2)/25)*Calculateur!AQ179*Calculateur!AS179*VLOOKUP('Données projet'!$B$10,Paramètres!$A$1:$I$89,3,0)*0.475*44/12</f>
        <v>8.7525103708958218E-2</v>
      </c>
      <c r="AW179" s="23">
        <f>EXP(-LN(2)/2)*AW178+(1-EXP(-LN(2)/2))/(LN(2)/2)*AQ179*AT179*VLOOKUP('Données projet'!$B$10,Paramètres!$A$1:$I$89,3,0)*0.475*44/12</f>
        <v>4.340274837509976E-18</v>
      </c>
      <c r="AX179" s="23">
        <f t="shared" si="166"/>
        <v>8.7107382242402878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1.1368683772161603E-13</v>
      </c>
      <c r="BE179" s="14">
        <f>BD179*VLOOKUP('Données projet'!$B$11,Paramètres!$A$1:$I$89,3,0)*VLOOKUP('Données projet'!$B$11,Paramètres!$A$1:$I$89,5,0)</f>
        <v>1.0286385077051818E-13</v>
      </c>
      <c r="BF179" s="14">
        <f t="shared" si="167"/>
        <v>1.5402366592183556E-12</v>
      </c>
      <c r="BG179" s="22">
        <f t="shared" si="168"/>
        <v>2.8617333882306215E-12</v>
      </c>
      <c r="BH179" s="62">
        <f t="shared" si="116"/>
        <v>293.33333333333616</v>
      </c>
      <c r="BI179" s="62">
        <f ca="1">AVERAGE(OFFSET($BH$3,0,0,'Données projet'!$E$11+1,1))-AVERAGE(OFFSET($H$3,0,0,'Données projet'!$E$11+1,1))</f>
        <v>278.41778972502732</v>
      </c>
      <c r="BJ179" s="62">
        <f t="shared" si="146"/>
        <v>157.75772798974242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0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98.942999999999728</v>
      </c>
      <c r="D180" s="12">
        <f t="shared" si="140"/>
        <v>26.71002635080605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969.95318586586916</v>
      </c>
      <c r="H180" s="70">
        <f t="shared" si="110"/>
        <v>512.17902089432005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-1.1368683772161603E-13</v>
      </c>
      <c r="O180" s="14">
        <f>N180*VLOOKUP('Données projet'!$B$9,Paramètres!$A$1:$I$89,3,0)*VLOOKUP('Données projet'!$B$9,Paramètres!$A$1:$I$89,5,0)</f>
        <v>-5.3205440053716299E-14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302.30714066618623</v>
      </c>
      <c r="T180" s="62">
        <f t="shared" si="142"/>
        <v>218.81984836501334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-1.7053025658242404E-13</v>
      </c>
      <c r="AJ180" s="14">
        <f>AI180*VLOOKUP('Données projet'!$B$10,Paramètres!$A$1:$I$89,3,0)*VLOOKUP('Données projet'!$B$10,Paramètres!$A$1:$I$89,5,0)</f>
        <v>-1.0197709343628959E-13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150.05970318721711</v>
      </c>
      <c r="AO180" s="62">
        <f t="shared" si="144"/>
        <v>230.8269864623847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8.4541171708783658</v>
      </c>
      <c r="AV180" s="23">
        <f>EXP(-LN(2)/25)*AV179+(1-EXP(-LN(2)/25))/(LN(2)/25)*Calculateur!AQ180*Calculateur!AS180*VLOOKUP('Données projet'!$B$10,Paramètres!$A$1:$I$89,3,0)*0.475*44/12</f>
        <v>8.513172514529159E-2</v>
      </c>
      <c r="AW180" s="23">
        <f>EXP(-LN(2)/2)*AW179+(1-EXP(-LN(2)/2))/(LN(2)/2)*AQ180*AT180*VLOOKUP('Données projet'!$B$10,Paramètres!$A$1:$I$89,3,0)*0.475*44/12</f>
        <v>3.0690377698166448E-18</v>
      </c>
      <c r="AX180" s="23">
        <f t="shared" si="166"/>
        <v>8.5392488960236577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1.1368683772161603E-13</v>
      </c>
      <c r="BE180" s="14">
        <f>BD180*VLOOKUP('Données projet'!$B$11,Paramètres!$A$1:$I$89,3,0)*VLOOKUP('Données projet'!$B$11,Paramètres!$A$1:$I$89,5,0)</f>
        <v>1.0286385077051818E-13</v>
      </c>
      <c r="BF180" s="14">
        <f t="shared" si="167"/>
        <v>1.5402366592183556E-12</v>
      </c>
      <c r="BG180" s="22">
        <f t="shared" si="168"/>
        <v>2.8617333882306215E-12</v>
      </c>
      <c r="BH180" s="62">
        <f t="shared" si="116"/>
        <v>293.33333333333616</v>
      </c>
      <c r="BI180" s="62">
        <f ca="1">AVERAGE(OFFSET($BH$3,0,0,'Données projet'!$E$11+1,1))-AVERAGE(OFFSET($H$3,0,0,'Données projet'!$E$11+1,1))</f>
        <v>278.41778972502732</v>
      </c>
      <c r="BJ180" s="62">
        <f t="shared" si="146"/>
        <v>157.75772798974242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0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99.501999999999725</v>
      </c>
      <c r="D181" s="12">
        <f t="shared" si="140"/>
        <v>26.843321465092171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975.29721832702523</v>
      </c>
      <c r="H181" s="70">
        <f t="shared" si="110"/>
        <v>513.38476821836844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-1.1368683772161603E-13</v>
      </c>
      <c r="O181" s="14">
        <f>N181*VLOOKUP('Données projet'!$B$9,Paramètres!$A$1:$I$89,3,0)*VLOOKUP('Données projet'!$B$9,Paramètres!$A$1:$I$89,5,0)</f>
        <v>-5.3205440053716299E-14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302.30714066618623</v>
      </c>
      <c r="T181" s="62">
        <f t="shared" si="142"/>
        <v>218.81984836501334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-1.7053025658242404E-13</v>
      </c>
      <c r="AJ181" s="14">
        <f>AI181*VLOOKUP('Données projet'!$B$10,Paramètres!$A$1:$I$89,3,0)*VLOOKUP('Données projet'!$B$10,Paramètres!$A$1:$I$89,5,0)</f>
        <v>-1.0197709343628959E-13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150.05970318721711</v>
      </c>
      <c r="AO181" s="62">
        <f t="shared" si="144"/>
        <v>230.8269864623847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8.2883370896597537</v>
      </c>
      <c r="AV181" s="23">
        <f>EXP(-LN(2)/25)*AV180+(1-EXP(-LN(2)/25))/(LN(2)/25)*Calculateur!AQ181*Calculateur!AS181*VLOOKUP('Données projet'!$B$10,Paramètres!$A$1:$I$89,3,0)*0.475*44/12</f>
        <v>8.280379364431073E-2</v>
      </c>
      <c r="AW181" s="23">
        <f>EXP(-LN(2)/2)*AW180+(1-EXP(-LN(2)/2))/(LN(2)/2)*AQ181*AT181*VLOOKUP('Données projet'!$B$10,Paramètres!$A$1:$I$89,3,0)*0.475*44/12</f>
        <v>2.170137418754988E-18</v>
      </c>
      <c r="AX181" s="23">
        <f t="shared" si="166"/>
        <v>8.371140883304065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1.1368683772161603E-13</v>
      </c>
      <c r="BE181" s="14">
        <f>BD181*VLOOKUP('Données projet'!$B$11,Paramètres!$A$1:$I$89,3,0)*VLOOKUP('Données projet'!$B$11,Paramètres!$A$1:$I$89,5,0)</f>
        <v>1.0286385077051818E-13</v>
      </c>
      <c r="BF181" s="14">
        <f t="shared" si="167"/>
        <v>1.5402366592183556E-12</v>
      </c>
      <c r="BG181" s="22">
        <f t="shared" si="168"/>
        <v>2.8617333882306215E-12</v>
      </c>
      <c r="BH181" s="62">
        <f t="shared" si="116"/>
        <v>293.33333333333616</v>
      </c>
      <c r="BI181" s="62">
        <f ca="1">AVERAGE(OFFSET($BH$3,0,0,'Données projet'!$E$11+1,1))-AVERAGE(OFFSET($H$3,0,0,'Données projet'!$E$11+1,1))</f>
        <v>278.41778972502732</v>
      </c>
      <c r="BJ181" s="62">
        <f t="shared" si="146"/>
        <v>157.75772798974242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0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100.06099999999972</v>
      </c>
      <c r="D182" s="12">
        <f t="shared" si="140"/>
        <v>26.976529441368999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980.64057814389889</v>
      </c>
      <c r="H182" s="70">
        <f t="shared" si="110"/>
        <v>514.59036377705047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-1.1368683772161603E-13</v>
      </c>
      <c r="O182" s="14">
        <f>N182*VLOOKUP('Données projet'!$B$9,Paramètres!$A$1:$I$89,3,0)*VLOOKUP('Données projet'!$B$9,Paramètres!$A$1:$I$89,5,0)</f>
        <v>-5.3205440053716299E-14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302.30714066618623</v>
      </c>
      <c r="T182" s="62">
        <f t="shared" si="142"/>
        <v>218.81984836501334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-1.7053025658242404E-13</v>
      </c>
      <c r="AJ182" s="14">
        <f>AI182*VLOOKUP('Données projet'!$B$10,Paramètres!$A$1:$I$89,3,0)*VLOOKUP('Données projet'!$B$10,Paramètres!$A$1:$I$89,5,0)</f>
        <v>-1.0197709343628959E-13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150.05970318721711</v>
      </c>
      <c r="AO182" s="62">
        <f t="shared" si="144"/>
        <v>230.8269864623847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8.1258078547179728</v>
      </c>
      <c r="AV182" s="23">
        <f>EXP(-LN(2)/25)*AV181+(1-EXP(-LN(2)/25))/(LN(2)/25)*Calculateur!AQ182*Calculateur!AS182*VLOOKUP('Données projet'!$B$10,Paramètres!$A$1:$I$89,3,0)*0.475*44/12</f>
        <v>8.0539519552644795E-2</v>
      </c>
      <c r="AW182" s="23">
        <f>EXP(-LN(2)/2)*AW181+(1-EXP(-LN(2)/2))/(LN(2)/2)*AQ182*AT182*VLOOKUP('Données projet'!$B$10,Paramètres!$A$1:$I$89,3,0)*0.475*44/12</f>
        <v>1.5345188849083224E-18</v>
      </c>
      <c r="AX182" s="23">
        <f t="shared" si="166"/>
        <v>8.2063473742706172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1.1368683772161603E-13</v>
      </c>
      <c r="BE182" s="14">
        <f>BD182*VLOOKUP('Données projet'!$B$11,Paramètres!$A$1:$I$89,3,0)*VLOOKUP('Données projet'!$B$11,Paramètres!$A$1:$I$89,5,0)</f>
        <v>1.0286385077051818E-13</v>
      </c>
      <c r="BF182" s="14">
        <f t="shared" si="167"/>
        <v>1.5402366592183556E-12</v>
      </c>
      <c r="BG182" s="22">
        <f t="shared" si="168"/>
        <v>2.8617333882306215E-12</v>
      </c>
      <c r="BH182" s="62">
        <f t="shared" si="116"/>
        <v>293.33333333333616</v>
      </c>
      <c r="BI182" s="62">
        <f ca="1">AVERAGE(OFFSET($BH$3,0,0,'Données projet'!$E$11+1,1))-AVERAGE(OFFSET($H$3,0,0,'Données projet'!$E$11+1,1))</f>
        <v>278.41778972502732</v>
      </c>
      <c r="BJ182" s="62">
        <f t="shared" si="146"/>
        <v>157.75772798974242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0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100.61999999999972</v>
      </c>
      <c r="D183" s="12">
        <f t="shared" si="140"/>
        <v>27.109650822934078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985.98326951036631</v>
      </c>
      <c r="H183" s="70">
        <f t="shared" si="110"/>
        <v>515.79580851660967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-1.1368683772161603E-13</v>
      </c>
      <c r="O183" s="14">
        <f>N183*VLOOKUP('Données projet'!$B$9,Paramètres!$A$1:$I$89,3,0)*VLOOKUP('Données projet'!$B$9,Paramètres!$A$1:$I$89,5,0)</f>
        <v>-5.3205440053716299E-14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302.30714066618623</v>
      </c>
      <c r="T183" s="62">
        <f t="shared" si="142"/>
        <v>218.81984836501334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-1.7053025658242404E-13</v>
      </c>
      <c r="AJ183" s="14">
        <f>AI183*VLOOKUP('Données projet'!$B$10,Paramètres!$A$1:$I$89,3,0)*VLOOKUP('Données projet'!$B$10,Paramètres!$A$1:$I$89,5,0)</f>
        <v>-1.0197709343628959E-13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150.05970318721711</v>
      </c>
      <c r="AO183" s="62">
        <f t="shared" si="144"/>
        <v>230.8269864623847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7.9664657189403556</v>
      </c>
      <c r="AV183" s="23">
        <f>EXP(-LN(2)/25)*AV182+(1-EXP(-LN(2)/25))/(LN(2)/25)*Calculateur!AQ183*Calculateur!AS183*VLOOKUP('Données projet'!$B$10,Paramètres!$A$1:$I$89,3,0)*0.475*44/12</f>
        <v>7.8337162155088472E-2</v>
      </c>
      <c r="AW183" s="23">
        <f>EXP(-LN(2)/2)*AW182+(1-EXP(-LN(2)/2))/(LN(2)/2)*AQ183*AT183*VLOOKUP('Données projet'!$B$10,Paramètres!$A$1:$I$89,3,0)*0.475*44/12</f>
        <v>1.085068709377494E-18</v>
      </c>
      <c r="AX183" s="23">
        <f t="shared" si="166"/>
        <v>8.0448028810954444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1.1368683772161603E-13</v>
      </c>
      <c r="BE183" s="14">
        <f>BD183*VLOOKUP('Données projet'!$B$11,Paramètres!$A$1:$I$89,3,0)*VLOOKUP('Données projet'!$B$11,Paramètres!$A$1:$I$89,5,0)</f>
        <v>1.0286385077051818E-13</v>
      </c>
      <c r="BF183" s="14">
        <f t="shared" si="167"/>
        <v>1.5402366592183556E-12</v>
      </c>
      <c r="BG183" s="22">
        <f t="shared" si="168"/>
        <v>2.8617333882306215E-12</v>
      </c>
      <c r="BH183" s="62">
        <f t="shared" si="116"/>
        <v>293.33333333333616</v>
      </c>
      <c r="BI183" s="62">
        <f ca="1">AVERAGE(OFFSET($BH$3,0,0,'Données projet'!$E$11+1,1))-AVERAGE(OFFSET($H$3,0,0,'Données projet'!$E$11+1,1))</f>
        <v>278.41778972502732</v>
      </c>
      <c r="BJ183" s="62">
        <f t="shared" si="146"/>
        <v>157.75772798974242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0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101.17899999999972</v>
      </c>
      <c r="D184" s="12">
        <f t="shared" si="140"/>
        <v>27.242686146698961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991.32529657100747</v>
      </c>
      <c r="H184" s="70">
        <f t="shared" si="110"/>
        <v>517.00110337216688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-1.1368683772161603E-13</v>
      </c>
      <c r="O184" s="14">
        <f>N184*VLOOKUP('Données projet'!$B$9,Paramètres!$A$1:$I$89,3,0)*VLOOKUP('Données projet'!$B$9,Paramètres!$A$1:$I$89,5,0)</f>
        <v>-5.3205440053716299E-14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302.30714066618623</v>
      </c>
      <c r="T184" s="62">
        <f t="shared" si="142"/>
        <v>218.81984836501334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-1.7053025658242404E-13</v>
      </c>
      <c r="AJ184" s="14">
        <f>AI184*VLOOKUP('Données projet'!$B$10,Paramètres!$A$1:$I$89,3,0)*VLOOKUP('Données projet'!$B$10,Paramètres!$A$1:$I$89,5,0)</f>
        <v>-1.0197709343628959E-13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150.05970318721711</v>
      </c>
      <c r="AO184" s="62">
        <f t="shared" si="144"/>
        <v>230.8269864623847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7.8102481852562313</v>
      </c>
      <c r="AV184" s="23">
        <f>EXP(-LN(2)/25)*AV183+(1-EXP(-LN(2)/25))/(LN(2)/25)*Calculateur!AQ184*Calculateur!AS184*VLOOKUP('Données projet'!$B$10,Paramètres!$A$1:$I$89,3,0)*0.475*44/12</f>
        <v>7.6195028336385265E-2</v>
      </c>
      <c r="AW184" s="23">
        <f>EXP(-LN(2)/2)*AW183+(1-EXP(-LN(2)/2))/(LN(2)/2)*AQ184*AT184*VLOOKUP('Données projet'!$B$10,Paramètres!$A$1:$I$89,3,0)*0.475*44/12</f>
        <v>7.6725944245416119E-19</v>
      </c>
      <c r="AX184" s="23">
        <f t="shared" si="166"/>
        <v>7.8864432135926164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1.1368683772161603E-13</v>
      </c>
      <c r="BE184" s="14">
        <f>BD184*VLOOKUP('Données projet'!$B$11,Paramètres!$A$1:$I$89,3,0)*VLOOKUP('Données projet'!$B$11,Paramètres!$A$1:$I$89,5,0)</f>
        <v>1.0286385077051818E-13</v>
      </c>
      <c r="BF184" s="14">
        <f t="shared" si="167"/>
        <v>1.5402366592183556E-12</v>
      </c>
      <c r="BG184" s="22">
        <f t="shared" si="168"/>
        <v>2.8617333882306215E-12</v>
      </c>
      <c r="BH184" s="62">
        <f t="shared" si="116"/>
        <v>293.33333333333616</v>
      </c>
      <c r="BI184" s="62">
        <f ca="1">AVERAGE(OFFSET($BH$3,0,0,'Données projet'!$E$11+1,1))-AVERAGE(OFFSET($H$3,0,0,'Données projet'!$E$11+1,1))</f>
        <v>278.41778972502732</v>
      </c>
      <c r="BJ184" s="62">
        <f t="shared" si="146"/>
        <v>157.75772798974242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0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101.73799999999972</v>
      </c>
      <c r="D185" s="12">
        <f t="shared" si="140"/>
        <v>27.37563594329918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996.66666342195651</v>
      </c>
      <c r="H185" s="70">
        <f t="shared" si="110"/>
        <v>518.2062492679122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-1.1368683772161603E-13</v>
      </c>
      <c r="O185" s="14">
        <f>N185*VLOOKUP('Données projet'!$B$9,Paramètres!$A$1:$I$89,3,0)*VLOOKUP('Données projet'!$B$9,Paramètres!$A$1:$I$89,5,0)</f>
        <v>-5.3205440053716299E-14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302.30714066618623</v>
      </c>
      <c r="T185" s="62">
        <f t="shared" si="142"/>
        <v>218.81984836501334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-1.7053025658242404E-13</v>
      </c>
      <c r="AJ185" s="14">
        <f>AI185*VLOOKUP('Données projet'!$B$10,Paramètres!$A$1:$I$89,3,0)*VLOOKUP('Données projet'!$B$10,Paramètres!$A$1:$I$89,5,0)</f>
        <v>-1.0197709343628959E-13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150.05970318721711</v>
      </c>
      <c r="AO185" s="62">
        <f t="shared" si="144"/>
        <v>230.8269864623847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7.6570939821243655</v>
      </c>
      <c r="AV185" s="23">
        <f>EXP(-LN(2)/25)*AV184+(1-EXP(-LN(2)/25))/(LN(2)/25)*Calculateur!AQ185*Calculateur!AS185*VLOOKUP('Données projet'!$B$10,Paramètres!$A$1:$I$89,3,0)*0.475*44/12</f>
        <v>7.4111471279604421E-2</v>
      </c>
      <c r="AW185" s="23">
        <f>EXP(-LN(2)/2)*AW184+(1-EXP(-LN(2)/2))/(LN(2)/2)*AQ185*AT185*VLOOKUP('Données projet'!$B$10,Paramètres!$A$1:$I$89,3,0)*0.475*44/12</f>
        <v>5.42534354688747E-19</v>
      </c>
      <c r="AX185" s="23">
        <f t="shared" si="166"/>
        <v>7.7312054534039696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1.1368683772161603E-13</v>
      </c>
      <c r="BE185" s="14">
        <f>BD185*VLOOKUP('Données projet'!$B$11,Paramètres!$A$1:$I$89,3,0)*VLOOKUP('Données projet'!$B$11,Paramètres!$A$1:$I$89,5,0)</f>
        <v>1.0286385077051818E-13</v>
      </c>
      <c r="BF185" s="14">
        <f t="shared" si="167"/>
        <v>1.5402366592183556E-12</v>
      </c>
      <c r="BG185" s="22">
        <f t="shared" si="168"/>
        <v>2.8617333882306215E-12</v>
      </c>
      <c r="BH185" s="62">
        <f t="shared" si="116"/>
        <v>293.33333333333616</v>
      </c>
      <c r="BI185" s="62">
        <f ca="1">AVERAGE(OFFSET($BH$3,0,0,'Données projet'!$E$11+1,1))-AVERAGE(OFFSET($H$3,0,0,'Données projet'!$E$11+1,1))</f>
        <v>278.41778972502732</v>
      </c>
      <c r="BJ185" s="62">
        <f t="shared" si="146"/>
        <v>157.75772798974242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0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102.29699999999971</v>
      </c>
      <c r="D186" s="12">
        <f t="shared" si="140"/>
        <v>27.508500737201498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1002.0073741117286</v>
      </c>
      <c r="H186" s="70">
        <f t="shared" si="110"/>
        <v>519.41124711729208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-1.1368683772161603E-13</v>
      </c>
      <c r="O186" s="14">
        <f>N186*VLOOKUP('Données projet'!$B$9,Paramètres!$A$1:$I$89,3,0)*VLOOKUP('Données projet'!$B$9,Paramètres!$A$1:$I$89,5,0)</f>
        <v>-5.3205440053716299E-14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302.30714066618623</v>
      </c>
      <c r="T186" s="62">
        <f t="shared" si="142"/>
        <v>218.81984836501334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-1.7053025658242404E-13</v>
      </c>
      <c r="AJ186" s="14">
        <f>AI186*VLOOKUP('Données projet'!$B$10,Paramètres!$A$1:$I$89,3,0)*VLOOKUP('Données projet'!$B$10,Paramètres!$A$1:$I$89,5,0)</f>
        <v>-1.0197709343628959E-13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150.05970318721711</v>
      </c>
      <c r="AO186" s="62">
        <f t="shared" si="144"/>
        <v>230.8269864623847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7.5069430395010759</v>
      </c>
      <c r="AV186" s="23">
        <f>EXP(-LN(2)/25)*AV185+(1-EXP(-LN(2)/25))/(LN(2)/25)*Calculateur!AQ186*Calculateur!AS186*VLOOKUP('Données projet'!$B$10,Paramètres!$A$1:$I$89,3,0)*0.475*44/12</f>
        <v>7.2084889200110747E-2</v>
      </c>
      <c r="AW186" s="23">
        <f>EXP(-LN(2)/2)*AW185+(1-EXP(-LN(2)/2))/(LN(2)/2)*AQ186*AT186*VLOOKUP('Données projet'!$B$10,Paramètres!$A$1:$I$89,3,0)*0.475*44/12</f>
        <v>3.8362972122708059E-19</v>
      </c>
      <c r="AX186" s="23">
        <f t="shared" si="166"/>
        <v>7.579027928701187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1.1368683772161603E-13</v>
      </c>
      <c r="BE186" s="14">
        <f>BD186*VLOOKUP('Données projet'!$B$11,Paramètres!$A$1:$I$89,3,0)*VLOOKUP('Données projet'!$B$11,Paramètres!$A$1:$I$89,5,0)</f>
        <v>1.0286385077051818E-13</v>
      </c>
      <c r="BF186" s="14">
        <f t="shared" si="167"/>
        <v>1.5402366592183556E-12</v>
      </c>
      <c r="BG186" s="22">
        <f t="shared" si="168"/>
        <v>2.8617333882306215E-12</v>
      </c>
      <c r="BH186" s="62">
        <f t="shared" si="116"/>
        <v>293.33333333333616</v>
      </c>
      <c r="BI186" s="62">
        <f ca="1">AVERAGE(OFFSET($BH$3,0,0,'Données projet'!$E$11+1,1))-AVERAGE(OFFSET($H$3,0,0,'Données projet'!$E$11+1,1))</f>
        <v>278.41778972502732</v>
      </c>
      <c r="BJ186" s="62">
        <f t="shared" si="146"/>
        <v>157.75772798974242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0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102.85599999999971</v>
      </c>
      <c r="D187" s="12">
        <f t="shared" si="140"/>
        <v>27.641281046809159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1007.3474326420334</v>
      </c>
      <c r="H187" s="70">
        <f t="shared" si="110"/>
        <v>520.61609782319215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-1.1368683772161603E-13</v>
      </c>
      <c r="O187" s="14">
        <f>N187*VLOOKUP('Données projet'!$B$9,Paramètres!$A$1:$I$89,3,0)*VLOOKUP('Données projet'!$B$9,Paramètres!$A$1:$I$89,5,0)</f>
        <v>-5.3205440053716299E-14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302.30714066618623</v>
      </c>
      <c r="T187" s="62">
        <f t="shared" si="142"/>
        <v>218.81984836501334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-1.7053025658242404E-13</v>
      </c>
      <c r="AJ187" s="14">
        <f>AI187*VLOOKUP('Données projet'!$B$10,Paramètres!$A$1:$I$89,3,0)*VLOOKUP('Données projet'!$B$10,Paramètres!$A$1:$I$89,5,0)</f>
        <v>-1.0197709343628959E-13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150.05970318721711</v>
      </c>
      <c r="AO187" s="62">
        <f t="shared" si="144"/>
        <v>230.8269864623847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7.3597364652795969</v>
      </c>
      <c r="AV187" s="23">
        <f>EXP(-LN(2)/25)*AV186+(1-EXP(-LN(2)/25))/(LN(2)/25)*Calculateur!AQ187*Calculateur!AS187*VLOOKUP('Données projet'!$B$10,Paramètres!$A$1:$I$89,3,0)*0.475*44/12</f>
        <v>7.0113724114154147E-2</v>
      </c>
      <c r="AW187" s="23">
        <f>EXP(-LN(2)/2)*AW186+(1-EXP(-LN(2)/2))/(LN(2)/2)*AQ187*AT187*VLOOKUP('Données projet'!$B$10,Paramètres!$A$1:$I$89,3,0)*0.475*44/12</f>
        <v>2.712671773443735E-19</v>
      </c>
      <c r="AX187" s="23">
        <f t="shared" si="166"/>
        <v>7.4298501893937514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1.1368683772161603E-13</v>
      </c>
      <c r="BE187" s="14">
        <f>BD187*VLOOKUP('Données projet'!$B$11,Paramètres!$A$1:$I$89,3,0)*VLOOKUP('Données projet'!$B$11,Paramètres!$A$1:$I$89,5,0)</f>
        <v>1.0286385077051818E-13</v>
      </c>
      <c r="BF187" s="14">
        <f t="shared" si="167"/>
        <v>1.5402366592183556E-12</v>
      </c>
      <c r="BG187" s="22">
        <f t="shared" si="168"/>
        <v>2.8617333882306215E-12</v>
      </c>
      <c r="BH187" s="62">
        <f t="shared" si="116"/>
        <v>293.33333333333616</v>
      </c>
      <c r="BI187" s="62">
        <f ca="1">AVERAGE(OFFSET($BH$3,0,0,'Données projet'!$E$11+1,1))-AVERAGE(OFFSET($H$3,0,0,'Données projet'!$E$11+1,1))</f>
        <v>278.41778972502732</v>
      </c>
      <c r="BJ187" s="62">
        <f t="shared" si="146"/>
        <v>157.75772798974242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0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103.41499999999971</v>
      </c>
      <c r="D188" s="12">
        <f t="shared" si="140"/>
        <v>27.773977384564393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1012.6868429685651</v>
      </c>
      <c r="H188" s="70">
        <f t="shared" si="110"/>
        <v>521.82080227811582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-1.1368683772161603E-13</v>
      </c>
      <c r="O188" s="14">
        <f>N188*VLOOKUP('Données projet'!$B$9,Paramètres!$A$1:$I$89,3,0)*VLOOKUP('Données projet'!$B$9,Paramètres!$A$1:$I$89,5,0)</f>
        <v>-5.3205440053716299E-14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302.30714066618623</v>
      </c>
      <c r="T188" s="62">
        <f t="shared" si="142"/>
        <v>218.81984836501334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-1.7053025658242404E-13</v>
      </c>
      <c r="AJ188" s="14">
        <f>AI188*VLOOKUP('Données projet'!$B$10,Paramètres!$A$1:$I$89,3,0)*VLOOKUP('Données projet'!$B$10,Paramètres!$A$1:$I$89,5,0)</f>
        <v>-1.0197709343628959E-13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150.05970318721711</v>
      </c>
      <c r="AO188" s="62">
        <f t="shared" si="144"/>
        <v>230.8269864623847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7.2154165221914566</v>
      </c>
      <c r="AV188" s="23">
        <f>EXP(-LN(2)/25)*AV187+(1-EXP(-LN(2)/25))/(LN(2)/25)*Calculateur!AQ188*Calculateur!AS188*VLOOKUP('Données projet'!$B$10,Paramètres!$A$1:$I$89,3,0)*0.475*44/12</f>
        <v>6.8196460641132092E-2</v>
      </c>
      <c r="AW188" s="23">
        <f>EXP(-LN(2)/2)*AW187+(1-EXP(-LN(2)/2))/(LN(2)/2)*AQ188*AT188*VLOOKUP('Données projet'!$B$10,Paramètres!$A$1:$I$89,3,0)*0.475*44/12</f>
        <v>1.918148606135403E-19</v>
      </c>
      <c r="AX188" s="23">
        <f t="shared" si="166"/>
        <v>7.2836129828325884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1.1368683772161603E-13</v>
      </c>
      <c r="BE188" s="14">
        <f>BD188*VLOOKUP('Données projet'!$B$11,Paramètres!$A$1:$I$89,3,0)*VLOOKUP('Données projet'!$B$11,Paramètres!$A$1:$I$89,5,0)</f>
        <v>1.0286385077051818E-13</v>
      </c>
      <c r="BF188" s="14">
        <f t="shared" si="167"/>
        <v>1.5402366592183556E-12</v>
      </c>
      <c r="BG188" s="22">
        <f t="shared" si="168"/>
        <v>2.8617333882306215E-12</v>
      </c>
      <c r="BH188" s="62">
        <f t="shared" si="116"/>
        <v>293.33333333333616</v>
      </c>
      <c r="BI188" s="62">
        <f ca="1">AVERAGE(OFFSET($BH$3,0,0,'Données projet'!$E$11+1,1))-AVERAGE(OFFSET($H$3,0,0,'Données projet'!$E$11+1,1))</f>
        <v>278.41778972502732</v>
      </c>
      <c r="BJ188" s="62">
        <f t="shared" si="146"/>
        <v>157.75772798974242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0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103.97399999999971</v>
      </c>
      <c r="D189" s="12">
        <f t="shared" si="140"/>
        <v>27.906590257048816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1018.025609001778</v>
      </c>
      <c r="H189" s="70">
        <f t="shared" si="110"/>
        <v>523.02536136435947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-1.1368683772161603E-13</v>
      </c>
      <c r="O189" s="14">
        <f>N189*VLOOKUP('Données projet'!$B$9,Paramètres!$A$1:$I$89,3,0)*VLOOKUP('Données projet'!$B$9,Paramètres!$A$1:$I$89,5,0)</f>
        <v>-5.3205440053716299E-14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302.30714066618623</v>
      </c>
      <c r="T189" s="62">
        <f t="shared" si="142"/>
        <v>218.81984836501334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-1.7053025658242404E-13</v>
      </c>
      <c r="AJ189" s="14">
        <f>AI189*VLOOKUP('Données projet'!$B$10,Paramètres!$A$1:$I$89,3,0)*VLOOKUP('Données projet'!$B$10,Paramètres!$A$1:$I$89,5,0)</f>
        <v>-1.0197709343628959E-13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150.05970318721711</v>
      </c>
      <c r="AO189" s="62">
        <f t="shared" si="144"/>
        <v>230.8269864623847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7.0739266051608007</v>
      </c>
      <c r="AV189" s="23">
        <f>EXP(-LN(2)/25)*AV188+(1-EXP(-LN(2)/25))/(LN(2)/25)*Calculateur!AQ189*Calculateur!AS189*VLOOKUP('Données projet'!$B$10,Paramètres!$A$1:$I$89,3,0)*0.475*44/12</f>
        <v>6.6331624838604331E-2</v>
      </c>
      <c r="AW189" s="23">
        <f>EXP(-LN(2)/2)*AW188+(1-EXP(-LN(2)/2))/(LN(2)/2)*AQ189*AT189*VLOOKUP('Données projet'!$B$10,Paramètres!$A$1:$I$89,3,0)*0.475*44/12</f>
        <v>1.3563358867218675E-19</v>
      </c>
      <c r="AX189" s="23">
        <f t="shared" si="166"/>
        <v>7.1402582299994055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1.1368683772161603E-13</v>
      </c>
      <c r="BE189" s="14">
        <f>BD189*VLOOKUP('Données projet'!$B$11,Paramètres!$A$1:$I$89,3,0)*VLOOKUP('Données projet'!$B$11,Paramètres!$A$1:$I$89,5,0)</f>
        <v>1.0286385077051818E-13</v>
      </c>
      <c r="BF189" s="14">
        <f t="shared" si="167"/>
        <v>1.5402366592183556E-12</v>
      </c>
      <c r="BG189" s="22">
        <f t="shared" si="168"/>
        <v>2.8617333882306215E-12</v>
      </c>
      <c r="BH189" s="62">
        <f t="shared" si="116"/>
        <v>293.33333333333616</v>
      </c>
      <c r="BI189" s="62">
        <f ca="1">AVERAGE(OFFSET($BH$3,0,0,'Données projet'!$E$11+1,1))-AVERAGE(OFFSET($H$3,0,0,'Données projet'!$E$11+1,1))</f>
        <v>278.41778972502732</v>
      </c>
      <c r="BJ189" s="62">
        <f t="shared" si="146"/>
        <v>157.75772798974242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0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104.5329999999997</v>
      </c>
      <c r="D190" s="12">
        <f t="shared" si="140"/>
        <v>28.039120165081656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1023.3637346076456</v>
      </c>
      <c r="H190" s="70">
        <f t="shared" si="110"/>
        <v>524.22977595418331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-1.1368683772161603E-13</v>
      </c>
      <c r="O190" s="14">
        <f>N190*VLOOKUP('Données projet'!$B$9,Paramètres!$A$1:$I$89,3,0)*VLOOKUP('Données projet'!$B$9,Paramètres!$A$1:$I$89,5,0)</f>
        <v>-5.3205440053716299E-14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302.30714066618623</v>
      </c>
      <c r="T190" s="62">
        <f t="shared" si="142"/>
        <v>218.81984836501334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-1.7053025658242404E-13</v>
      </c>
      <c r="AJ190" s="14">
        <f>AI190*VLOOKUP('Données projet'!$B$10,Paramètres!$A$1:$I$89,3,0)*VLOOKUP('Données projet'!$B$10,Paramètres!$A$1:$I$89,5,0)</f>
        <v>-1.0197709343628959E-13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150.05970318721711</v>
      </c>
      <c r="AO190" s="62">
        <f t="shared" si="144"/>
        <v>230.8269864623847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6.9352112191027881</v>
      </c>
      <c r="AV190" s="23">
        <f>EXP(-LN(2)/25)*AV189+(1-EXP(-LN(2)/25))/(LN(2)/25)*Calculateur!AQ190*Calculateur!AS190*VLOOKUP('Données projet'!$B$10,Paramètres!$A$1:$I$89,3,0)*0.475*44/12</f>
        <v>6.4517783069164142E-2</v>
      </c>
      <c r="AW190" s="23">
        <f>EXP(-LN(2)/2)*AW189+(1-EXP(-LN(2)/2))/(LN(2)/2)*AQ190*AT190*VLOOKUP('Données projet'!$B$10,Paramètres!$A$1:$I$89,3,0)*0.475*44/12</f>
        <v>9.5907430306770149E-20</v>
      </c>
      <c r="AX190" s="23">
        <f t="shared" si="166"/>
        <v>6.9997290021719527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1.1368683772161603E-13</v>
      </c>
      <c r="BE190" s="14">
        <f>BD190*VLOOKUP('Données projet'!$B$11,Paramètres!$A$1:$I$89,3,0)*VLOOKUP('Données projet'!$B$11,Paramètres!$A$1:$I$89,5,0)</f>
        <v>1.0286385077051818E-13</v>
      </c>
      <c r="BF190" s="14">
        <f t="shared" si="167"/>
        <v>1.5402366592183556E-12</v>
      </c>
      <c r="BG190" s="22">
        <f t="shared" si="168"/>
        <v>2.8617333882306215E-12</v>
      </c>
      <c r="BH190" s="62">
        <f t="shared" si="116"/>
        <v>293.33333333333616</v>
      </c>
      <c r="BI190" s="62">
        <f ca="1">AVERAGE(OFFSET($BH$3,0,0,'Données projet'!$E$11+1,1))-AVERAGE(OFFSET($H$3,0,0,'Données projet'!$E$11+1,1))</f>
        <v>278.41778972502732</v>
      </c>
      <c r="BJ190" s="62">
        <f t="shared" si="146"/>
        <v>157.75772798974242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0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105.0919999999997</v>
      </c>
      <c r="D191" s="12">
        <f t="shared" si="140"/>
        <v>28.171567603815788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1028.7012236084001</v>
      </c>
      <c r="H191" s="70">
        <f t="shared" si="110"/>
        <v>525.43404690997863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-1.1368683772161603E-13</v>
      </c>
      <c r="O191" s="14">
        <f>N191*VLOOKUP('Données projet'!$B$9,Paramètres!$A$1:$I$89,3,0)*VLOOKUP('Données projet'!$B$9,Paramètres!$A$1:$I$89,5,0)</f>
        <v>-5.3205440053716299E-14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302.30714066618623</v>
      </c>
      <c r="T191" s="62">
        <f t="shared" si="142"/>
        <v>218.81984836501334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-1.7053025658242404E-13</v>
      </c>
      <c r="AJ191" s="14">
        <f>AI191*VLOOKUP('Données projet'!$B$10,Paramètres!$A$1:$I$89,3,0)*VLOOKUP('Données projet'!$B$10,Paramètres!$A$1:$I$89,5,0)</f>
        <v>-1.0197709343628959E-13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150.05970318721711</v>
      </c>
      <c r="AO191" s="62">
        <f t="shared" si="144"/>
        <v>230.8269864623847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6.7992159571573421</v>
      </c>
      <c r="AV191" s="23">
        <f>EXP(-LN(2)/25)*AV190+(1-EXP(-LN(2)/25))/(LN(2)/25)*Calculateur!AQ191*Calculateur!AS191*VLOOKUP('Données projet'!$B$10,Paramètres!$A$1:$I$89,3,0)*0.475*44/12</f>
        <v>6.2753540898295088E-2</v>
      </c>
      <c r="AW191" s="23">
        <f>EXP(-LN(2)/2)*AW190+(1-EXP(-LN(2)/2))/(LN(2)/2)*AQ191*AT191*VLOOKUP('Données projet'!$B$10,Paramètres!$A$1:$I$89,3,0)*0.475*44/12</f>
        <v>6.7816794336093376E-20</v>
      </c>
      <c r="AX191" s="23">
        <f t="shared" si="166"/>
        <v>6.8619694980556369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1.1368683772161603E-13</v>
      </c>
      <c r="BE191" s="14">
        <f>BD191*VLOOKUP('Données projet'!$B$11,Paramètres!$A$1:$I$89,3,0)*VLOOKUP('Données projet'!$B$11,Paramètres!$A$1:$I$89,5,0)</f>
        <v>1.0286385077051818E-13</v>
      </c>
      <c r="BF191" s="14">
        <f t="shared" si="167"/>
        <v>1.5402366592183556E-12</v>
      </c>
      <c r="BG191" s="22">
        <f t="shared" si="168"/>
        <v>2.8617333882306215E-12</v>
      </c>
      <c r="BH191" s="62">
        <f t="shared" si="116"/>
        <v>293.33333333333616</v>
      </c>
      <c r="BI191" s="62">
        <f ca="1">AVERAGE(OFFSET($BH$3,0,0,'Données projet'!$E$11+1,1))-AVERAGE(OFFSET($H$3,0,0,'Données projet'!$E$11+1,1))</f>
        <v>278.41778972502732</v>
      </c>
      <c r="BJ191" s="62">
        <f t="shared" si="146"/>
        <v>157.75772798974242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0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105.6509999999997</v>
      </c>
      <c r="D192" s="12">
        <f t="shared" si="140"/>
        <v>28.303933062831472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1034.0380797832584</v>
      </c>
      <c r="H192" s="70">
        <f t="shared" si="110"/>
        <v>526.63817508443094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-1.1368683772161603E-13</v>
      </c>
      <c r="O192" s="14">
        <f>N192*VLOOKUP('Données projet'!$B$9,Paramètres!$A$1:$I$89,3,0)*VLOOKUP('Données projet'!$B$9,Paramètres!$A$1:$I$89,5,0)</f>
        <v>-5.3205440053716299E-14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302.30714066618623</v>
      </c>
      <c r="T192" s="62">
        <f t="shared" si="142"/>
        <v>218.81984836501334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-1.7053025658242404E-13</v>
      </c>
      <c r="AJ192" s="14">
        <f>AI192*VLOOKUP('Données projet'!$B$10,Paramètres!$A$1:$I$89,3,0)*VLOOKUP('Données projet'!$B$10,Paramètres!$A$1:$I$89,5,0)</f>
        <v>-1.0197709343628959E-13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150.05970318721711</v>
      </c>
      <c r="AO192" s="62">
        <f t="shared" si="144"/>
        <v>230.8269864623847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6.6658874793497267</v>
      </c>
      <c r="AV192" s="23">
        <f>EXP(-LN(2)/25)*AV191+(1-EXP(-LN(2)/25))/(LN(2)/25)*Calculateur!AQ192*Calculateur!AS192*VLOOKUP('Données projet'!$B$10,Paramètres!$A$1:$I$89,3,0)*0.475*44/12</f>
        <v>6.1037542022365915E-2</v>
      </c>
      <c r="AW192" s="23">
        <f>EXP(-LN(2)/2)*AW191+(1-EXP(-LN(2)/2))/(LN(2)/2)*AQ192*AT192*VLOOKUP('Données projet'!$B$10,Paramètres!$A$1:$I$89,3,0)*0.475*44/12</f>
        <v>4.7953715153385074E-20</v>
      </c>
      <c r="AX192" s="23">
        <f t="shared" si="166"/>
        <v>6.726925021372093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1.1368683772161603E-13</v>
      </c>
      <c r="BE192" s="14">
        <f>BD192*VLOOKUP('Données projet'!$B$11,Paramètres!$A$1:$I$89,3,0)*VLOOKUP('Données projet'!$B$11,Paramètres!$A$1:$I$89,5,0)</f>
        <v>1.0286385077051818E-13</v>
      </c>
      <c r="BF192" s="14">
        <f t="shared" si="167"/>
        <v>1.5402366592183556E-12</v>
      </c>
      <c r="BG192" s="22">
        <f t="shared" si="168"/>
        <v>2.8617333882306215E-12</v>
      </c>
      <c r="BH192" s="62">
        <f t="shared" si="116"/>
        <v>293.33333333333616</v>
      </c>
      <c r="BI192" s="62">
        <f ca="1">AVERAGE(OFFSET($BH$3,0,0,'Données projet'!$E$11+1,1))-AVERAGE(OFFSET($H$3,0,0,'Données projet'!$E$11+1,1))</f>
        <v>278.41778972502732</v>
      </c>
      <c r="BJ192" s="62">
        <f t="shared" si="146"/>
        <v>157.75772798974242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0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106.2099999999997</v>
      </c>
      <c r="D193" s="12">
        <f t="shared" si="140"/>
        <v>28.436217026228405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1039.3743068691292</v>
      </c>
      <c r="H193" s="70">
        <f t="shared" si="110"/>
        <v>527.84216132068059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-1.1368683772161603E-13</v>
      </c>
      <c r="O193" s="14">
        <f>N193*VLOOKUP('Données projet'!$B$9,Paramètres!$A$1:$I$89,3,0)*VLOOKUP('Données projet'!$B$9,Paramètres!$A$1:$I$89,5,0)</f>
        <v>-5.3205440053716299E-14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302.30714066618623</v>
      </c>
      <c r="T193" s="62">
        <f t="shared" si="142"/>
        <v>218.81984836501334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-1.7053025658242404E-13</v>
      </c>
      <c r="AJ193" s="14">
        <f>AI193*VLOOKUP('Données projet'!$B$10,Paramètres!$A$1:$I$89,3,0)*VLOOKUP('Données projet'!$B$10,Paramètres!$A$1:$I$89,5,0)</f>
        <v>-1.0197709343628959E-13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150.05970318721711</v>
      </c>
      <c r="AO193" s="62">
        <f t="shared" si="144"/>
        <v>230.8269864623847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6.5351734916695774</v>
      </c>
      <c r="AV193" s="23">
        <f>EXP(-LN(2)/25)*AV192+(1-EXP(-LN(2)/25))/(LN(2)/25)*Calculateur!AQ193*Calculateur!AS193*VLOOKUP('Données projet'!$B$10,Paramètres!$A$1:$I$89,3,0)*0.475*44/12</f>
        <v>5.936846722593949E-2</v>
      </c>
      <c r="AW193" s="23">
        <f>EXP(-LN(2)/2)*AW192+(1-EXP(-LN(2)/2))/(LN(2)/2)*AQ193*AT193*VLOOKUP('Données projet'!$B$10,Paramètres!$A$1:$I$89,3,0)*0.475*44/12</f>
        <v>3.3908397168046688E-20</v>
      </c>
      <c r="AX193" s="23">
        <f t="shared" si="166"/>
        <v>6.5945419588955172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1.1368683772161603E-13</v>
      </c>
      <c r="BE193" s="14">
        <f>BD193*VLOOKUP('Données projet'!$B$11,Paramètres!$A$1:$I$89,3,0)*VLOOKUP('Données projet'!$B$11,Paramètres!$A$1:$I$89,5,0)</f>
        <v>1.0286385077051818E-13</v>
      </c>
      <c r="BF193" s="14">
        <f t="shared" si="167"/>
        <v>1.5402366592183556E-12</v>
      </c>
      <c r="BG193" s="22">
        <f t="shared" si="168"/>
        <v>2.8617333882306215E-12</v>
      </c>
      <c r="BH193" s="62">
        <f t="shared" si="116"/>
        <v>293.33333333333616</v>
      </c>
      <c r="BI193" s="62">
        <f ca="1">AVERAGE(OFFSET($BH$3,0,0,'Données projet'!$E$11+1,1))-AVERAGE(OFFSET($H$3,0,0,'Données projet'!$E$11+1,1))</f>
        <v>278.41778972502732</v>
      </c>
      <c r="BJ193" s="62">
        <f t="shared" si="146"/>
        <v>157.75772798974242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0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106.76899999999969</v>
      </c>
      <c r="D194" s="12">
        <f t="shared" si="140"/>
        <v>28.568419972715443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1044.7099085613097</v>
      </c>
      <c r="H194" s="70">
        <f t="shared" si="110"/>
        <v>529.04600645247888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-1.1368683772161603E-13</v>
      </c>
      <c r="O194" s="14">
        <f>N194*VLOOKUP('Données projet'!$B$9,Paramètres!$A$1:$I$89,3,0)*VLOOKUP('Données projet'!$B$9,Paramètres!$A$1:$I$89,5,0)</f>
        <v>-5.3205440053716299E-14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302.30714066618623</v>
      </c>
      <c r="T194" s="62">
        <f t="shared" si="142"/>
        <v>218.81984836501334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-1.7053025658242404E-13</v>
      </c>
      <c r="AJ194" s="14">
        <f>AI194*VLOOKUP('Données projet'!$B$10,Paramètres!$A$1:$I$89,3,0)*VLOOKUP('Données projet'!$B$10,Paramètres!$A$1:$I$89,5,0)</f>
        <v>-1.0197709343628959E-13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150.05970318721711</v>
      </c>
      <c r="AO194" s="62">
        <f t="shared" si="144"/>
        <v>230.8269864623847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6.4070227255601759</v>
      </c>
      <c r="AV194" s="23">
        <f>EXP(-LN(2)/25)*AV193+(1-EXP(-LN(2)/25))/(LN(2)/25)*Calculateur!AQ194*Calculateur!AS194*VLOOKUP('Données projet'!$B$10,Paramètres!$A$1:$I$89,3,0)*0.475*44/12</f>
        <v>5.7745033367594172E-2</v>
      </c>
      <c r="AW194" s="23">
        <f>EXP(-LN(2)/2)*AW193+(1-EXP(-LN(2)/2))/(LN(2)/2)*AQ194*AT194*VLOOKUP('Données projet'!$B$10,Paramètres!$A$1:$I$89,3,0)*0.475*44/12</f>
        <v>2.3976857576692537E-20</v>
      </c>
      <c r="AX194" s="23">
        <f t="shared" si="166"/>
        <v>6.4647677589277697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1.1368683772161603E-13</v>
      </c>
      <c r="BE194" s="14">
        <f>BD194*VLOOKUP('Données projet'!$B$11,Paramètres!$A$1:$I$89,3,0)*VLOOKUP('Données projet'!$B$11,Paramètres!$A$1:$I$89,5,0)</f>
        <v>1.0286385077051818E-13</v>
      </c>
      <c r="BF194" s="14">
        <f t="shared" si="167"/>
        <v>1.5402366592183556E-12</v>
      </c>
      <c r="BG194" s="22">
        <f t="shared" si="168"/>
        <v>2.8617333882306215E-12</v>
      </c>
      <c r="BH194" s="62">
        <f t="shared" si="116"/>
        <v>293.33333333333616</v>
      </c>
      <c r="BI194" s="62">
        <f ca="1">AVERAGE(OFFSET($BH$3,0,0,'Données projet'!$E$11+1,1))-AVERAGE(OFFSET($H$3,0,0,'Données projet'!$E$11+1,1))</f>
        <v>278.41778972502732</v>
      </c>
      <c r="BJ194" s="62">
        <f t="shared" si="146"/>
        <v>157.75772798974242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0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107.32799999999969</v>
      </c>
      <c r="D195" s="12">
        <f t="shared" si="140"/>
        <v>28.700542375698632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1050.0448885141625</v>
      </c>
      <c r="H195" s="70">
        <f t="shared" si="110"/>
        <v>530.24971130434119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-1.1368683772161603E-13</v>
      </c>
      <c r="O195" s="14">
        <f>N195*VLOOKUP('Données projet'!$B$9,Paramètres!$A$1:$I$89,3,0)*VLOOKUP('Données projet'!$B$9,Paramètres!$A$1:$I$89,5,0)</f>
        <v>-5.3205440053716299E-14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302.30714066618623</v>
      </c>
      <c r="T195" s="62">
        <f t="shared" si="142"/>
        <v>218.81984836501334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-1.7053025658242404E-13</v>
      </c>
      <c r="AJ195" s="14">
        <f>AI195*VLOOKUP('Données projet'!$B$10,Paramètres!$A$1:$I$89,3,0)*VLOOKUP('Données projet'!$B$10,Paramètres!$A$1:$I$89,5,0)</f>
        <v>-1.0197709343628959E-13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150.05970318721711</v>
      </c>
      <c r="AO195" s="62">
        <f t="shared" si="144"/>
        <v>230.8269864623847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6.2813849178099304</v>
      </c>
      <c r="AV195" s="23">
        <f>EXP(-LN(2)/25)*AV194+(1-EXP(-LN(2)/25))/(LN(2)/25)*Calculateur!AQ195*Calculateur!AS195*VLOOKUP('Données projet'!$B$10,Paramètres!$A$1:$I$89,3,0)*0.475*44/12</f>
        <v>5.6165992393477984E-2</v>
      </c>
      <c r="AW195" s="23">
        <f>EXP(-LN(2)/2)*AW194+(1-EXP(-LN(2)/2))/(LN(2)/2)*AQ195*AT195*VLOOKUP('Données projet'!$B$10,Paramètres!$A$1:$I$89,3,0)*0.475*44/12</f>
        <v>1.6954198584023344E-20</v>
      </c>
      <c r="AX195" s="23">
        <f t="shared" si="166"/>
        <v>6.337550910203408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1.1368683772161603E-13</v>
      </c>
      <c r="BE195" s="14">
        <f>BD195*VLOOKUP('Données projet'!$B$11,Paramètres!$A$1:$I$89,3,0)*VLOOKUP('Données projet'!$B$11,Paramètres!$A$1:$I$89,5,0)</f>
        <v>1.0286385077051818E-13</v>
      </c>
      <c r="BF195" s="14">
        <f t="shared" si="167"/>
        <v>1.5402366592183556E-12</v>
      </c>
      <c r="BG195" s="22">
        <f t="shared" si="168"/>
        <v>2.8617333882306215E-12</v>
      </c>
      <c r="BH195" s="62">
        <f t="shared" si="116"/>
        <v>293.33333333333616</v>
      </c>
      <c r="BI195" s="62">
        <f ca="1">AVERAGE(OFFSET($BH$3,0,0,'Données projet'!$E$11+1,1))-AVERAGE(OFFSET($H$3,0,0,'Données projet'!$E$11+1,1))</f>
        <v>278.41778972502732</v>
      </c>
      <c r="BJ195" s="62">
        <f t="shared" si="146"/>
        <v>157.75772798974242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0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107.88699999999969</v>
      </c>
      <c r="D196" s="12">
        <f t="shared" si="140"/>
        <v>28.832584703367186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1055.3792503417794</v>
      </c>
      <c r="H196" s="70">
        <f t="shared" ref="H196:H203" si="192">(B196+E196+F196)*44/12+(C196+D196)*0.475*44/12</f>
        <v>531.45327669169728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-1.1368683772161603E-13</v>
      </c>
      <c r="O196" s="14">
        <f>N196*VLOOKUP('Données projet'!$B$9,Paramètres!$A$1:$I$89,3,0)*VLOOKUP('Données projet'!$B$9,Paramètres!$A$1:$I$89,5,0)</f>
        <v>-5.3205440053716299E-14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302.30714066618623</v>
      </c>
      <c r="T196" s="62">
        <f t="shared" si="142"/>
        <v>218.81984836501334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-1.7053025658242404E-13</v>
      </c>
      <c r="AJ196" s="14">
        <f>AI196*VLOOKUP('Données projet'!$B$10,Paramètres!$A$1:$I$89,3,0)*VLOOKUP('Données projet'!$B$10,Paramètres!$A$1:$I$89,5,0)</f>
        <v>-1.0197709343628959E-13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150.05970318721711</v>
      </c>
      <c r="AO196" s="62">
        <f t="shared" si="144"/>
        <v>230.8269864623847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6.1582107908381714</v>
      </c>
      <c r="AV196" s="23">
        <f>EXP(-LN(2)/25)*AV195+(1-EXP(-LN(2)/25))/(LN(2)/25)*Calculateur!AQ196*Calculateur!AS196*VLOOKUP('Données projet'!$B$10,Paramètres!$A$1:$I$89,3,0)*0.475*44/12</f>
        <v>5.4630130377837156E-2</v>
      </c>
      <c r="AW196" s="23">
        <f>EXP(-LN(2)/2)*AW195+(1-EXP(-LN(2)/2))/(LN(2)/2)*AQ196*AT196*VLOOKUP('Données projet'!$B$10,Paramètres!$A$1:$I$89,3,0)*0.475*44/12</f>
        <v>1.1988428788346269E-20</v>
      </c>
      <c r="AX196" s="23">
        <f t="shared" si="166"/>
        <v>6.2128409212160083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1.1368683772161603E-13</v>
      </c>
      <c r="BE196" s="14">
        <f>BD196*VLOOKUP('Données projet'!$B$11,Paramètres!$A$1:$I$89,3,0)*VLOOKUP('Données projet'!$B$11,Paramètres!$A$1:$I$89,5,0)</f>
        <v>1.0286385077051818E-13</v>
      </c>
      <c r="BF196" s="14">
        <f t="shared" si="167"/>
        <v>1.5402366592183556E-12</v>
      </c>
      <c r="BG196" s="22">
        <f t="shared" si="168"/>
        <v>2.8617333882306215E-12</v>
      </c>
      <c r="BH196" s="62">
        <f t="shared" ref="BH196:BH203" si="194">BG196+(AY196+AZ196)*44/12</f>
        <v>293.33333333333616</v>
      </c>
      <c r="BI196" s="62">
        <f ca="1">AVERAGE(OFFSET($BH$3,0,0,'Données projet'!$E$11+1,1))-AVERAGE(OFFSET($H$3,0,0,'Données projet'!$E$11+1,1))</f>
        <v>278.41778972502732</v>
      </c>
      <c r="BJ196" s="62">
        <f t="shared" si="146"/>
        <v>157.75772798974242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0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108.44599999999969</v>
      </c>
      <c r="D197" s="12">
        <f t="shared" ref="D197:D203" si="202">IFERROR(EXP(-1.0587+0.8836*LN(C197)+0.284),0)</f>
        <v>28.964547418777748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1060.7129976186329</v>
      </c>
      <c r="H197" s="70">
        <f t="shared" si="192"/>
        <v>532.65670342103738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-1.1368683772161603E-13</v>
      </c>
      <c r="O197" s="14">
        <f>N197*VLOOKUP('Données projet'!$B$9,Paramètres!$A$1:$I$89,3,0)*VLOOKUP('Données projet'!$B$9,Paramètres!$A$1:$I$89,5,0)</f>
        <v>-5.3205440053716299E-14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302.30714066618623</v>
      </c>
      <c r="T197" s="62">
        <f t="shared" ref="T197:T203" si="204">$T$3</f>
        <v>218.81984836501334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-1.7053025658242404E-13</v>
      </c>
      <c r="AJ197" s="14">
        <f>AI197*VLOOKUP('Données projet'!$B$10,Paramètres!$A$1:$I$89,3,0)*VLOOKUP('Données projet'!$B$10,Paramètres!$A$1:$I$89,5,0)</f>
        <v>-1.0197709343628959E-13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150.05970318721711</v>
      </c>
      <c r="AO197" s="62">
        <f t="shared" ref="AO197:AO203" si="205">$AO$3</f>
        <v>230.8269864623847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6.0374520333675292</v>
      </c>
      <c r="AV197" s="23">
        <f>EXP(-LN(2)/25)*AV196+(1-EXP(-LN(2)/25))/(LN(2)/25)*Calculateur!AQ197*Calculateur!AS197*VLOOKUP('Données projet'!$B$10,Paramètres!$A$1:$I$89,3,0)*0.475*44/12</f>
        <v>5.3136266589781503E-2</v>
      </c>
      <c r="AW197" s="23">
        <f>EXP(-LN(2)/2)*AW196+(1-EXP(-LN(2)/2))/(LN(2)/2)*AQ197*AT197*VLOOKUP('Données projet'!$B$10,Paramètres!$A$1:$I$89,3,0)*0.475*44/12</f>
        <v>8.4770992920116719E-21</v>
      </c>
      <c r="AX197" s="23">
        <f t="shared" si="166"/>
        <v>6.0905882999573109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1.1368683772161603E-13</v>
      </c>
      <c r="BE197" s="14">
        <f>BD197*VLOOKUP('Données projet'!$B$11,Paramètres!$A$1:$I$89,3,0)*VLOOKUP('Données projet'!$B$11,Paramètres!$A$1:$I$89,5,0)</f>
        <v>1.0286385077051818E-13</v>
      </c>
      <c r="BF197" s="14">
        <f t="shared" si="167"/>
        <v>1.5402366592183556E-12</v>
      </c>
      <c r="BG197" s="22">
        <f t="shared" si="168"/>
        <v>2.8617333882306215E-12</v>
      </c>
      <c r="BH197" s="62">
        <f t="shared" si="194"/>
        <v>293.33333333333616</v>
      </c>
      <c r="BI197" s="62">
        <f ca="1">AVERAGE(OFFSET($BH$3,0,0,'Données projet'!$E$11+1,1))-AVERAGE(OFFSET($H$3,0,0,'Données projet'!$E$11+1,1))</f>
        <v>278.41778972502732</v>
      </c>
      <c r="BJ197" s="62">
        <f t="shared" ref="BJ197:BJ203" si="206">$BJ$3</f>
        <v>157.75772798974242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0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109.00499999999968</v>
      </c>
      <c r="D198" s="12">
        <f t="shared" si="202"/>
        <v>29.096430979936777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1066.0461338802113</v>
      </c>
      <c r="H198" s="70">
        <f t="shared" si="192"/>
        <v>533.85999229005597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-1.1368683772161603E-13</v>
      </c>
      <c r="O198" s="14">
        <f>N198*VLOOKUP('Données projet'!$B$9,Paramètres!$A$1:$I$89,3,0)*VLOOKUP('Données projet'!$B$9,Paramètres!$A$1:$I$89,5,0)</f>
        <v>-5.3205440053716299E-14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302.30714066618623</v>
      </c>
      <c r="T198" s="62">
        <f t="shared" si="204"/>
        <v>218.81984836501334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-1.7053025658242404E-13</v>
      </c>
      <c r="AJ198" s="14">
        <f>AI198*VLOOKUP('Données projet'!$B$10,Paramètres!$A$1:$I$89,3,0)*VLOOKUP('Données projet'!$B$10,Paramètres!$A$1:$I$89,5,0)</f>
        <v>-1.0197709343628959E-13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150.05970318721711</v>
      </c>
      <c r="AO198" s="62">
        <f t="shared" si="205"/>
        <v>230.8269864623847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5.9190612814753178</v>
      </c>
      <c r="AV198" s="23">
        <f>EXP(-LN(2)/25)*AV197+(1-EXP(-LN(2)/25))/(LN(2)/25)*Calculateur!AQ198*Calculateur!AS198*VLOOKUP('Données projet'!$B$10,Paramètres!$A$1:$I$89,3,0)*0.475*44/12</f>
        <v>5.1683252585569113E-2</v>
      </c>
      <c r="AW198" s="23">
        <f>EXP(-LN(2)/2)*AW197+(1-EXP(-LN(2)/2))/(LN(2)/2)*AQ198*AT198*VLOOKUP('Données projet'!$B$10,Paramètres!$A$1:$I$89,3,0)*0.475*44/12</f>
        <v>5.9942143941731343E-21</v>
      </c>
      <c r="AX198" s="23">
        <f t="shared" si="166"/>
        <v>5.9707445340608869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1.1368683772161603E-13</v>
      </c>
      <c r="BE198" s="14">
        <f>BD198*VLOOKUP('Données projet'!$B$11,Paramètres!$A$1:$I$89,3,0)*VLOOKUP('Données projet'!$B$11,Paramètres!$A$1:$I$89,5,0)</f>
        <v>1.0286385077051818E-13</v>
      </c>
      <c r="BF198" s="14">
        <f t="shared" si="167"/>
        <v>1.5402366592183556E-12</v>
      </c>
      <c r="BG198" s="22">
        <f t="shared" si="168"/>
        <v>2.8617333882306215E-12</v>
      </c>
      <c r="BH198" s="62">
        <f t="shared" si="194"/>
        <v>293.33333333333616</v>
      </c>
      <c r="BI198" s="62">
        <f ca="1">AVERAGE(OFFSET($BH$3,0,0,'Données projet'!$E$11+1,1))-AVERAGE(OFFSET($H$3,0,0,'Données projet'!$E$11+1,1))</f>
        <v>278.41778972502732</v>
      </c>
      <c r="BJ198" s="62">
        <f t="shared" si="206"/>
        <v>157.75772798974242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0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109.56399999999968</v>
      </c>
      <c r="D199" s="12">
        <f t="shared" si="202"/>
        <v>29.228235839881293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1071.3786626236426</v>
      </c>
      <c r="H199" s="70">
        <f t="shared" si="192"/>
        <v>535.06314408779258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-1.1368683772161603E-13</v>
      </c>
      <c r="O199" s="14">
        <f>N199*VLOOKUP('Données projet'!$B$9,Paramètres!$A$1:$I$89,3,0)*VLOOKUP('Données projet'!$B$9,Paramètres!$A$1:$I$89,5,0)</f>
        <v>-5.3205440053716299E-14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302.30714066618623</v>
      </c>
      <c r="T199" s="62">
        <f t="shared" si="204"/>
        <v>218.81984836501334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-1.7053025658242404E-13</v>
      </c>
      <c r="AJ199" s="14">
        <f>AI199*VLOOKUP('Données projet'!$B$10,Paramètres!$A$1:$I$89,3,0)*VLOOKUP('Données projet'!$B$10,Paramètres!$A$1:$I$89,5,0)</f>
        <v>-1.0197709343628959E-13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150.05970318721711</v>
      </c>
      <c r="AO199" s="62">
        <f t="shared" si="205"/>
        <v>230.8269864623847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5.8029921000164837</v>
      </c>
      <c r="AV199" s="23">
        <f>EXP(-LN(2)/25)*AV198+(1-EXP(-LN(2)/25))/(LN(2)/25)*Calculateur!AQ199*Calculateur!AS199*VLOOKUP('Données projet'!$B$10,Paramètres!$A$1:$I$89,3,0)*0.475*44/12</f>
        <v>5.0269971325712592E-2</v>
      </c>
      <c r="AW199" s="23">
        <f>EXP(-LN(2)/2)*AW198+(1-EXP(-LN(2)/2))/(LN(2)/2)*AQ199*AT199*VLOOKUP('Données projet'!$B$10,Paramètres!$A$1:$I$89,3,0)*0.475*44/12</f>
        <v>4.238549646005836E-21</v>
      </c>
      <c r="AX199" s="23">
        <f t="shared" si="166"/>
        <v>5.8532620713421961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1.1368683772161603E-13</v>
      </c>
      <c r="BE199" s="14">
        <f>BD199*VLOOKUP('Données projet'!$B$11,Paramètres!$A$1:$I$89,3,0)*VLOOKUP('Données projet'!$B$11,Paramètres!$A$1:$I$89,5,0)</f>
        <v>1.0286385077051818E-13</v>
      </c>
      <c r="BF199" s="14">
        <f t="shared" si="167"/>
        <v>1.5402366592183556E-12</v>
      </c>
      <c r="BG199" s="22">
        <f t="shared" si="168"/>
        <v>2.8617333882306215E-12</v>
      </c>
      <c r="BH199" s="62">
        <f t="shared" si="194"/>
        <v>293.33333333333616</v>
      </c>
      <c r="BI199" s="62">
        <f ca="1">AVERAGE(OFFSET($BH$3,0,0,'Données projet'!$E$11+1,1))-AVERAGE(OFFSET($H$3,0,0,'Données projet'!$E$11+1,1))</f>
        <v>278.41778972502732</v>
      </c>
      <c r="BJ199" s="62">
        <f t="shared" si="206"/>
        <v>157.75772798974242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0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110.12299999999968</v>
      </c>
      <c r="D200" s="12">
        <f t="shared" si="202"/>
        <v>29.359962446757773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1076.7105873083033</v>
      </c>
      <c r="H200" s="70">
        <f t="shared" si="192"/>
        <v>536.26615959476919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-1.1368683772161603E-13</v>
      </c>
      <c r="O200" s="14">
        <f>N200*VLOOKUP('Données projet'!$B$9,Paramètres!$A$1:$I$89,3,0)*VLOOKUP('Données projet'!$B$9,Paramètres!$A$1:$I$89,5,0)</f>
        <v>-5.3205440053716299E-14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302.30714066618623</v>
      </c>
      <c r="T200" s="62">
        <f t="shared" si="204"/>
        <v>218.81984836501334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-1.7053025658242404E-13</v>
      </c>
      <c r="AJ200" s="14">
        <f>AI200*VLOOKUP('Données projet'!$B$10,Paramètres!$A$1:$I$89,3,0)*VLOOKUP('Données projet'!$B$10,Paramètres!$A$1:$I$89,5,0)</f>
        <v>-1.0197709343628959E-13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150.05970318721711</v>
      </c>
      <c r="AO200" s="62">
        <f t="shared" si="205"/>
        <v>230.8269864623847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5.6891989644108474</v>
      </c>
      <c r="AV200" s="23">
        <f>EXP(-LN(2)/25)*AV199+(1-EXP(-LN(2)/25))/(LN(2)/25)*Calculateur!AQ200*Calculateur!AS200*VLOOKUP('Données projet'!$B$10,Paramètres!$A$1:$I$89,3,0)*0.475*44/12</f>
        <v>4.8895336316228083E-2</v>
      </c>
      <c r="AW200" s="23">
        <f>EXP(-LN(2)/2)*AW199+(1-EXP(-LN(2)/2))/(LN(2)/2)*AQ200*AT200*VLOOKUP('Données projet'!$B$10,Paramètres!$A$1:$I$89,3,0)*0.475*44/12</f>
        <v>2.9971071970865671E-21</v>
      </c>
      <c r="AX200" s="23">
        <f t="shared" si="166"/>
        <v>5.7380943007270755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1.1368683772161603E-13</v>
      </c>
      <c r="BE200" s="14">
        <f>BD200*VLOOKUP('Données projet'!$B$11,Paramètres!$A$1:$I$89,3,0)*VLOOKUP('Données projet'!$B$11,Paramètres!$A$1:$I$89,5,0)</f>
        <v>1.0286385077051818E-13</v>
      </c>
      <c r="BF200" s="14">
        <f t="shared" si="167"/>
        <v>1.5402366592183556E-12</v>
      </c>
      <c r="BG200" s="22">
        <f t="shared" si="168"/>
        <v>2.8617333882306215E-12</v>
      </c>
      <c r="BH200" s="62">
        <f t="shared" si="194"/>
        <v>293.33333333333616</v>
      </c>
      <c r="BI200" s="62">
        <f ca="1">AVERAGE(OFFSET($BH$3,0,0,'Données projet'!$E$11+1,1))-AVERAGE(OFFSET($H$3,0,0,'Données projet'!$E$11+1,1))</f>
        <v>278.41778972502732</v>
      </c>
      <c r="BJ200" s="62">
        <f t="shared" si="206"/>
        <v>157.75772798974242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0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110.68199999999968</v>
      </c>
      <c r="D201" s="12">
        <f t="shared" si="202"/>
        <v>29.491611243899612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1082.0419113564158</v>
      </c>
      <c r="H201" s="70">
        <f t="shared" si="192"/>
        <v>537.46903958312464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-1.1368683772161603E-13</v>
      </c>
      <c r="O201" s="14">
        <f>N201*VLOOKUP('Données projet'!$B$9,Paramètres!$A$1:$I$89,3,0)*VLOOKUP('Données projet'!$B$9,Paramètres!$A$1:$I$89,5,0)</f>
        <v>-5.3205440053716299E-14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302.30714066618623</v>
      </c>
      <c r="T201" s="62">
        <f t="shared" si="204"/>
        <v>218.81984836501334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-1.7053025658242404E-13</v>
      </c>
      <c r="AJ201" s="14">
        <f>AI201*VLOOKUP('Données projet'!$B$10,Paramètres!$A$1:$I$89,3,0)*VLOOKUP('Données projet'!$B$10,Paramètres!$A$1:$I$89,5,0)</f>
        <v>-1.0197709343628959E-13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150.05970318721711</v>
      </c>
      <c r="AO201" s="62">
        <f t="shared" si="205"/>
        <v>230.8269864623847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5.5776372427874783</v>
      </c>
      <c r="AV201" s="23">
        <f>EXP(-LN(2)/25)*AV200+(1-EXP(-LN(2)/25))/(LN(2)/25)*Calculateur!AQ201*Calculateur!AS201*VLOOKUP('Données projet'!$B$10,Paramètres!$A$1:$I$89,3,0)*0.475*44/12</f>
        <v>4.7558290773366839E-2</v>
      </c>
      <c r="AW201" s="23">
        <f>EXP(-LN(2)/2)*AW200+(1-EXP(-LN(2)/2))/(LN(2)/2)*AQ201*AT201*VLOOKUP('Données projet'!$B$10,Paramètres!$A$1:$I$89,3,0)*0.475*44/12</f>
        <v>2.119274823002918E-21</v>
      </c>
      <c r="AX201" s="23">
        <f t="shared" si="166"/>
        <v>5.625195533560845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1.1368683772161603E-13</v>
      </c>
      <c r="BE201" s="14">
        <f>BD201*VLOOKUP('Données projet'!$B$11,Paramètres!$A$1:$I$89,3,0)*VLOOKUP('Données projet'!$B$11,Paramètres!$A$1:$I$89,5,0)</f>
        <v>1.0286385077051818E-13</v>
      </c>
      <c r="BF201" s="14">
        <f t="shared" si="167"/>
        <v>1.5402366592183556E-12</v>
      </c>
      <c r="BG201" s="22">
        <f t="shared" si="168"/>
        <v>2.8617333882306215E-12</v>
      </c>
      <c r="BH201" s="62">
        <f t="shared" si="194"/>
        <v>293.33333333333616</v>
      </c>
      <c r="BI201" s="62">
        <f ca="1">AVERAGE(OFFSET($BH$3,0,0,'Données projet'!$E$11+1,1))-AVERAGE(OFFSET($H$3,0,0,'Données projet'!$E$11+1,1))</f>
        <v>278.41778972502732</v>
      </c>
      <c r="BJ201" s="62">
        <f t="shared" si="206"/>
        <v>157.75772798974242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0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111.24099999999967</v>
      </c>
      <c r="D202" s="12">
        <f t="shared" si="202"/>
        <v>29.623182669902725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1087.3726381536326</v>
      </c>
      <c r="H202" s="70">
        <f t="shared" si="192"/>
        <v>538.67178481674659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-1.1368683772161603E-13</v>
      </c>
      <c r="O202" s="14">
        <f>N202*VLOOKUP('Données projet'!$B$9,Paramètres!$A$1:$I$89,3,0)*VLOOKUP('Données projet'!$B$9,Paramètres!$A$1:$I$89,5,0)</f>
        <v>-5.3205440053716299E-14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302.30714066618623</v>
      </c>
      <c r="T202" s="62">
        <f t="shared" si="204"/>
        <v>218.81984836501334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-1.7053025658242404E-13</v>
      </c>
      <c r="AJ202" s="14">
        <f>AI202*VLOOKUP('Données projet'!$B$10,Paramètres!$A$1:$I$89,3,0)*VLOOKUP('Données projet'!$B$10,Paramètres!$A$1:$I$89,5,0)</f>
        <v>-1.0197709343628959E-13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150.05970318721711</v>
      </c>
      <c r="AO202" s="62">
        <f t="shared" si="205"/>
        <v>230.8269864623847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5.4682631784792122</v>
      </c>
      <c r="AV202" s="23">
        <f>EXP(-LN(2)/25)*AV201+(1-EXP(-LN(2)/25))/(LN(2)/25)*Calculateur!AQ202*Calculateur!AS202*VLOOKUP('Données projet'!$B$10,Paramètres!$A$1:$I$89,3,0)*0.475*44/12</f>
        <v>4.625780681118731E-2</v>
      </c>
      <c r="AW202" s="23">
        <f>EXP(-LN(2)/2)*AW201+(1-EXP(-LN(2)/2))/(LN(2)/2)*AQ202*AT202*VLOOKUP('Données projet'!$B$10,Paramètres!$A$1:$I$89,3,0)*0.475*44/12</f>
        <v>1.4985535985432836E-21</v>
      </c>
      <c r="AX202" s="23">
        <f t="shared" si="166"/>
        <v>5.5145209852903996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1.1368683772161603E-13</v>
      </c>
      <c r="BE202" s="14">
        <f>BD202*VLOOKUP('Données projet'!$B$11,Paramètres!$A$1:$I$89,3,0)*VLOOKUP('Données projet'!$B$11,Paramètres!$A$1:$I$89,5,0)</f>
        <v>1.0286385077051818E-13</v>
      </c>
      <c r="BF202" s="14">
        <f t="shared" si="167"/>
        <v>1.5402366592183556E-12</v>
      </c>
      <c r="BG202" s="22">
        <f t="shared" si="168"/>
        <v>2.8617333882306215E-12</v>
      </c>
      <c r="BH202" s="62">
        <f t="shared" si="194"/>
        <v>293.33333333333616</v>
      </c>
      <c r="BI202" s="62">
        <f ca="1">AVERAGE(OFFSET($BH$3,0,0,'Données projet'!$E$11+1,1))-AVERAGE(OFFSET($H$3,0,0,'Données projet'!$E$11+1,1))</f>
        <v>278.41778972502732</v>
      </c>
      <c r="BJ202" s="62">
        <f t="shared" si="206"/>
        <v>157.75772798974242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0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111.79999999999967</v>
      </c>
      <c r="D203" s="12">
        <f t="shared" si="202"/>
        <v>29.754677158699842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1092.7027710496104</v>
      </c>
      <c r="H203" s="70">
        <f t="shared" si="192"/>
        <v>539.87439605140162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-1.1368683772161603E-13</v>
      </c>
      <c r="O203" s="14">
        <f>N203*VLOOKUP('Données projet'!$B$9,Paramètres!$A$1:$I$89,3,0)*VLOOKUP('Données projet'!$B$9,Paramètres!$A$1:$I$89,5,0)</f>
        <v>-5.3205440053716299E-14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302.30714066618623</v>
      </c>
      <c r="T203" s="62">
        <f t="shared" si="204"/>
        <v>218.81984836501334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-1.7053025658242404E-13</v>
      </c>
      <c r="AJ203" s="14">
        <f>AI203*VLOOKUP('Données projet'!$B$10,Paramètres!$A$1:$I$89,3,0)*VLOOKUP('Données projet'!$B$10,Paramètres!$A$1:$I$89,5,0)</f>
        <v>-1.0197709343628959E-13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150.05970318721711</v>
      </c>
      <c r="AO203" s="62">
        <f t="shared" si="205"/>
        <v>230.8269864623847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5.361033872860439</v>
      </c>
      <c r="AV203" s="23">
        <f>EXP(-LN(2)/25)*AV202+(1-EXP(-LN(2)/25))/(LN(2)/25)*Calculateur!AQ203*Calculateur!AS203*VLOOKUP('Données projet'!$B$10,Paramètres!$A$1:$I$89,3,0)*0.475*44/12</f>
        <v>4.499288465134306E-2</v>
      </c>
      <c r="AW203" s="23">
        <f>EXP(-LN(2)/2)*AW202+(1-EXP(-LN(2)/2))/(LN(2)/2)*AQ203*AT203*VLOOKUP('Données projet'!$B$10,Paramètres!$A$1:$I$89,3,0)*0.475*44/12</f>
        <v>1.059637411501459E-21</v>
      </c>
      <c r="AX203" s="23">
        <f t="shared" si="166"/>
        <v>5.406026757511782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1.1368683772161603E-13</v>
      </c>
      <c r="BE203" s="14">
        <f>BD203*VLOOKUP('Données projet'!$B$11,Paramètres!$A$1:$I$89,3,0)*VLOOKUP('Données projet'!$B$11,Paramètres!$A$1:$I$89,5,0)</f>
        <v>1.0286385077051818E-13</v>
      </c>
      <c r="BF203" s="14">
        <f t="shared" si="167"/>
        <v>1.5402366592183556E-12</v>
      </c>
      <c r="BG203" s="22">
        <f t="shared" si="168"/>
        <v>2.8617333882306215E-12</v>
      </c>
      <c r="BH203" s="62">
        <f t="shared" si="194"/>
        <v>293.33333333333616</v>
      </c>
      <c r="BI203" s="62">
        <f ca="1">AVERAGE(OFFSET($BH$3,0,0,'Données projet'!$E$11+1,1))-AVERAGE(OFFSET($H$3,0,0,'Données projet'!$E$11+1,1))</f>
        <v>278.41778972502732</v>
      </c>
      <c r="BJ203" s="62">
        <f t="shared" si="206"/>
        <v>157.75772798974242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0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1.2880503926580862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1.2990595333015609</v>
      </c>
      <c r="BA205" s="88">
        <f>EXP(LN('Données projet'!B88)/'Données projet'!A88)</f>
        <v>1.185906184594963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workbookViewId="0">
      <selection activeCell="I23" sqref="I23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Cèdre de l'Atlas</v>
      </c>
      <c r="B6" s="155">
        <f>'Données projet'!D9</f>
        <v>3.1039999999999996</v>
      </c>
      <c r="C6" s="156">
        <f ca="1">IF(OR('Données projet'!B9="",'Données projet'!C9="",'Données projet'!C9=0%),0,Calculateur!S3)</f>
        <v>302.30714066618623</v>
      </c>
      <c r="D6" s="156">
        <f>IF(OR('Données projet'!B9="",'Données projet'!C9="",'Données projet'!C9=0%),0,Calculateur!T3)</f>
        <v>218.81984836501334</v>
      </c>
      <c r="E6" s="156">
        <f ca="1">MIN(C6,D6)</f>
        <v>218.81984836501334</v>
      </c>
      <c r="F6" s="156">
        <f ca="1">E6*B6</f>
        <v>679.21680932500135</v>
      </c>
      <c r="G6" s="156">
        <f ca="1">F6*(100%-'Données projet'!$C$24)*(100%-'Données projet'!$C$25)*(100%-'Données projet'!$C$26)*(100%-'Données projet'!$C$27)</f>
        <v>519.60085913362605</v>
      </c>
      <c r="H6" s="157">
        <f>IF(OR('Données projet'!B9="",'Données projet'!C9="",'Données projet'!C9=0%),0,AVERAGE(Calculateur!$AC$3:$AC$33)*B6)</f>
        <v>0</v>
      </c>
      <c r="I6" s="158">
        <f>H6*(100%-'Données projet'!$C$24)*(100%-'Données projet'!$C$25)*(100%-'Données projet'!$C$26)*(100%-'Données projet'!$C$27)</f>
        <v>0</v>
      </c>
      <c r="J6" s="159">
        <f>IF(OR('Données projet'!B9="",'Données projet'!C9="",'Données projet'!C9=0%),0,SUM(Calculateur!$V$3:$V$33)*VLOOKUP('Données projet'!$B$9,Paramètres!$A$1:$I$89,9,0)*B6)</f>
        <v>0</v>
      </c>
      <c r="K6" s="160">
        <f>J6*(100%-'Données projet'!$C$24)*(100%-'Données projet'!$C$25)*(100%-'Données projet'!$C$26)*(100%-'Données projet'!$C$27)</f>
        <v>0</v>
      </c>
      <c r="L6" s="161">
        <f ca="1">G6+I6+K6</f>
        <v>519.60085913362605</v>
      </c>
      <c r="M6" s="25">
        <f ca="1">L6/B6</f>
        <v>167.39718399923521</v>
      </c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Pin maritime</v>
      </c>
      <c r="B7" s="163">
        <f>'Données projet'!D10</f>
        <v>1.5034999999999998</v>
      </c>
      <c r="C7" s="156">
        <f ca="1">IF(OR('Données projet'!B10="",'Données projet'!C10="",'Données projet'!C10=0%),0,Calculateur!AN3)</f>
        <v>150.05970318721711</v>
      </c>
      <c r="D7" s="156">
        <f>IF(OR('Données projet'!B10="",'Données projet'!C10="",'Données projet'!C10=0%),0,Calculateur!AO3)</f>
        <v>230.8269864623847</v>
      </c>
      <c r="E7" s="156">
        <f t="shared" ref="E7:E15" ca="1" si="0">MIN(C7,D7)</f>
        <v>150.05970318721711</v>
      </c>
      <c r="F7" s="156">
        <f t="shared" ref="F7:F15" ca="1" si="1">E7*B7</f>
        <v>225.61476374198091</v>
      </c>
      <c r="G7" s="156">
        <f ca="1">F7*(100%-'Données projet'!$C$24)*(100%-'Données projet'!$C$25)*(100%-'Données projet'!$C$26)*(100%-'Données projet'!$C$27)</f>
        <v>172.5952942626154</v>
      </c>
      <c r="H7" s="164">
        <f>IF(OR('Données projet'!B10="",'Données projet'!C10="",'Données projet'!C10=0%),0,AVERAGE(Calculateur!$AX$3:$AX$33)*B7)</f>
        <v>8.0199659530567846</v>
      </c>
      <c r="I7" s="158">
        <f>H7*(100%-'Données projet'!$C$24)*(100%-'Données projet'!$C$25)*(100%-'Données projet'!$C$26)*(100%-'Données projet'!$C$27)</f>
        <v>6.13527395408844</v>
      </c>
      <c r="J7" s="159">
        <f>IF(OR('Données projet'!B10="",'Données projet'!C10="",'Données projet'!C10=0%),0,SUM(Calculateur!$AQ$3:$AQ$33)*VLOOKUP('Données projet'!$B$10,Paramètres!$A$1:$I$89,9,0)*B7)</f>
        <v>99.351279999999988</v>
      </c>
      <c r="K7" s="160">
        <f>J7*(100%-'Données projet'!$C$24)*(100%-'Données projet'!$C$25)*(100%-'Données projet'!$C$26)*(100%-'Données projet'!$C$27)</f>
        <v>76.003729199999995</v>
      </c>
      <c r="L7" s="161">
        <f t="shared" ref="L7:L15" ca="1" si="2">G7+I7+K7</f>
        <v>254.73429741670384</v>
      </c>
      <c r="M7" s="25">
        <f ca="1">L7/B7</f>
        <v>169.42753403172856</v>
      </c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>Chêne sessile</v>
      </c>
      <c r="B8" s="163">
        <f>'Données projet'!D11</f>
        <v>0.24249999999999999</v>
      </c>
      <c r="C8" s="156">
        <f ca="1">IF(OR('Données projet'!B11="",'Données projet'!C11="",'Données projet'!C11=0%),0,Calculateur!BI3)</f>
        <v>278.41778972502732</v>
      </c>
      <c r="D8" s="156">
        <f>IF(OR('Données projet'!B11="",'Données projet'!C11="",'Données projet'!C11=0%),0,Calculateur!BJ3)</f>
        <v>157.75772798974242</v>
      </c>
      <c r="E8" s="156">
        <f t="shared" ca="1" si="0"/>
        <v>157.75772798974242</v>
      </c>
      <c r="F8" s="156">
        <f t="shared" ca="1" si="1"/>
        <v>38.256249037512539</v>
      </c>
      <c r="G8" s="156">
        <f ca="1">F8*(100%-'Données projet'!$C$24)*(100%-'Données projet'!$C$25)*(100%-'Données projet'!$C$26)*(100%-'Données projet'!$C$27)</f>
        <v>29.266030513697093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1.7581249999999999</v>
      </c>
      <c r="K8" s="160">
        <f>J8*(100%-'Données projet'!$C$24)*(100%-'Données projet'!$C$25)*(100%-'Données projet'!$C$26)*(100%-'Données projet'!$C$27)</f>
        <v>1.3449656249999999</v>
      </c>
      <c r="L8" s="161">
        <f t="shared" ca="1" si="2"/>
        <v>30.610996138697093</v>
      </c>
      <c r="M8" s="25">
        <f ca="1">L8/B8</f>
        <v>126.23091191215296</v>
      </c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943.08782210449488</v>
      </c>
      <c r="G16" s="175">
        <f t="shared" ca="1" si="3"/>
        <v>721.46218390993852</v>
      </c>
      <c r="H16" s="176">
        <f t="shared" si="3"/>
        <v>8.0199659530567846</v>
      </c>
      <c r="I16" s="176">
        <f t="shared" si="3"/>
        <v>6.13527395408844</v>
      </c>
      <c r="J16" s="177">
        <f t="shared" si="3"/>
        <v>101.109405</v>
      </c>
      <c r="K16" s="177">
        <f t="shared" si="3"/>
        <v>77.348694824999995</v>
      </c>
      <c r="L16" s="178">
        <f t="shared" ca="1" si="3"/>
        <v>804.94615268902703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Cèdre de l'Atlas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Pin maritime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>Chêne sessile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4" zoomScale="90" zoomScaleNormal="90" workbookViewId="0">
      <selection activeCell="N17" sqref="N17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Cèdre de l'Atlas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2154.2834577913259</v>
      </c>
      <c r="U10" s="190">
        <f>'Données projet'!D9</f>
        <v>3.1039999999999996</v>
      </c>
      <c r="V10" s="189">
        <f>U10*T10</f>
        <v>6686.8958529842748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Pin maritime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2636.8706068338379</v>
      </c>
      <c r="U11" s="190">
        <f>'Données projet'!D10</f>
        <v>1.5034999999999998</v>
      </c>
      <c r="V11" s="189">
        <f t="shared" ref="V11" si="0">U11*T11</f>
        <v>3964.5349573746748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Chêne sessile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1353.9029824375255</v>
      </c>
      <c r="U12" s="190">
        <f>'Données projet'!D11</f>
        <v>0.24249999999999999</v>
      </c>
      <c r="V12" s="189">
        <f t="shared" ref="V12:V19" si="1">U12*T12</f>
        <v>328.32147324109991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Cèdre de l'Atlas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1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>
        <v>80</v>
      </c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79.999999999999929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>
        <v>45</v>
      </c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3599.9999999999968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>
        <v>0</v>
      </c>
      <c r="I20" s="204">
        <v>4652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v>1027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>
        <v>2</v>
      </c>
      <c r="I22" s="204">
        <v>580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20</v>
      </c>
      <c r="B23" s="193">
        <f>'Données projet'!D36</f>
        <v>0</v>
      </c>
      <c r="C23" s="206">
        <v>10</v>
      </c>
      <c r="D23" s="194">
        <f>B23*C23</f>
        <v>0</v>
      </c>
      <c r="E23" s="206"/>
      <c r="F23" s="261"/>
      <c r="H23" s="203">
        <v>3</v>
      </c>
      <c r="I23" s="204">
        <v>650</v>
      </c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-24330.945079334946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30</v>
      </c>
      <c r="B24" s="193">
        <f>'Données projet'!D37</f>
        <v>0</v>
      </c>
      <c r="C24" s="206">
        <v>20</v>
      </c>
      <c r="D24" s="194">
        <f t="shared" ref="D24:D42" si="2">B24*C24</f>
        <v>0</v>
      </c>
      <c r="E24" s="206"/>
      <c r="F24" s="264"/>
      <c r="H24" s="203">
        <v>4</v>
      </c>
      <c r="I24" s="204">
        <v>650</v>
      </c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516.10849037776541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40</v>
      </c>
      <c r="B25" s="193">
        <f>'Données projet'!D38</f>
        <v>88</v>
      </c>
      <c r="C25" s="206">
        <v>30</v>
      </c>
      <c r="D25" s="194">
        <f t="shared" si="2"/>
        <v>2640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36">
        <f ca="1">T23-T24</f>
        <v>-24847.053569712712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50</v>
      </c>
      <c r="B26" s="193">
        <f>'Données projet'!D39</f>
        <v>0</v>
      </c>
      <c r="C26" s="206">
        <v>40</v>
      </c>
      <c r="D26" s="194">
        <f t="shared" si="2"/>
        <v>0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est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60</v>
      </c>
      <c r="B27" s="193">
        <f>'Données projet'!D40</f>
        <v>102</v>
      </c>
      <c r="C27" s="206">
        <v>50</v>
      </c>
      <c r="D27" s="194">
        <f t="shared" si="2"/>
        <v>5100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70</v>
      </c>
      <c r="B28" s="193">
        <f>'Données projet'!D41</f>
        <v>113</v>
      </c>
      <c r="C28" s="206">
        <v>60</v>
      </c>
      <c r="D28" s="194">
        <f t="shared" si="2"/>
        <v>6780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80</v>
      </c>
      <c r="B29" s="193">
        <f>'Données projet'!D42</f>
        <v>124</v>
      </c>
      <c r="C29" s="206">
        <v>65</v>
      </c>
      <c r="D29" s="194">
        <f t="shared" si="2"/>
        <v>8060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90</v>
      </c>
      <c r="B30" s="193">
        <f>'Données projet'!D43</f>
        <v>135</v>
      </c>
      <c r="C30" s="206">
        <v>65</v>
      </c>
      <c r="D30" s="194">
        <f t="shared" si="2"/>
        <v>8775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100</v>
      </c>
      <c r="B31" s="193">
        <f>'Données projet'!D44</f>
        <v>723</v>
      </c>
      <c r="C31" s="206">
        <v>70</v>
      </c>
      <c r="D31" s="194">
        <f t="shared" si="2"/>
        <v>50610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Pin maritime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/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/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18</v>
      </c>
      <c r="B54" s="193">
        <f>'Données projet'!D62</f>
        <v>27</v>
      </c>
      <c r="C54" s="204">
        <v>15</v>
      </c>
      <c r="D54" s="191">
        <f>B54*C54</f>
        <v>405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24</v>
      </c>
      <c r="B55" s="193">
        <f>'Données projet'!D63</f>
        <v>38</v>
      </c>
      <c r="C55" s="204">
        <v>25</v>
      </c>
      <c r="D55" s="191">
        <f t="shared" ref="D55:D73" si="4">B55*C55</f>
        <v>950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30</v>
      </c>
      <c r="B56" s="193">
        <f>'Données projet'!D64</f>
        <v>47</v>
      </c>
      <c r="C56" s="204">
        <v>35</v>
      </c>
      <c r="D56" s="191">
        <f t="shared" si="4"/>
        <v>1645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40</v>
      </c>
      <c r="B57" s="193">
        <f>'Données projet'!D65</f>
        <v>50</v>
      </c>
      <c r="C57" s="204">
        <v>45</v>
      </c>
      <c r="D57" s="191">
        <f t="shared" si="4"/>
        <v>2250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50</v>
      </c>
      <c r="B58" s="193">
        <f>'Données projet'!D66</f>
        <v>294</v>
      </c>
      <c r="C58" s="204">
        <v>50</v>
      </c>
      <c r="D58" s="191">
        <f t="shared" si="4"/>
        <v>14700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>Chêne sessile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str">
        <f>IF(O83+1&lt;=MIN('Données projet'!$E$9:$E$18),O83+1,"STOP")</f>
        <v>STOP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25</v>
      </c>
      <c r="B85" s="193">
        <f>'Données projet'!D88</f>
        <v>8</v>
      </c>
      <c r="C85" s="204">
        <v>10</v>
      </c>
      <c r="D85" s="191">
        <f>B85*C85</f>
        <v>80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30</v>
      </c>
      <c r="B86" s="193">
        <f>'Données projet'!D89</f>
        <v>21</v>
      </c>
      <c r="C86" s="204">
        <v>20</v>
      </c>
      <c r="D86" s="191">
        <f t="shared" ref="D86:D104" si="6">B86*C86</f>
        <v>420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35</v>
      </c>
      <c r="B87" s="193">
        <f>'Données projet'!D90</f>
        <v>21</v>
      </c>
      <c r="C87" s="204">
        <v>30</v>
      </c>
      <c r="D87" s="191">
        <f t="shared" si="6"/>
        <v>630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40</v>
      </c>
      <c r="B88" s="193">
        <f>'Données projet'!D91</f>
        <v>21</v>
      </c>
      <c r="C88" s="204">
        <v>40</v>
      </c>
      <c r="D88" s="191">
        <f t="shared" si="6"/>
        <v>840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45</v>
      </c>
      <c r="B89" s="193">
        <f>'Données projet'!D92</f>
        <v>21</v>
      </c>
      <c r="C89" s="204">
        <v>50</v>
      </c>
      <c r="D89" s="191">
        <f t="shared" si="6"/>
        <v>1050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50</v>
      </c>
      <c r="B90" s="193">
        <f>'Données projet'!D93</f>
        <v>21</v>
      </c>
      <c r="C90" s="204">
        <v>60</v>
      </c>
      <c r="D90" s="191">
        <f t="shared" si="6"/>
        <v>1260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55</v>
      </c>
      <c r="B91" s="193">
        <f>'Données projet'!D94</f>
        <v>21</v>
      </c>
      <c r="C91" s="204">
        <v>100</v>
      </c>
      <c r="D91" s="191">
        <f t="shared" si="6"/>
        <v>2100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60</v>
      </c>
      <c r="B92" s="193">
        <f>'Données projet'!D95</f>
        <v>21</v>
      </c>
      <c r="C92" s="204">
        <v>150</v>
      </c>
      <c r="D92" s="191">
        <f t="shared" si="6"/>
        <v>3150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65</v>
      </c>
      <c r="B93" s="193">
        <f>'Données projet'!D96</f>
        <v>21</v>
      </c>
      <c r="C93" s="204">
        <v>200</v>
      </c>
      <c r="D93" s="191">
        <f t="shared" si="6"/>
        <v>4200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70</v>
      </c>
      <c r="B94" s="193">
        <f>'Données projet'!D97</f>
        <v>21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75</v>
      </c>
      <c r="B95" s="193">
        <f>'Données projet'!D98</f>
        <v>21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80</v>
      </c>
      <c r="B96" s="193">
        <f>'Données projet'!D99</f>
        <v>21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85</v>
      </c>
      <c r="B97" s="193">
        <f>'Données projet'!D100</f>
        <v>21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90</v>
      </c>
      <c r="B98" s="193">
        <f>'Données projet'!D101</f>
        <v>21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95</v>
      </c>
      <c r="B99" s="193">
        <f>'Données projet'!D102</f>
        <v>21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100</v>
      </c>
      <c r="B100" s="193">
        <f>'Données projet'!D103</f>
        <v>21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105</v>
      </c>
      <c r="B101" s="193">
        <f>'Données projet'!D104</f>
        <v>20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110</v>
      </c>
      <c r="B102" s="193">
        <f>'Données projet'!D105</f>
        <v>19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115</v>
      </c>
      <c r="B103" s="193">
        <f>'Données projet'!D106</f>
        <v>18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120</v>
      </c>
      <c r="B104" s="193">
        <f>'Données projet'!D107</f>
        <v>305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>
        <v>65</v>
      </c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PERNEY Cécilia</cp:lastModifiedBy>
  <dcterms:created xsi:type="dcterms:W3CDTF">2021-02-01T08:22:39Z</dcterms:created>
  <dcterms:modified xsi:type="dcterms:W3CDTF">2024-05-13T08:46:40Z</dcterms:modified>
</cp:coreProperties>
</file>