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Dominique JAY/Mont-Dore_63_Dominique Jay_3,8/Dossier LBC/"/>
    </mc:Choice>
  </mc:AlternateContent>
  <xr:revisionPtr revIDLastSave="17" documentId="8_{34C4BEA6-4954-42C0-B30D-1C854CE0B014}" xr6:coauthVersionLast="47" xr6:coauthVersionMax="47" xr10:uidLastSave="{80C5A43E-A080-4F69-9702-A57092EC77C3}"/>
  <bookViews>
    <workbookView xWindow="-110" yWindow="-110" windowWidth="19420" windowHeight="11500" tabRatio="782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6" l="1"/>
  <c r="E17" i="6"/>
  <c r="I21" i="6"/>
  <c r="I20" i="6"/>
  <c r="E20" i="6"/>
  <c r="E18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A4" i="2"/>
  <c r="BQ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HH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EA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DI167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99" i="2" a="1"/>
  <c r="AH199" i="2" s="1"/>
  <c r="BC117" i="2" a="1"/>
  <c r="BC117" i="2" s="1"/>
  <c r="BC47" i="2" a="1"/>
  <c r="BC47" i="2" s="1"/>
  <c r="BC68" i="2" a="1"/>
  <c r="BC68" i="2" s="1"/>
  <c r="BC58" i="2" a="1"/>
  <c r="BC58" i="2" s="1"/>
  <c r="BC34" i="2" a="1"/>
  <c r="BC34" i="2" s="1"/>
  <c r="BC65" i="2" a="1"/>
  <c r="BC65" i="2" s="1"/>
  <c r="BC114" i="2" a="1"/>
  <c r="BC114" i="2" s="1"/>
  <c r="BC32" i="2" a="1"/>
  <c r="BC32" i="2" s="1"/>
  <c r="BC126" i="2" a="1"/>
  <c r="BC126" i="2" s="1"/>
  <c r="BP203" i="2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tc={DA2FF674-31A4-4153-B6EC-52E9BF86FF66}</author>
    <author>tc={0A1B7604-0BEC-40EA-BE74-213F66AB0E05}</author>
    <author>tc={5677C06C-F87E-49C3-8059-1E54B4EC90EE}</author>
    <author>tc={4F32FC68-A07A-4294-BD16-8FCCD32BF8DD}</author>
    <author>tc={B057D1EE-D08A-4E51-B108-34CC2976797E}</author>
    <author>tc={AF8FCC1B-D590-4C51-99AB-00453040BEE4}</author>
    <author>tc={22806539-5CD2-4EA5-9C2B-57C84940194C}</author>
  </authors>
  <commentList>
    <comment ref="E17" authorId="0" shapeId="0" xr:uid="{DA2FF674-31A4-4153-B6EC-52E9BF86FF6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plants (douglas) et plantation (tout)</t>
      </text>
    </comment>
    <comment ref="E18" authorId="1" shapeId="0" xr:uid="{0A1B7604-0BEC-40EA-BE74-213F66AB0E0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entretien N+1</t>
      </text>
    </comment>
    <comment ref="E20" authorId="2" shapeId="0" xr:uid="{5677C06C-F87E-49C3-8059-1E54B4EC90E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Entretien n+2</t>
      </text>
    </comment>
    <comment ref="I20" authorId="3" shapeId="0" xr:uid="{4F32FC68-A07A-4294-BD16-8FCCD32BF8D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Prépa (mise en andains)</t>
      </text>
    </comment>
    <comment ref="I21" authorId="4" shapeId="0" xr:uid="{B057D1EE-D08A-4E51-B108-34CC2976797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protection et mise en place</t>
      </text>
    </comment>
    <comment ref="E22" authorId="5" shapeId="0" xr:uid="{AF8FCC1B-D590-4C51-99AB-00453040BEE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Entreitne n+3</t>
      </text>
    </comment>
    <comment ref="E79" authorId="6" shapeId="0" xr:uid="{22806539-5CD2-4EA5-9C2B-57C84940194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plants erable</t>
      </text>
    </comment>
  </commentList>
</comments>
</file>

<file path=xl/sharedStrings.xml><?xml version="1.0" encoding="utf-8"?>
<sst xmlns="http://schemas.openxmlformats.org/spreadsheetml/2006/main" count="1173" uniqueCount="328">
  <si>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</si>
  <si>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</si>
  <si>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</si>
  <si>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</si>
  <si>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</si>
  <si>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</si>
  <si>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</si>
  <si>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</si>
  <si>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</si>
  <si>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</si>
  <si>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</si>
  <si>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</si>
  <si>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</si>
  <si>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</si>
  <si>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</si>
  <si>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</si>
  <si>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</si>
  <si>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</si>
  <si>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</si>
  <si>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</si>
  <si>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</si>
  <si>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</si>
  <si>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</si>
  <si>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</si>
  <si>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</si>
  <si>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</si>
  <si>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</si>
  <si>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</si>
  <si>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</si>
  <si>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</si>
  <si>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</si>
  <si>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</si>
  <si>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</si>
  <si>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</si>
  <si>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</si>
  <si>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</si>
  <si>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</si>
  <si>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</si>
  <si>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</si>
  <si>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</si>
  <si>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</si>
  <si>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</si>
  <si>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</si>
  <si>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</si>
  <si>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</si>
  <si>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</si>
  <si>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</si>
  <si>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</si>
  <si>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</si>
  <si>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</si>
  <si>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</si>
  <si>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</si>
  <si>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</si>
  <si>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</si>
  <si>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</si>
  <si>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</si>
  <si>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</si>
  <si>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</si>
  <si>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</si>
  <si>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</si>
  <si>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</si>
  <si>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</si>
  <si>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</si>
  <si>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</si>
  <si>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</si>
  <si>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</si>
  <si>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</si>
  <si>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</si>
  <si>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</si>
  <si>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</si>
  <si>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</si>
  <si>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</si>
  <si>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</si>
  <si>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</si>
  <si>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</si>
  <si>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</si>
  <si>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</si>
  <si>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</si>
  <si>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</si>
  <si>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</si>
  <si>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</si>
  <si>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</si>
  <si>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</si>
  <si>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</si>
  <si>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</si>
  <si>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</si>
  <si>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</si>
  <si>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</si>
  <si>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</si>
  <si>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</si>
  <si>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</si>
  <si>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</si>
  <si>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</si>
  <si>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</si>
  <si>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</si>
  <si>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</si>
  <si>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</si>
  <si>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</si>
  <si>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</si>
  <si>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</si>
  <si>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</si>
  <si>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</si>
  <si>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</si>
  <si>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</si>
  <si>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</si>
  <si>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</si>
  <si>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</si>
  <si>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</si>
  <si>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</si>
  <si>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</si>
  <si>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</si>
  <si>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</si>
  <si>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</si>
  <si>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</si>
  <si>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</si>
  <si>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</si>
  <si>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</si>
  <si>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</si>
  <si>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</si>
  <si>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</si>
  <si>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</si>
  <si>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</si>
  <si>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</si>
  <si>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</si>
  <si>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</si>
  <si>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</si>
  <si>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</si>
  <si>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</si>
  <si>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</si>
  <si>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</si>
  <si>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</si>
  <si>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</si>
  <si>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</si>
  <si>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</si>
  <si>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</si>
  <si>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</si>
  <si>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</si>
  <si>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</si>
  <si>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</si>
  <si>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</si>
  <si>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</si>
  <si>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</si>
  <si>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</si>
  <si>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</si>
  <si>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</si>
  <si>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</si>
  <si>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</si>
  <si>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</si>
  <si>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</si>
  <si>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</si>
  <si>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</si>
  <si>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</si>
  <si>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</si>
  <si>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</si>
  <si>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</si>
  <si>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</si>
  <si>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</si>
  <si>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</si>
  <si>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</si>
  <si>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</si>
  <si>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</si>
  <si>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</si>
  <si>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</si>
  <si>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</si>
  <si>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</si>
  <si>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</si>
  <si>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</si>
  <si>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</si>
  <si>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</si>
  <si>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</si>
  <si>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</si>
  <si>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</si>
  <si>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</si>
  <si>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</si>
  <si>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</si>
  <si>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</si>
  <si>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</si>
  <si>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</si>
  <si>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</si>
  <si>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</si>
  <si>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</si>
  <si>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</si>
  <si>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</si>
  <si>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</si>
  <si>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</si>
  <si>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</si>
  <si>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</si>
  <si>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</si>
  <si>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</si>
  <si>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</si>
  <si>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</si>
  <si>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</si>
  <si>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</si>
  <si>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</si>
  <si>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</si>
  <si>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</si>
  <si>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</si>
  <si>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</si>
  <si>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</si>
  <si>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</si>
  <si>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</si>
  <si>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</si>
  <si>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</si>
  <si>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</si>
  <si>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</si>
  <si>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</si>
  <si>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</si>
  <si>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</si>
  <si>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</si>
  <si>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</si>
  <si>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</si>
  <si>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</si>
  <si>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</si>
  <si>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</si>
  <si>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</si>
  <si>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</si>
  <si>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</si>
  <si>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</si>
  <si>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</si>
  <si>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</si>
  <si>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</si>
  <si>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</si>
  <si>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</si>
  <si>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</si>
  <si>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</si>
  <si>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</si>
  <si>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</si>
  <si>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</si>
  <si>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</si>
  <si>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</si>
  <si>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</si>
  <si>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</si>
  <si>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</si>
  <si>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</si>
  <si>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</si>
  <si>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</si>
  <si>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</si>
  <si>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</si>
  <si>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</si>
  <si>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</si>
  <si>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</si>
  <si>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</si>
  <si>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</si>
  <si>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</si>
  <si>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</si>
  <si>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</si>
  <si>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</si>
  <si>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</si>
  <si>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</si>
  <si>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</si>
  <si>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</si>
  <si>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</si>
  <si>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</si>
  <si>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</si>
  <si>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</si>
  <si>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</si>
  <si>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</si>
  <si>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</si>
  <si>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</si>
  <si>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</si>
  <si>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</si>
  <si>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</si>
  <si>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</si>
  <si>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</si>
  <si>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</si>
  <si>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</si>
  <si>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</si>
  <si>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</si>
  <si>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</si>
  <si>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</si>
  <si>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</si>
  <si>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</si>
  <si>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</si>
  <si>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</si>
  <si>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</si>
  <si>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</si>
  <si>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</si>
  <si>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</si>
  <si>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</si>
  <si>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</si>
  <si>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</si>
  <si>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</si>
  <si>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</si>
  <si>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</si>
  <si>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</si>
  <si>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</si>
  <si>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</si>
  <si>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</si>
  <si>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</si>
  <si>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</si>
  <si>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</si>
  <si>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</si>
  <si>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</si>
  <si>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</si>
  <si>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</si>
  <si>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</si>
  <si>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</si>
  <si>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</si>
  <si>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</si>
  <si>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</si>
  <si>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</si>
  <si>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</si>
  <si>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</si>
  <si>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</si>
  <si>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</si>
  <si>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</si>
  <si>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</si>
  <si>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</si>
  <si>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</si>
  <si>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</si>
  <si>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</si>
  <si>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</si>
  <si>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</si>
  <si>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</si>
  <si>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</si>
  <si>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</si>
  <si>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</si>
  <si>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</si>
  <si>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</si>
  <si>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</si>
  <si>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</si>
  <si>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</si>
  <si>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</si>
  <si>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</si>
  <si>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douglas</t>
  </si>
  <si>
    <t>mélèze d'europe</t>
  </si>
  <si>
    <t>erable sycomore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</si>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</sst>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VEN Thomas - externe" id="{5503A287-770E-4792-BF06-8EED4C5C814F}" userId="S::thomas-externe.even@edf.fr::452271ae-bb84-4b5a-842a-62e2f04bfc7c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" dT="2023-08-30T07:49:27.95" personId="{5503A287-770E-4792-BF06-8EED4C5C814F}" id="{DA2FF674-31A4-4153-B6EC-52E9BF86FF66}">
    <text>plants (douglas) et plantation (tout)</text>
  </threadedComment>
  <threadedComment ref="E18" dT="2023-08-30T07:45:02.71" personId="{5503A287-770E-4792-BF06-8EED4C5C814F}" id="{0A1B7604-0BEC-40EA-BE74-213F66AB0E05}">
    <text>entretien N+1</text>
  </threadedComment>
  <threadedComment ref="E20" dT="2023-08-30T07:45:13.45" personId="{5503A287-770E-4792-BF06-8EED4C5C814F}" id="{5677C06C-F87E-49C3-8059-1E54B4EC90EE}">
    <text>Entretien n+2</text>
  </threadedComment>
  <threadedComment ref="I20" dT="2023-08-30T07:46:48.89" personId="{5503A287-770E-4792-BF06-8EED4C5C814F}" id="{4F32FC68-A07A-4294-BD16-8FCCD32BF8DD}">
    <text>Prépa (mise en andains)</text>
  </threadedComment>
  <threadedComment ref="I21" dT="2023-08-30T07:56:05.23" personId="{5503A287-770E-4792-BF06-8EED4C5C814F}" id="{B057D1EE-D08A-4E51-B108-34CC2976797E}">
    <text>protection et mise en place</text>
  </threadedComment>
  <threadedComment ref="E22" dT="2023-08-30T07:45:21.64" personId="{5503A287-770E-4792-BF06-8EED4C5C814F}" id="{AF8FCC1B-D590-4C51-99AB-00453040BEE4}">
    <text>Entreitne n+3</text>
  </threadedComment>
  <threadedComment ref="E79" dT="2023-08-30T07:50:27.75" personId="{5503A287-770E-4792-BF06-8EED4C5C814F}" id="{22806539-5CD2-4EA5-9C2B-57C84940194C}">
    <text>plants erable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0" zoomScale="70" zoomScaleNormal="70" workbookViewId="0">
      <selection activeCell="E11" sqref="E1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3.8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324</v>
      </c>
      <c r="C9" s="32">
        <v>0.41988950276243092</v>
      </c>
      <c r="D9" s="33">
        <f t="shared" ref="D9:D18" si="0">C9*$C$5</f>
        <v>1.5955801104972374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325</v>
      </c>
      <c r="C10" s="32">
        <v>0.52486187845303867</v>
      </c>
      <c r="D10" s="33">
        <f t="shared" si="0"/>
        <v>1.9944751381215469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326</v>
      </c>
      <c r="C11" s="32">
        <v>5.5248618784530384E-2</v>
      </c>
      <c r="D11" s="33">
        <f t="shared" si="0"/>
        <v>0.20994475138121546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0.99999999999999989</v>
      </c>
      <c r="D19" s="38">
        <f>SUM(D9:D18)</f>
        <v>3.8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182.89230769230767</v>
      </c>
      <c r="C36" s="60">
        <v>1</v>
      </c>
      <c r="D36" s="60">
        <v>69.284615384615378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10.16068376068376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237.56153846153845</v>
      </c>
      <c r="C37" s="60">
        <v>2</v>
      </c>
      <c r="D37" s="60">
        <v>42.661538461538463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20.658974358974358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331.86923076923074</v>
      </c>
      <c r="C38" s="60">
        <v>3</v>
      </c>
      <c r="D38" s="60">
        <v>65.669230769230765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22.828205128205127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403.50769230769237</v>
      </c>
      <c r="C39" s="60">
        <v>4</v>
      </c>
      <c r="D39" s="60">
        <v>69.3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22.884615384615397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42</v>
      </c>
      <c r="B40" s="60">
        <v>468.72307692307686</v>
      </c>
      <c r="C40" s="60">
        <v>5</v>
      </c>
      <c r="D40" s="60">
        <v>73.392307692307682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22.419230769230751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525.0846153846154</v>
      </c>
      <c r="C41" s="60">
        <v>6</v>
      </c>
      <c r="D41" s="60">
        <v>81.330769230769235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21.625641025641034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54</v>
      </c>
      <c r="B42" s="60">
        <v>566.79999999999995</v>
      </c>
      <c r="C42" s="60">
        <v>7</v>
      </c>
      <c r="D42" s="60">
        <v>566.79999999999995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20.507692307692299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18</v>
      </c>
      <c r="B62" s="60">
        <v>112</v>
      </c>
      <c r="C62" s="60">
        <v>1</v>
      </c>
      <c r="D62" s="60">
        <v>20</v>
      </c>
      <c r="E62" s="51">
        <v>0</v>
      </c>
      <c r="F62" s="51">
        <v>0.7</v>
      </c>
      <c r="G62" s="51">
        <v>0</v>
      </c>
      <c r="H62" s="51">
        <v>0.3</v>
      </c>
      <c r="I62" s="53">
        <f>IFERROR(B62/A62,"")</f>
        <v>6.2222222222222223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21</v>
      </c>
      <c r="B63" s="60">
        <v>146</v>
      </c>
      <c r="C63" s="60">
        <v>2</v>
      </c>
      <c r="D63" s="60">
        <v>26</v>
      </c>
      <c r="E63" s="51">
        <v>0</v>
      </c>
      <c r="F63" s="51">
        <v>0.8</v>
      </c>
      <c r="G63" s="51">
        <v>0</v>
      </c>
      <c r="H63" s="51">
        <v>0.2</v>
      </c>
      <c r="I63" s="49">
        <f>IF(A63&lt;&gt;0,(B63-(B62-D62))/(A63-A62),"")</f>
        <v>18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24</v>
      </c>
      <c r="B64" s="60">
        <v>168</v>
      </c>
      <c r="C64" s="60">
        <v>3</v>
      </c>
      <c r="D64" s="60">
        <v>29</v>
      </c>
      <c r="E64" s="51">
        <v>0</v>
      </c>
      <c r="F64" s="51">
        <v>0.8</v>
      </c>
      <c r="G64" s="51">
        <v>0</v>
      </c>
      <c r="H64" s="51">
        <v>0.2</v>
      </c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30</v>
      </c>
      <c r="B65" s="60">
        <v>224</v>
      </c>
      <c r="C65" s="60">
        <v>4</v>
      </c>
      <c r="D65" s="60">
        <v>53</v>
      </c>
      <c r="E65" s="51">
        <v>0</v>
      </c>
      <c r="F65" s="51">
        <v>0.8</v>
      </c>
      <c r="G65" s="51">
        <v>0</v>
      </c>
      <c r="H65" s="51">
        <v>0.2</v>
      </c>
      <c r="I65" s="49">
        <f>IF(A65&lt;&gt;0,(B65-(B64-D64))/(A65-A64),"")</f>
        <v>14.166666666666666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36</v>
      </c>
      <c r="B66" s="60">
        <v>248</v>
      </c>
      <c r="C66" s="60">
        <v>5</v>
      </c>
      <c r="D66" s="60">
        <v>62</v>
      </c>
      <c r="E66" s="51">
        <v>0.3</v>
      </c>
      <c r="F66" s="51">
        <v>0.6</v>
      </c>
      <c r="G66" s="51">
        <v>0</v>
      </c>
      <c r="H66" s="51">
        <v>0.1</v>
      </c>
      <c r="I66" s="49">
        <f t="shared" ref="I66:I81" si="2">IF(A66&lt;&gt;0,(B66-(B65-D65))/(A66-A65),"")</f>
        <v>12.833333333333334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42</v>
      </c>
      <c r="B67" s="60">
        <v>255</v>
      </c>
      <c r="C67" s="60">
        <v>6</v>
      </c>
      <c r="D67" s="60">
        <v>67</v>
      </c>
      <c r="E67" s="51">
        <v>0.3</v>
      </c>
      <c r="F67" s="51">
        <v>0.6</v>
      </c>
      <c r="G67" s="51">
        <v>0</v>
      </c>
      <c r="H67" s="51">
        <v>0.1</v>
      </c>
      <c r="I67" s="49">
        <f t="shared" si="2"/>
        <v>11.5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48</v>
      </c>
      <c r="B68" s="60">
        <v>252</v>
      </c>
      <c r="C68" s="60">
        <v>7</v>
      </c>
      <c r="D68" s="60">
        <v>65</v>
      </c>
      <c r="E68" s="51">
        <v>0.4</v>
      </c>
      <c r="F68" s="51">
        <v>0.6</v>
      </c>
      <c r="G68" s="51">
        <v>0</v>
      </c>
      <c r="H68" s="51">
        <v>0</v>
      </c>
      <c r="I68" s="49">
        <f t="shared" si="2"/>
        <v>10.666666666666666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60</v>
      </c>
      <c r="B69" s="50">
        <v>304</v>
      </c>
      <c r="C69" s="50" t="s">
        <v>327</v>
      </c>
      <c r="D69" s="50">
        <v>304</v>
      </c>
      <c r="E69" s="51">
        <v>0.4</v>
      </c>
      <c r="F69" s="51">
        <v>0.6</v>
      </c>
      <c r="G69" s="51">
        <v>0</v>
      </c>
      <c r="H69" s="51">
        <v>0</v>
      </c>
      <c r="I69" s="49">
        <f t="shared" si="2"/>
        <v>9.75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erable sycomore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15</v>
      </c>
      <c r="B88" s="60">
        <v>37</v>
      </c>
      <c r="C88" s="60">
        <v>1</v>
      </c>
      <c r="D88" s="60">
        <v>15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20</v>
      </c>
      <c r="B89" s="60">
        <v>80</v>
      </c>
      <c r="C89" s="60">
        <v>2</v>
      </c>
      <c r="D89" s="60">
        <v>28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25</v>
      </c>
      <c r="B90" s="60">
        <v>115</v>
      </c>
      <c r="C90" s="60">
        <v>3</v>
      </c>
      <c r="D90" s="60">
        <v>28</v>
      </c>
      <c r="E90" s="87">
        <v>0</v>
      </c>
      <c r="F90" s="87">
        <v>7.0000000000000007E-2</v>
      </c>
      <c r="G90" s="87">
        <v>0</v>
      </c>
      <c r="H90" s="87">
        <v>0.93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30</v>
      </c>
      <c r="B91" s="60">
        <v>146</v>
      </c>
      <c r="C91" s="60">
        <v>4</v>
      </c>
      <c r="D91" s="60">
        <v>28</v>
      </c>
      <c r="E91" s="87">
        <v>0.04</v>
      </c>
      <c r="F91" s="87">
        <v>0.28999999999999998</v>
      </c>
      <c r="G91" s="87">
        <v>0</v>
      </c>
      <c r="H91" s="87">
        <v>0.68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35</v>
      </c>
      <c r="B92" s="60">
        <v>172</v>
      </c>
      <c r="C92" s="60">
        <v>5</v>
      </c>
      <c r="D92" s="60">
        <v>28</v>
      </c>
      <c r="E92" s="87">
        <v>0.18</v>
      </c>
      <c r="F92" s="87">
        <v>0.43</v>
      </c>
      <c r="G92" s="87">
        <v>0</v>
      </c>
      <c r="H92" s="87">
        <v>0.39</v>
      </c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40</v>
      </c>
      <c r="B93" s="60">
        <v>192</v>
      </c>
      <c r="C93" s="60">
        <v>6</v>
      </c>
      <c r="D93" s="60">
        <v>28</v>
      </c>
      <c r="E93" s="87">
        <v>0.39</v>
      </c>
      <c r="F93" s="87">
        <v>0.39</v>
      </c>
      <c r="G93" s="87">
        <v>0</v>
      </c>
      <c r="H93" s="87">
        <v>0.21</v>
      </c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45</v>
      </c>
      <c r="B94" s="60">
        <v>205</v>
      </c>
      <c r="C94" s="60">
        <v>7</v>
      </c>
      <c r="D94" s="60">
        <v>22</v>
      </c>
      <c r="E94" s="87">
        <v>0.59</v>
      </c>
      <c r="F94" s="87">
        <v>0.27</v>
      </c>
      <c r="G94" s="87">
        <v>0</v>
      </c>
      <c r="H94" s="87">
        <v>0.14000000000000001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50</v>
      </c>
      <c r="B95" s="60">
        <v>219</v>
      </c>
      <c r="C95" s="60">
        <v>8</v>
      </c>
      <c r="D95" s="60">
        <v>17</v>
      </c>
      <c r="E95" s="87">
        <v>0.71</v>
      </c>
      <c r="F95" s="87">
        <v>0.18</v>
      </c>
      <c r="G95" s="87">
        <v>0</v>
      </c>
      <c r="H95" s="87">
        <v>0.12</v>
      </c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55</v>
      </c>
      <c r="B96" s="60">
        <v>232</v>
      </c>
      <c r="C96" s="60">
        <v>9</v>
      </c>
      <c r="D96" s="60">
        <v>13</v>
      </c>
      <c r="E96" s="87">
        <v>0.77</v>
      </c>
      <c r="F96" s="87">
        <v>0.15</v>
      </c>
      <c r="G96" s="87">
        <v>0</v>
      </c>
      <c r="H96" s="87">
        <v>0.08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60</v>
      </c>
      <c r="B97" s="60">
        <v>245</v>
      </c>
      <c r="C97" s="60">
        <v>10</v>
      </c>
      <c r="D97" s="60">
        <v>12</v>
      </c>
      <c r="E97" s="87">
        <v>0.83</v>
      </c>
      <c r="F97" s="87">
        <v>0.08</v>
      </c>
      <c r="G97" s="87">
        <v>0</v>
      </c>
      <c r="H97" s="87">
        <v>0.08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65</v>
      </c>
      <c r="B98" s="60">
        <v>255</v>
      </c>
      <c r="C98" s="60">
        <v>11</v>
      </c>
      <c r="D98" s="60">
        <v>11</v>
      </c>
      <c r="E98" s="87">
        <v>0.82</v>
      </c>
      <c r="F98" s="87">
        <v>0.09</v>
      </c>
      <c r="G98" s="87">
        <v>0</v>
      </c>
      <c r="H98" s="87">
        <v>0.09</v>
      </c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70</v>
      </c>
      <c r="B99" s="60">
        <v>263</v>
      </c>
      <c r="C99" s="60">
        <v>12</v>
      </c>
      <c r="D99" s="60">
        <v>10</v>
      </c>
      <c r="E99" s="87">
        <v>0.9</v>
      </c>
      <c r="F99" s="87">
        <v>0.1</v>
      </c>
      <c r="G99" s="87">
        <v>0</v>
      </c>
      <c r="H99" s="87">
        <v>0</v>
      </c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75</v>
      </c>
      <c r="B100" s="60">
        <v>270</v>
      </c>
      <c r="C100" s="60">
        <v>13</v>
      </c>
      <c r="D100" s="60">
        <v>9</v>
      </c>
      <c r="E100" s="65">
        <v>0.89</v>
      </c>
      <c r="F100" s="65">
        <v>0.11</v>
      </c>
      <c r="G100" s="65">
        <v>0</v>
      </c>
      <c r="H100" s="65">
        <v>0</v>
      </c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80</v>
      </c>
      <c r="B101" s="60">
        <v>275</v>
      </c>
      <c r="C101" s="60">
        <v>14</v>
      </c>
      <c r="D101" s="60">
        <v>8</v>
      </c>
      <c r="E101" s="65">
        <v>0.88</v>
      </c>
      <c r="F101" s="65">
        <v>0.13</v>
      </c>
      <c r="G101" s="65">
        <v>0</v>
      </c>
      <c r="H101" s="65">
        <v>0</v>
      </c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C20" sqref="C20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sycomore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278.5296012747549</v>
      </c>
      <c r="T3" s="59">
        <f>IF('Données projet'!E9&gt;30,$R$33-$H$33,LOOKUP('Données projet'!$E$9,$A$3:$A$203,R3:R203)-LOOKUP('Données projet'!$E$9,$A$3:$A$203,$H$3:$H$203))</f>
        <v>370.55343097937077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179.44051550872138</v>
      </c>
      <c r="AO3" s="59">
        <f>IF('Données projet'!E10&gt;30,$AM$33-$H$33,LOOKUP('Données projet'!$E$10,$A$3:$A$203,AM3:AM203)-LOOKUP('Données projet'!$E$10,$A$3:$A$203,$H$3:$H$203))</f>
        <v>272.9500808380069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225.2323446080772</v>
      </c>
      <c r="BJ3" s="59">
        <f>IF('Données projet'!E11&gt;30,$BH$33-$H$33,LOOKUP('Données projet'!$E$11,$A$3:$A$203,BH3:BH203)-LOOKUP('Données projet'!$E$11,$A$3:$A$203,$H$3:$H$203))</f>
        <v>222.29030402759292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10.16068376068376</v>
      </c>
      <c r="N4" s="13">
        <f>IF('Données projet'!$A$36&gt;35,N3+M4-V3,IF(A4&lt;'Données projet'!$A$36,$K$205^A4,IF(A4='Données projet'!$A$36,'Données projet'!$B$36,N3+M4-V3)))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295.25364735375467</v>
      </c>
      <c r="S4" s="59">
        <f ca="1">AVERAGE(OFFSET($R$3,0,0,'Données projet'!$E$9+1,1))-AVERAGE(OFFSET($H$3,0,0,'Données projet'!$E$9+1,1))</f>
        <v>278.5296012747549</v>
      </c>
      <c r="T4" s="59">
        <f>$T$3</f>
        <v>370.55343097937077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6.2222222222222223</v>
      </c>
      <c r="AI4" s="13">
        <f>IF('Données projet'!$A$62&gt;35,AI3+AH4-AQ3,IF(A4&lt;'Données projet'!$A$62,$AF$205^A4,IF(A4='Données projet'!$A$62,'Données projet'!$B$62,AI3+AH4-AQ3)))</f>
        <v>1.2997069632623315</v>
      </c>
      <c r="AJ4" s="13">
        <f>AI4*VLOOKUP('Données projet'!$B$10,Paramètres!$A$1:$I$89,3,0)*VLOOKUP('Données projet'!$B$10,Paramètres!$A$1:$I$89,5,0)</f>
        <v>0.81101714507569489</v>
      </c>
      <c r="AK4" s="13">
        <f>EXP(-1.0587+0.8836*LN(AJ4)+0.284)</f>
        <v>0.38297551084354686</v>
      </c>
      <c r="AL4" s="20">
        <f t="shared" ref="AL4:AL67" si="4">(AJ4+AK4)*0.475*44/12</f>
        <v>2.0795372090593456</v>
      </c>
      <c r="AM4" s="59">
        <f t="shared" ref="AM4:AM67" si="5">AL4+(AD4+AE4)*44/12</f>
        <v>295.41287054239268</v>
      </c>
      <c r="AN4" s="59">
        <f ca="1">AVERAGE(OFFSET($AM$3,0,0,'Données projet'!$E$10+1,1))-AVERAGE(OFFSET($H$3,0,0,'Données projet'!$E$10+1,1))</f>
        <v>179.44051550872138</v>
      </c>
      <c r="AO4" s="59">
        <f>$AO$3</f>
        <v>272.9500808380069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1.0121422546683387</v>
      </c>
      <c r="BF4" s="13">
        <f>EXP(-1.0587+0.8836*LN(BE4)+0.284)</f>
        <v>0.46578286063395047</v>
      </c>
      <c r="BG4" s="20">
        <f t="shared" ref="BG4:BG67" si="7">(BE4+BF4)*0.475*44/12</f>
        <v>2.574052909151487</v>
      </c>
      <c r="BH4" s="59">
        <f t="shared" ref="BH4:BH67" si="8">BG4+(AY4+AZ4)*44/12</f>
        <v>295.90738624248479</v>
      </c>
      <c r="BI4" s="59">
        <f ca="1">AVERAGE(OFFSET($BH$3,0,0,'Données projet'!$E$11+1,1))-AVERAGE(OFFSET($H$3,0,0,'Données projet'!$E$11+1,1))</f>
        <v>225.2323446080772</v>
      </c>
      <c r="BJ4" s="59">
        <f>$BJ$3</f>
        <v>222.29030402759292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10.16068376068376</v>
      </c>
      <c r="N5" s="13">
        <f>IF('Données projet'!$A$36&gt;35,N4+M5-V4,IF(A5&lt;'Données projet'!$A$36,$K$205^A5,IF(A5='Données projet'!$A$36,'Données projet'!$B$36,N4+M5-V4)))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33">EXP(-1.0587+0.8836*LN(O5)+0.284)</f>
        <v>0.4596872513511342</v>
      </c>
      <c r="Q5" s="20">
        <f t="shared" si="2"/>
        <v>2.5373503253048804</v>
      </c>
      <c r="R5" s="59">
        <f t="shared" si="0"/>
        <v>295.8706836586382</v>
      </c>
      <c r="S5" s="59">
        <f ca="1">AVERAGE(OFFSET($R$3,0,0,'Données projet'!$E$9+1,1))-AVERAGE(OFFSET($H$3,0,0,'Données projet'!$E$9+1,1))</f>
        <v>278.5296012747549</v>
      </c>
      <c r="T5" s="59">
        <f t="shared" ref="T5:T68" si="34">$T$3</f>
        <v>370.55343097937077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6.2222222222222223</v>
      </c>
      <c r="AI5" s="13">
        <f>IF('Données projet'!$A$62&gt;35,AI4+AH5-AQ4,IF(A5&lt;'Données projet'!$A$62,$AF$205^A5,IF(A5='Données projet'!$A$62,'Données projet'!$B$62,AI4+AH5-AQ4)))</f>
        <v>1.6892381903525915</v>
      </c>
      <c r="AJ5" s="13">
        <f>AI5*VLOOKUP('Données projet'!$B$10,Paramètres!$A$1:$I$89,3,0)*VLOOKUP('Données projet'!$B$10,Paramètres!$A$1:$I$89,5,0)</f>
        <v>1.0540846307800171</v>
      </c>
      <c r="AK5" s="13">
        <f t="shared" ref="AK5:AK68" si="35">EXP(-1.0587+0.8836*LN(AJ5)+0.284)</f>
        <v>0.48279730809434274</v>
      </c>
      <c r="AL5" s="20">
        <f t="shared" si="4"/>
        <v>2.6767360435395098</v>
      </c>
      <c r="AM5" s="59">
        <f t="shared" si="5"/>
        <v>296.01006937687282</v>
      </c>
      <c r="AN5" s="59">
        <f ca="1">AVERAGE(OFFSET($AM$3,0,0,'Données projet'!$E$10+1,1))-AVERAGE(OFFSET($H$3,0,0,'Données projet'!$E$10+1,1))</f>
        <v>179.44051550872138</v>
      </c>
      <c r="AO5" s="59">
        <f t="shared" ref="AO5:AO68" si="36">$AO$3</f>
        <v>272.9500808380069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1.2876218497801761</v>
      </c>
      <c r="BF5" s="13">
        <f t="shared" ref="BF5:BF68" si="37">EXP(-1.0587+0.8836*LN(BE5)+0.284)</f>
        <v>0.57618379541883336</v>
      </c>
      <c r="BG5" s="20">
        <f t="shared" si="7"/>
        <v>3.2461281653882743</v>
      </c>
      <c r="BH5" s="59">
        <f t="shared" si="8"/>
        <v>296.57946149872157</v>
      </c>
      <c r="BI5" s="59">
        <f ca="1">AVERAGE(OFFSET($BH$3,0,0,'Données projet'!$E$11+1,1))-AVERAGE(OFFSET($H$3,0,0,'Données projet'!$E$11+1,1))</f>
        <v>225.2323446080772</v>
      </c>
      <c r="BJ5" s="59">
        <f t="shared" ref="BJ5:BJ68" si="38">$BJ$3</f>
        <v>222.29030402759292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10.16068376068376</v>
      </c>
      <c r="N6" s="13">
        <f>IF('Données projet'!$A$36&gt;35,N5+M6-V5,IF(A6&lt;'Données projet'!$A$36,$K$205^A6,IF(A6='Données projet'!$A$36,'Données projet'!$B$36,N5+M6-V5)))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33"/>
        <v>0.59362354768914927</v>
      </c>
      <c r="Q6" s="20">
        <f t="shared" si="2"/>
        <v>3.3534746967259621</v>
      </c>
      <c r="R6" s="59">
        <f t="shared" si="0"/>
        <v>296.6868080300593</v>
      </c>
      <c r="S6" s="59">
        <f ca="1">AVERAGE(OFFSET($R$3,0,0,'Données projet'!$E$9+1,1))-AVERAGE(OFFSET($H$3,0,0,'Données projet'!$E$9+1,1))</f>
        <v>278.5296012747549</v>
      </c>
      <c r="T6" s="59">
        <f t="shared" si="34"/>
        <v>370.55343097937077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6.2222222222222223</v>
      </c>
      <c r="AI6" s="13">
        <f>IF('Données projet'!$A$62&gt;35,AI5+AH6-AQ5,IF(A6&lt;'Données projet'!$A$62,$AF$205^A6,IF(A6='Données projet'!$A$62,'Données projet'!$B$62,AI5+AH6-AQ5)))</f>
        <v>2.1955146386099229</v>
      </c>
      <c r="AJ6" s="13">
        <f>AI6*VLOOKUP('Données projet'!$B$10,Paramètres!$A$1:$I$89,3,0)*VLOOKUP('Données projet'!$B$10,Paramètres!$A$1:$I$89,5,0)</f>
        <v>1.3700011344925918</v>
      </c>
      <c r="AK6" s="13">
        <f t="shared" si="35"/>
        <v>0.60863745619068288</v>
      </c>
      <c r="AL6" s="20">
        <f t="shared" si="4"/>
        <v>3.4461288787733699</v>
      </c>
      <c r="AM6" s="59">
        <f t="shared" si="5"/>
        <v>296.77946221210669</v>
      </c>
      <c r="AN6" s="59">
        <f ca="1">AVERAGE(OFFSET($AM$3,0,0,'Données projet'!$E$10+1,1))-AVERAGE(OFFSET($H$3,0,0,'Données projet'!$E$10+1,1))</f>
        <v>179.44051550872138</v>
      </c>
      <c r="AO6" s="59">
        <f t="shared" si="36"/>
        <v>272.9500808380069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1.6380800429823084</v>
      </c>
      <c r="BF6" s="13">
        <f t="shared" si="37"/>
        <v>0.71275221602487127</v>
      </c>
      <c r="BG6" s="20">
        <f t="shared" si="7"/>
        <v>4.0943661844375043</v>
      </c>
      <c r="BH6" s="59">
        <f t="shared" si="8"/>
        <v>297.4276995177708</v>
      </c>
      <c r="BI6" s="59">
        <f ca="1">AVERAGE(OFFSET($BH$3,0,0,'Données projet'!$E$11+1,1))-AVERAGE(OFFSET($H$3,0,0,'Données projet'!$E$11+1,1))</f>
        <v>225.2323446080772</v>
      </c>
      <c r="BJ6" s="59">
        <f t="shared" si="38"/>
        <v>222.29030402759292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10.16068376068376</v>
      </c>
      <c r="N7" s="13">
        <f>IF('Données projet'!$A$36&gt;35,N6+M7-V6,IF(A7&lt;'Données projet'!$A$36,$K$205^A7,IF(A7='Données projet'!$A$36,'Données projet'!$B$36,N6+M7-V6)))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33"/>
        <v>0.76658405325641277</v>
      </c>
      <c r="Q7" s="20">
        <f t="shared" si="2"/>
        <v>4.4331733568356464</v>
      </c>
      <c r="R7" s="59">
        <f t="shared" si="0"/>
        <v>297.76650669016897</v>
      </c>
      <c r="S7" s="59">
        <f ca="1">AVERAGE(OFFSET($R$3,0,0,'Données projet'!$E$9+1,1))-AVERAGE(OFFSET($H$3,0,0,'Données projet'!$E$9+1,1))</f>
        <v>278.5296012747549</v>
      </c>
      <c r="T7" s="59">
        <f t="shared" si="34"/>
        <v>370.55343097937077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6.2222222222222223</v>
      </c>
      <c r="AI7" s="13">
        <f>IF('Données projet'!$A$62&gt;35,AI6+AH7-AQ6,IF(A7&lt;'Données projet'!$A$62,$AF$205^A7,IF(A7='Données projet'!$A$62,'Données projet'!$B$62,AI6+AH7-AQ6)))</f>
        <v>2.8535256637456983</v>
      </c>
      <c r="AJ7" s="13">
        <f>AI7*VLOOKUP('Données projet'!$B$10,Paramètres!$A$1:$I$89,3,0)*VLOOKUP('Données projet'!$B$10,Paramètres!$A$1:$I$89,5,0)</f>
        <v>1.7806000141773157</v>
      </c>
      <c r="AK7" s="13">
        <f t="shared" si="35"/>
        <v>0.76727758599241935</v>
      </c>
      <c r="AL7" s="20">
        <f t="shared" si="4"/>
        <v>4.4375534869622877</v>
      </c>
      <c r="AM7" s="59">
        <f t="shared" si="5"/>
        <v>297.77088682029563</v>
      </c>
      <c r="AN7" s="59">
        <f ca="1">AVERAGE(OFFSET($AM$3,0,0,'Données projet'!$E$10+1,1))-AVERAGE(OFFSET($H$3,0,0,'Données projet'!$E$10+1,1))</f>
        <v>179.44051550872138</v>
      </c>
      <c r="AO7" s="59">
        <f t="shared" si="36"/>
        <v>272.9500808380069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2.0839241176864287</v>
      </c>
      <c r="BF7" s="13">
        <f t="shared" si="37"/>
        <v>0.88169040068036508</v>
      </c>
      <c r="BG7" s="20">
        <f t="shared" si="7"/>
        <v>5.1651119528221656</v>
      </c>
      <c r="BH7" s="59">
        <f t="shared" si="8"/>
        <v>298.49844528615546</v>
      </c>
      <c r="BI7" s="59">
        <f ca="1">AVERAGE(OFFSET($BH$3,0,0,'Données projet'!$E$11+1,1))-AVERAGE(OFFSET($H$3,0,0,'Données projet'!$E$11+1,1))</f>
        <v>225.2323446080772</v>
      </c>
      <c r="BJ7" s="59">
        <f t="shared" si="38"/>
        <v>222.29030402759292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10.16068376068376</v>
      </c>
      <c r="N8" s="13">
        <f>IF('Données projet'!$A$36&gt;35,N7+M8-V7,IF(A8&lt;'Données projet'!$A$36,$K$205^A8,IF(A8='Données projet'!$A$36,'Données projet'!$B$36,N7+M8-V7)))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33"/>
        <v>0.98993901605593615</v>
      </c>
      <c r="Q8" s="20">
        <f t="shared" si="2"/>
        <v>5.8618959086463436</v>
      </c>
      <c r="R8" s="59">
        <f t="shared" si="0"/>
        <v>299.19522924197963</v>
      </c>
      <c r="S8" s="59">
        <f ca="1">AVERAGE(OFFSET($R$3,0,0,'Données projet'!$E$9+1,1))-AVERAGE(OFFSET($H$3,0,0,'Données projet'!$E$9+1,1))</f>
        <v>278.5296012747549</v>
      </c>
      <c r="T8" s="59">
        <f t="shared" si="34"/>
        <v>370.55343097937077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6.2222222222222223</v>
      </c>
      <c r="AI8" s="13">
        <f>IF('Données projet'!$A$62&gt;35,AI7+AH8-AQ7,IF(A8&lt;'Données projet'!$A$62,$AF$205^A8,IF(A8='Données projet'!$A$62,'Données projet'!$B$62,AI7+AH8-AQ7)))</f>
        <v>3.7087471750180505</v>
      </c>
      <c r="AJ8" s="13">
        <f>AI8*VLOOKUP('Données projet'!$B$10,Paramètres!$A$1:$I$89,3,0)*VLOOKUP('Données projet'!$B$10,Paramètres!$A$1:$I$89,5,0)</f>
        <v>2.3142582372112632</v>
      </c>
      <c r="AK8" s="13">
        <f t="shared" si="35"/>
        <v>0.96726694681425085</v>
      </c>
      <c r="AL8" s="20">
        <f t="shared" si="4"/>
        <v>5.7153230288444377</v>
      </c>
      <c r="AM8" s="59">
        <f t="shared" si="5"/>
        <v>299.04865636217778</v>
      </c>
      <c r="AN8" s="59">
        <f ca="1">AVERAGE(OFFSET($AM$3,0,0,'Données projet'!$E$10+1,1))-AVERAGE(OFFSET($H$3,0,0,'Données projet'!$E$10+1,1))</f>
        <v>179.44051550872138</v>
      </c>
      <c r="AO8" s="59">
        <f t="shared" si="36"/>
        <v>272.9500808380069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2.6511157051695204</v>
      </c>
      <c r="BF8" s="13">
        <f t="shared" si="37"/>
        <v>1.0906707059957799</v>
      </c>
      <c r="BG8" s="20">
        <f t="shared" si="7"/>
        <v>6.5169446661128978</v>
      </c>
      <c r="BH8" s="59">
        <f t="shared" si="8"/>
        <v>299.85027799944623</v>
      </c>
      <c r="BI8" s="59">
        <f ca="1">AVERAGE(OFFSET($BH$3,0,0,'Données projet'!$E$11+1,1))-AVERAGE(OFFSET($H$3,0,0,'Données projet'!$E$11+1,1))</f>
        <v>225.2323446080772</v>
      </c>
      <c r="BJ8" s="59">
        <f t="shared" si="38"/>
        <v>222.29030402759292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10.16068376068376</v>
      </c>
      <c r="N9" s="13">
        <f>IF('Données projet'!$A$36&gt;35,N8+M9-V8,IF(A9&lt;'Données projet'!$A$36,$K$205^A9,IF(A9='Données projet'!$A$36,'Données projet'!$B$36,N8+M9-V8)))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33"/>
        <v>1.27837156453606</v>
      </c>
      <c r="Q9" s="20">
        <f t="shared" si="2"/>
        <v>7.7528930524348363</v>
      </c>
      <c r="R9" s="59">
        <f t="shared" si="0"/>
        <v>301.08622638576816</v>
      </c>
      <c r="S9" s="59">
        <f ca="1">AVERAGE(OFFSET($R$3,0,0,'Données projet'!$E$9+1,1))-AVERAGE(OFFSET($H$3,0,0,'Données projet'!$E$9+1,1))</f>
        <v>278.5296012747549</v>
      </c>
      <c r="T9" s="59">
        <f t="shared" si="34"/>
        <v>370.55343097937077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6.2222222222222223</v>
      </c>
      <c r="AI9" s="13">
        <f>IF('Données projet'!$A$62&gt;35,AI8+AH9-AQ8,IF(A9&lt;'Données projet'!$A$62,$AF$205^A9,IF(A9='Données projet'!$A$62,'Données projet'!$B$62,AI8+AH9-AQ8)))</f>
        <v>4.8202845283504612</v>
      </c>
      <c r="AJ9" s="13">
        <f>AI9*VLOOKUP('Données projet'!$B$10,Paramètres!$A$1:$I$89,3,0)*VLOOKUP('Données projet'!$B$10,Paramètres!$A$1:$I$89,5,0)</f>
        <v>3.0078575456906878</v>
      </c>
      <c r="AK9" s="13">
        <f t="shared" si="35"/>
        <v>1.2193831326236693</v>
      </c>
      <c r="AL9" s="20">
        <f t="shared" si="4"/>
        <v>7.3624441813975059</v>
      </c>
      <c r="AM9" s="59">
        <f t="shared" si="5"/>
        <v>300.69577751473082</v>
      </c>
      <c r="AN9" s="59">
        <f ca="1">AVERAGE(OFFSET($AM$3,0,0,'Données projet'!$E$10+1,1))-AVERAGE(OFFSET($H$3,0,0,'Données projet'!$E$10+1,1))</f>
        <v>179.44051550872138</v>
      </c>
      <c r="AO9" s="59">
        <f t="shared" si="36"/>
        <v>272.9500808380069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3.3726825379800407</v>
      </c>
      <c r="BF9" s="13">
        <f t="shared" si="37"/>
        <v>1.3491840083541735</v>
      </c>
      <c r="BG9" s="20">
        <f t="shared" si="7"/>
        <v>8.2239175681987557</v>
      </c>
      <c r="BH9" s="59">
        <f t="shared" si="8"/>
        <v>301.55725090153209</v>
      </c>
      <c r="BI9" s="59">
        <f ca="1">AVERAGE(OFFSET($BH$3,0,0,'Données projet'!$E$11+1,1))-AVERAGE(OFFSET($H$3,0,0,'Données projet'!$E$11+1,1))</f>
        <v>225.2323446080772</v>
      </c>
      <c r="BJ9" s="59">
        <f t="shared" si="38"/>
        <v>222.29030402759292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10.16068376068376</v>
      </c>
      <c r="N10" s="13">
        <f>IF('Données projet'!$A$36&gt;35,N9+M10-V9,IF(A10&lt;'Données projet'!$A$36,$K$205^A10,IF(A10='Données projet'!$A$36,'Données projet'!$B$36,N9+M10-V9)))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33"/>
        <v>1.6508429615446465</v>
      </c>
      <c r="Q10" s="20">
        <f t="shared" si="2"/>
        <v>10.256291470438329</v>
      </c>
      <c r="R10" s="59">
        <f t="shared" si="0"/>
        <v>303.58962480377164</v>
      </c>
      <c r="S10" s="59">
        <f ca="1">AVERAGE(OFFSET($R$3,0,0,'Données projet'!$E$9+1,1))-AVERAGE(OFFSET($H$3,0,0,'Données projet'!$E$9+1,1))</f>
        <v>278.5296012747549</v>
      </c>
      <c r="T10" s="59">
        <f t="shared" si="34"/>
        <v>370.55343097937077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6.2222222222222223</v>
      </c>
      <c r="AI10" s="13">
        <f>IF('Données projet'!$A$62&gt;35,AI9+AH10-AQ9,IF(A10&lt;'Données projet'!$A$62,$AF$205^A10,IF(A10='Données projet'!$A$62,'Données projet'!$B$62,AI9+AH10-AQ9)))</f>
        <v>6.2649573664027773</v>
      </c>
      <c r="AJ10" s="13">
        <f>AI10*VLOOKUP('Données projet'!$B$10,Paramètres!$A$1:$I$89,3,0)*VLOOKUP('Données projet'!$B$10,Paramètres!$A$1:$I$89,5,0)</f>
        <v>3.9093333966353332</v>
      </c>
      <c r="AK10" s="13">
        <f t="shared" si="35"/>
        <v>1.5372128955964925</v>
      </c>
      <c r="AL10" s="20">
        <f t="shared" si="4"/>
        <v>9.4860681256370967</v>
      </c>
      <c r="AM10" s="59">
        <f t="shared" si="5"/>
        <v>302.81940145897039</v>
      </c>
      <c r="AN10" s="59">
        <f ca="1">AVERAGE(OFFSET($AM$3,0,0,'Données projet'!$E$10+1,1))-AVERAGE(OFFSET($H$3,0,0,'Données projet'!$E$10+1,1))</f>
        <v>179.44051550872138</v>
      </c>
      <c r="AO10" s="59">
        <f t="shared" si="36"/>
        <v>272.9500808380069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4.2906416644942853</v>
      </c>
      <c r="BF10" s="13">
        <f t="shared" si="37"/>
        <v>1.6689707336887791</v>
      </c>
      <c r="BG10" s="20">
        <f t="shared" si="7"/>
        <v>10.379658260168837</v>
      </c>
      <c r="BH10" s="59">
        <f t="shared" si="8"/>
        <v>303.71299159350212</v>
      </c>
      <c r="BI10" s="59">
        <f ca="1">AVERAGE(OFFSET($BH$3,0,0,'Données projet'!$E$11+1,1))-AVERAGE(OFFSET($H$3,0,0,'Données projet'!$E$11+1,1))</f>
        <v>225.2323446080772</v>
      </c>
      <c r="BJ10" s="59">
        <f t="shared" si="38"/>
        <v>222.29030402759292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10.16068376068376</v>
      </c>
      <c r="N11" s="13">
        <f>IF('Données projet'!$A$36&gt;35,N10+M11-V10,IF(A11&lt;'Données projet'!$A$36,$K$205^A11,IF(A11='Données projet'!$A$36,'Données projet'!$B$36,N10+M11-V10)))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33"/>
        <v>2.1318390984944533</v>
      </c>
      <c r="Q11" s="20">
        <f t="shared" si="2"/>
        <v>13.571139900733398</v>
      </c>
      <c r="R11" s="59">
        <f t="shared" si="0"/>
        <v>306.9044732340667</v>
      </c>
      <c r="S11" s="59">
        <f ca="1">AVERAGE(OFFSET($R$3,0,0,'Données projet'!$E$9+1,1))-AVERAGE(OFFSET($H$3,0,0,'Données projet'!$E$9+1,1))</f>
        <v>278.5296012747549</v>
      </c>
      <c r="T11" s="59">
        <f t="shared" si="34"/>
        <v>370.55343097937077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6.2222222222222223</v>
      </c>
      <c r="AI11" s="13">
        <f>IF('Données projet'!$A$62&gt;35,AI10+AH11-AQ10,IF(A11&lt;'Données projet'!$A$62,$AF$205^A11,IF(A11='Données projet'!$A$62,'Données projet'!$B$62,AI10+AH11-AQ10)))</f>
        <v>8.1426087136553278</v>
      </c>
      <c r="AJ11" s="13">
        <f>AI11*VLOOKUP('Données projet'!$B$10,Paramètres!$A$1:$I$89,3,0)*VLOOKUP('Données projet'!$B$10,Paramètres!$A$1:$I$89,5,0)</f>
        <v>5.080987837320925</v>
      </c>
      <c r="AK11" s="13">
        <f t="shared" si="35"/>
        <v>1.9378843475584122</v>
      </c>
      <c r="AL11" s="20">
        <f t="shared" si="4"/>
        <v>12.224535721998178</v>
      </c>
      <c r="AM11" s="59">
        <f t="shared" si="5"/>
        <v>305.55786905533148</v>
      </c>
      <c r="AN11" s="59">
        <f ca="1">AVERAGE(OFFSET($AM$3,0,0,'Données projet'!$E$10+1,1))-AVERAGE(OFFSET($H$3,0,0,'Données projet'!$E$10+1,1))</f>
        <v>179.44051550872138</v>
      </c>
      <c r="AO11" s="59">
        <f t="shared" si="36"/>
        <v>272.9500808380069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5.4584461139707896</v>
      </c>
      <c r="BF11" s="13">
        <f t="shared" si="37"/>
        <v>2.0645540509389519</v>
      </c>
      <c r="BG11" s="20">
        <f t="shared" si="7"/>
        <v>13.102558620551131</v>
      </c>
      <c r="BH11" s="59">
        <f t="shared" si="8"/>
        <v>306.43589195388444</v>
      </c>
      <c r="BI11" s="59">
        <f ca="1">AVERAGE(OFFSET($BH$3,0,0,'Données projet'!$E$11+1,1))-AVERAGE(OFFSET($H$3,0,0,'Données projet'!$E$11+1,1))</f>
        <v>225.2323446080772</v>
      </c>
      <c r="BJ11" s="59">
        <f t="shared" si="38"/>
        <v>222.29030402759292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10.16068376068376</v>
      </c>
      <c r="N12" s="13">
        <f>IF('Données projet'!$A$36&gt;35,N11+M12-V11,IF(A12&lt;'Données projet'!$A$36,$K$205^A12,IF(A12='Données projet'!$A$36,'Données projet'!$B$36,N11+M12-V11)))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33"/>
        <v>2.7529801730003816</v>
      </c>
      <c r="Q12" s="20">
        <f t="shared" si="2"/>
        <v>17.961401871893774</v>
      </c>
      <c r="R12" s="59">
        <f t="shared" si="0"/>
        <v>311.29473520522708</v>
      </c>
      <c r="S12" s="59">
        <f ca="1">AVERAGE(OFFSET($R$3,0,0,'Données projet'!$E$9+1,1))-AVERAGE(OFFSET($H$3,0,0,'Données projet'!$E$9+1,1))</f>
        <v>278.5296012747549</v>
      </c>
      <c r="T12" s="59">
        <f t="shared" si="34"/>
        <v>370.55343097937077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6.2222222222222223</v>
      </c>
      <c r="AI12" s="13">
        <f>IF('Données projet'!$A$62&gt;35,AI11+AH12-AQ11,IF(A12&lt;'Données projet'!$A$62,$AF$205^A12,IF(A12='Données projet'!$A$62,'Données projet'!$B$62,AI11+AH12-AQ11)))</f>
        <v>10.583005244258365</v>
      </c>
      <c r="AJ12" s="13">
        <f>AI12*VLOOKUP('Données projet'!$B$10,Paramètres!$A$1:$I$89,3,0)*VLOOKUP('Données projet'!$B$10,Paramètres!$A$1:$I$89,5,0)</f>
        <v>6.6037952724172193</v>
      </c>
      <c r="AK12" s="13">
        <f t="shared" si="35"/>
        <v>2.4429900082608067</v>
      </c>
      <c r="AL12" s="20">
        <f t="shared" si="4"/>
        <v>15.75648436384756</v>
      </c>
      <c r="AM12" s="59">
        <f t="shared" si="5"/>
        <v>309.08981769718088</v>
      </c>
      <c r="AN12" s="59">
        <f ca="1">AVERAGE(OFFSET($AM$3,0,0,'Données projet'!$E$10+1,1))-AVERAGE(OFFSET($H$3,0,0,'Données projet'!$E$10+1,1))</f>
        <v>179.44051550872138</v>
      </c>
      <c r="AO12" s="59">
        <f t="shared" si="36"/>
        <v>272.9500808380069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6.9440974821267289</v>
      </c>
      <c r="BF12" s="13">
        <f t="shared" si="37"/>
        <v>2.5538994442566798</v>
      </c>
      <c r="BG12" s="20">
        <f t="shared" si="7"/>
        <v>16.542344646784436</v>
      </c>
      <c r="BH12" s="59">
        <f t="shared" si="8"/>
        <v>309.87567798011776</v>
      </c>
      <c r="BI12" s="59">
        <f ca="1">AVERAGE(OFFSET($BH$3,0,0,'Données projet'!$E$11+1,1))-AVERAGE(OFFSET($H$3,0,0,'Données projet'!$E$11+1,1))</f>
        <v>225.2323446080772</v>
      </c>
      <c r="BJ12" s="59">
        <f t="shared" si="38"/>
        <v>222.29030402759292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10.16068376068376</v>
      </c>
      <c r="N13" s="13">
        <f>IF('Données projet'!$A$36&gt;35,N12+M13-V12,IF(A13&lt;'Données projet'!$A$36,$K$205^A13,IF(A13='Données projet'!$A$36,'Données projet'!$B$36,N12+M13-V12)))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33"/>
        <v>3.5550993685619052</v>
      </c>
      <c r="Q13" s="20">
        <f t="shared" si="2"/>
        <v>23.777191627870639</v>
      </c>
      <c r="R13" s="59">
        <f t="shared" si="0"/>
        <v>317.11052496120396</v>
      </c>
      <c r="S13" s="59">
        <f ca="1">AVERAGE(OFFSET($R$3,0,0,'Données projet'!$E$9+1,1))-AVERAGE(OFFSET($H$3,0,0,'Données projet'!$E$9+1,1))</f>
        <v>278.5296012747549</v>
      </c>
      <c r="T13" s="59">
        <f t="shared" si="34"/>
        <v>370.55343097937077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6.2222222222222223</v>
      </c>
      <c r="AI13" s="13">
        <f>IF('Données projet'!$A$62&gt;35,AI12+AH13-AQ12,IF(A13&lt;'Données projet'!$A$62,$AF$205^A13,IF(A13='Données projet'!$A$62,'Données projet'!$B$62,AI12+AH13-AQ12)))</f>
        <v>13.754805608204368</v>
      </c>
      <c r="AJ13" s="13">
        <f>AI13*VLOOKUP('Données projet'!$B$10,Paramètres!$A$1:$I$89,3,0)*VLOOKUP('Données projet'!$B$10,Paramètres!$A$1:$I$89,5,0)</f>
        <v>8.5829986995195267</v>
      </c>
      <c r="AK13" s="13">
        <f t="shared" si="35"/>
        <v>3.0797504443346257</v>
      </c>
      <c r="AL13" s="20">
        <f t="shared" si="4"/>
        <v>20.312621425545984</v>
      </c>
      <c r="AM13" s="59">
        <f t="shared" si="5"/>
        <v>313.64595475887927</v>
      </c>
      <c r="AN13" s="59">
        <f ca="1">AVERAGE(OFFSET($AM$3,0,0,'Données projet'!$E$10+1,1))-AVERAGE(OFFSET($H$3,0,0,'Données projet'!$E$10+1,1))</f>
        <v>179.44051550872138</v>
      </c>
      <c r="AO13" s="59">
        <f t="shared" si="36"/>
        <v>272.9500808380069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8.8341056840076444</v>
      </c>
      <c r="BF13" s="13">
        <f t="shared" si="37"/>
        <v>3.1592306185484516</v>
      </c>
      <c r="BG13" s="20">
        <f t="shared" si="7"/>
        <v>20.888394060285197</v>
      </c>
      <c r="BH13" s="59">
        <f t="shared" si="8"/>
        <v>314.22172739361849</v>
      </c>
      <c r="BI13" s="59">
        <f ca="1">AVERAGE(OFFSET($BH$3,0,0,'Données projet'!$E$11+1,1))-AVERAGE(OFFSET($H$3,0,0,'Données projet'!$E$11+1,1))</f>
        <v>225.2323446080772</v>
      </c>
      <c r="BJ13" s="59">
        <f t="shared" si="38"/>
        <v>222.29030402759292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10.16068376068376</v>
      </c>
      <c r="N14" s="13">
        <f>IF('Données projet'!$A$36&gt;35,N13+M14-V13,IF(A14&lt;'Données projet'!$A$36,$K$205^A14,IF(A14='Données projet'!$A$36,'Données projet'!$B$36,N13+M14-V13)))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33"/>
        <v>4.5909271865822117</v>
      </c>
      <c r="Q14" s="20">
        <f t="shared" si="2"/>
        <v>31.482976738898202</v>
      </c>
      <c r="R14" s="59">
        <f t="shared" si="0"/>
        <v>324.81631007223154</v>
      </c>
      <c r="S14" s="59">
        <f ca="1">AVERAGE(OFFSET($R$3,0,0,'Données projet'!$E$9+1,1))-AVERAGE(OFFSET($H$3,0,0,'Données projet'!$E$9+1,1))</f>
        <v>278.5296012747549</v>
      </c>
      <c r="T14" s="59">
        <f t="shared" si="34"/>
        <v>370.55343097937077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6.2222222222222223</v>
      </c>
      <c r="AI14" s="13">
        <f>IF('Données projet'!$A$62&gt;35,AI13+AH14-AQ13,IF(A14&lt;'Données projet'!$A$62,$AF$205^A14,IF(A14='Données projet'!$A$62,'Données projet'!$B$62,AI13+AH14-AQ13)))</f>
        <v>17.877216627302985</v>
      </c>
      <c r="AJ14" s="13">
        <f>AI14*VLOOKUP('Données projet'!$B$10,Paramètres!$A$1:$I$89,3,0)*VLOOKUP('Données projet'!$B$10,Paramètres!$A$1:$I$89,5,0)</f>
        <v>11.155383175437063</v>
      </c>
      <c r="AK14" s="13">
        <f t="shared" si="35"/>
        <v>3.8824812083990929</v>
      </c>
      <c r="AL14" s="20">
        <f t="shared" si="4"/>
        <v>26.1909471351813</v>
      </c>
      <c r="AM14" s="59">
        <f t="shared" si="5"/>
        <v>319.52428046851463</v>
      </c>
      <c r="AN14" s="59">
        <f ca="1">AVERAGE(OFFSET($AM$3,0,0,'Données projet'!$E$10+1,1))-AVERAGE(OFFSET($H$3,0,0,'Données projet'!$E$10+1,1))</f>
        <v>179.44051550872138</v>
      </c>
      <c r="AO14" s="59">
        <f t="shared" si="36"/>
        <v>272.9500808380069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11.238526451721825</v>
      </c>
      <c r="BF14" s="13">
        <f t="shared" si="37"/>
        <v>3.9080387928425129</v>
      </c>
      <c r="BG14" s="20">
        <f t="shared" si="7"/>
        <v>26.380267800949554</v>
      </c>
      <c r="BH14" s="59">
        <f t="shared" si="8"/>
        <v>319.71360113428284</v>
      </c>
      <c r="BI14" s="59">
        <f ca="1">AVERAGE(OFFSET($BH$3,0,0,'Données projet'!$E$11+1,1))-AVERAGE(OFFSET($H$3,0,0,'Données projet'!$E$11+1,1))</f>
        <v>225.2323446080772</v>
      </c>
      <c r="BJ14" s="59">
        <f t="shared" si="38"/>
        <v>222.29030402759292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10.16068376068376</v>
      </c>
      <c r="N15" s="13">
        <f>IF('Données projet'!$A$36&gt;35,N14+M15-V14,IF(A15&lt;'Données projet'!$A$36,$K$205^A15,IF(A15='Données projet'!$A$36,'Données projet'!$B$36,N14+M15-V14)))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33"/>
        <v>5.9285578959851977</v>
      </c>
      <c r="Q15" s="20">
        <f t="shared" si="2"/>
        <v>41.695038776362409</v>
      </c>
      <c r="R15" s="59">
        <f t="shared" si="0"/>
        <v>335.02837210969574</v>
      </c>
      <c r="S15" s="59">
        <f ca="1">AVERAGE(OFFSET($R$3,0,0,'Données projet'!$E$9+1,1))-AVERAGE(OFFSET($H$3,0,0,'Données projet'!$E$9+1,1))</f>
        <v>278.5296012747549</v>
      </c>
      <c r="T15" s="59">
        <f t="shared" si="34"/>
        <v>370.55343097937077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6.2222222222222223</v>
      </c>
      <c r="AI15" s="13">
        <f>IF('Données projet'!$A$62&gt;35,AI14+AH15-AQ14,IF(A15&lt;'Données projet'!$A$62,$AF$205^A15,IF(A15='Données projet'!$A$62,'Données projet'!$B$62,AI14+AH15-AQ14)))</f>
        <v>23.235142934254824</v>
      </c>
      <c r="AJ15" s="13">
        <f>AI15*VLOOKUP('Données projet'!$B$10,Paramètres!$A$1:$I$89,3,0)*VLOOKUP('Données projet'!$B$10,Paramètres!$A$1:$I$89,5,0)</f>
        <v>14.498729190975009</v>
      </c>
      <c r="AK15" s="13">
        <f t="shared" si="35"/>
        <v>4.8944421329010357</v>
      </c>
      <c r="AL15" s="20">
        <f t="shared" si="4"/>
        <v>33.776440055750776</v>
      </c>
      <c r="AM15" s="59">
        <f t="shared" si="5"/>
        <v>327.10977338908407</v>
      </c>
      <c r="AN15" s="59">
        <f ca="1">AVERAGE(OFFSET($AM$3,0,0,'Données projet'!$E$10+1,1))-AVERAGE(OFFSET($H$3,0,0,'Données projet'!$E$10+1,1))</f>
        <v>179.44051550872138</v>
      </c>
      <c r="AO15" s="59">
        <f t="shared" si="36"/>
        <v>272.9500808380069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14.297369912010421</v>
      </c>
      <c r="BF15" s="13">
        <f t="shared" si="37"/>
        <v>4.8343312187127445</v>
      </c>
      <c r="BG15" s="20">
        <f t="shared" si="7"/>
        <v>33.321046136009507</v>
      </c>
      <c r="BH15" s="59">
        <f t="shared" si="8"/>
        <v>326.65437946934281</v>
      </c>
      <c r="BI15" s="59">
        <f ca="1">AVERAGE(OFFSET($BH$3,0,0,'Données projet'!$E$11+1,1))-AVERAGE(OFFSET($H$3,0,0,'Données projet'!$E$11+1,1))</f>
        <v>225.2323446080772</v>
      </c>
      <c r="BJ15" s="59">
        <f t="shared" si="38"/>
        <v>222.29030402759292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10.16068376068376</v>
      </c>
      <c r="N16" s="13">
        <f>IF('Données projet'!$A$36&gt;35,N15+M16-V15,IF(A16&lt;'Données projet'!$A$36,$K$205^A16,IF(A16='Données projet'!$A$36,'Données projet'!$B$36,N15+M16-V15)))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33"/>
        <v>7.6559259813080898</v>
      </c>
      <c r="Q16" s="20">
        <f t="shared" si="2"/>
        <v>55.231238827136707</v>
      </c>
      <c r="R16" s="59">
        <f t="shared" si="0"/>
        <v>348.56457216046999</v>
      </c>
      <c r="S16" s="59">
        <f ca="1">AVERAGE(OFFSET($R$3,0,0,'Données projet'!$E$9+1,1))-AVERAGE(OFFSET($H$3,0,0,'Données projet'!$E$9+1,1))</f>
        <v>278.5296012747549</v>
      </c>
      <c r="T16" s="59">
        <f t="shared" si="34"/>
        <v>370.55343097937077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6.2222222222222223</v>
      </c>
      <c r="AI16" s="13">
        <f>IF('Données projet'!$A$62&gt;35,AI15+AH16-AQ15,IF(A16&lt;'Données projet'!$A$62,$AF$205^A16,IF(A16='Données projet'!$A$62,'Données projet'!$B$62,AI15+AH16-AQ15)))</f>
        <v>30.19887706404656</v>
      </c>
      <c r="AJ16" s="13">
        <f>AI16*VLOOKUP('Données projet'!$B$10,Paramètres!$A$1:$I$89,3,0)*VLOOKUP('Données projet'!$B$10,Paramètres!$A$1:$I$89,5,0)</f>
        <v>18.844099287965054</v>
      </c>
      <c r="AK16" s="13">
        <f t="shared" si="35"/>
        <v>6.1701686386769925</v>
      </c>
      <c r="AL16" s="20">
        <f t="shared" si="4"/>
        <v>43.566516638901568</v>
      </c>
      <c r="AM16" s="59">
        <f t="shared" si="5"/>
        <v>336.8998499722349</v>
      </c>
      <c r="AN16" s="59">
        <f ca="1">AVERAGE(OFFSET($AM$3,0,0,'Données projet'!$E$10+1,1))-AVERAGE(OFFSET($H$3,0,0,'Données projet'!$E$10+1,1))</f>
        <v>179.44051550872138</v>
      </c>
      <c r="AO16" s="59">
        <f t="shared" si="36"/>
        <v>272.9500808380069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18.188753417005401</v>
      </c>
      <c r="BF16" s="13">
        <f t="shared" si="37"/>
        <v>5.9801756254374139</v>
      </c>
      <c r="BG16" s="20">
        <f t="shared" si="7"/>
        <v>42.094218082254564</v>
      </c>
      <c r="BH16" s="59">
        <f t="shared" si="8"/>
        <v>335.42755141558786</v>
      </c>
      <c r="BI16" s="59">
        <f ca="1">AVERAGE(OFFSET($BH$3,0,0,'Données projet'!$E$11+1,1))-AVERAGE(OFFSET($H$3,0,0,'Données projet'!$E$11+1,1))</f>
        <v>225.2323446080772</v>
      </c>
      <c r="BJ16" s="59">
        <f t="shared" si="38"/>
        <v>222.29030402759292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10.16068376068376</v>
      </c>
      <c r="N17" s="13">
        <f>IF('Données projet'!$A$36&gt;35,N16+M17-V16,IF(A17&lt;'Données projet'!$A$36,$K$205^A17,IF(A17='Données projet'!$A$36,'Données projet'!$B$36,N16+M17-V16)))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33"/>
        <v>9.8865868664217604</v>
      </c>
      <c r="Q17" s="20">
        <f t="shared" si="2"/>
        <v>73.177139572871184</v>
      </c>
      <c r="R17" s="59">
        <f t="shared" si="0"/>
        <v>366.51047290620448</v>
      </c>
      <c r="S17" s="59">
        <f ca="1">AVERAGE(OFFSET($R$3,0,0,'Données projet'!$E$9+1,1))-AVERAGE(OFFSET($H$3,0,0,'Données projet'!$E$9+1,1))</f>
        <v>278.5296012747549</v>
      </c>
      <c r="T17" s="59">
        <f t="shared" si="34"/>
        <v>370.55343097937077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6.2222222222222223</v>
      </c>
      <c r="AI17" s="13">
        <f>IF('Données projet'!$A$62&gt;35,AI16+AH17-AQ16,IF(A17&lt;'Données projet'!$A$62,$AF$205^A17,IF(A17='Données projet'!$A$62,'Données projet'!$B$62,AI16+AH17-AQ16)))</f>
        <v>39.249690802844427</v>
      </c>
      <c r="AJ17" s="13">
        <f>AI17*VLOOKUP('Données projet'!$B$10,Paramètres!$A$1:$I$89,3,0)*VLOOKUP('Données projet'!$B$10,Paramètres!$A$1:$I$89,5,0)</f>
        <v>24.491807060974921</v>
      </c>
      <c r="AK17" s="13">
        <f t="shared" si="35"/>
        <v>7.7784106944068903</v>
      </c>
      <c r="AL17" s="20">
        <f t="shared" si="4"/>
        <v>56.203962590623313</v>
      </c>
      <c r="AM17" s="59">
        <f t="shared" si="5"/>
        <v>349.53729592395661</v>
      </c>
      <c r="AN17" s="59">
        <f ca="1">AVERAGE(OFFSET($AM$3,0,0,'Données projet'!$E$10+1,1))-AVERAGE(OFFSET($H$3,0,0,'Données projet'!$E$10+1,1))</f>
        <v>179.44051550872138</v>
      </c>
      <c r="AO17" s="59">
        <f t="shared" si="36"/>
        <v>272.9500808380069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23.13927336990233</v>
      </c>
      <c r="BF17" s="13">
        <f t="shared" si="37"/>
        <v>7.3976107331343286</v>
      </c>
      <c r="BG17" s="20">
        <f t="shared" si="7"/>
        <v>53.185073146122171</v>
      </c>
      <c r="BH17" s="59">
        <f t="shared" si="8"/>
        <v>346.51840647945551</v>
      </c>
      <c r="BI17" s="59">
        <f ca="1">AVERAGE(OFFSET($BH$3,0,0,'Données projet'!$E$11+1,1))-AVERAGE(OFFSET($H$3,0,0,'Données projet'!$E$11+1,1))</f>
        <v>225.2323446080772</v>
      </c>
      <c r="BJ17" s="59">
        <f t="shared" si="38"/>
        <v>222.29030402759292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10.16068376068376</v>
      </c>
      <c r="N18" s="13">
        <f>IF('Données projet'!$A$36&gt;35,N17+M18-V17,IF(A18&lt;'Données projet'!$A$36,$K$205^A18,IF(A18='Données projet'!$A$36,'Données projet'!$B$36,N17+M18-V17)))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33"/>
        <v>12.767181932785956</v>
      </c>
      <c r="Q18" s="20">
        <f t="shared" si="2"/>
        <v>96.97387275850123</v>
      </c>
      <c r="R18" s="59">
        <f t="shared" si="0"/>
        <v>390.30720609183453</v>
      </c>
      <c r="S18" s="59">
        <f ca="1">AVERAGE(OFFSET($R$3,0,0,'Données projet'!$E$9+1,1))-AVERAGE(OFFSET($H$3,0,0,'Données projet'!$E$9+1,1))</f>
        <v>278.5296012747549</v>
      </c>
      <c r="T18" s="59">
        <f t="shared" si="34"/>
        <v>370.55343097937077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6.2222222222222223</v>
      </c>
      <c r="AI18" s="13">
        <f>IF('Données projet'!$A$62&gt;35,AI17+AH18-AQ17,IF(A18&lt;'Données projet'!$A$62,$AF$205^A18,IF(A18='Données projet'!$A$62,'Données projet'!$B$62,AI17+AH18-AQ17)))</f>
        <v>51.013096442350388</v>
      </c>
      <c r="AJ18" s="13">
        <f>AI18*VLOOKUP('Données projet'!$B$10,Paramètres!$A$1:$I$89,3,0)*VLOOKUP('Données projet'!$B$10,Paramètres!$A$1:$I$89,5,0)</f>
        <v>31.832172180026642</v>
      </c>
      <c r="AK18" s="13">
        <f t="shared" si="35"/>
        <v>9.8058378099430179</v>
      </c>
      <c r="AL18" s="20">
        <f t="shared" si="4"/>
        <v>72.519534065863823</v>
      </c>
      <c r="AM18" s="59">
        <f t="shared" si="5"/>
        <v>365.85286739919712</v>
      </c>
      <c r="AN18" s="59">
        <f ca="1">AVERAGE(OFFSET($AM$3,0,0,'Données projet'!$E$10+1,1))-AVERAGE(OFFSET($H$3,0,0,'Données projet'!$E$10+1,1))</f>
        <v>179.44051550872138</v>
      </c>
      <c r="AO18" s="59">
        <f t="shared" si="36"/>
        <v>272.9500808380069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29.437200000000004</v>
      </c>
      <c r="BF18" s="13">
        <f t="shared" si="37"/>
        <v>9.1510096001539196</v>
      </c>
      <c r="BG18" s="20">
        <f t="shared" si="7"/>
        <v>67.207798386934755</v>
      </c>
      <c r="BH18" s="59">
        <f t="shared" si="8"/>
        <v>360.54113172026808</v>
      </c>
      <c r="BI18" s="59">
        <f ca="1">AVERAGE(OFFSET($BH$3,0,0,'Données projet'!$E$11+1,1))-AVERAGE(OFFSET($H$3,0,0,'Données projet'!$E$11+1,1))</f>
        <v>225.2323446080772</v>
      </c>
      <c r="BJ18" s="59">
        <f t="shared" si="38"/>
        <v>222.29030402759292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10.16068376068376</v>
      </c>
      <c r="N19" s="13">
        <f>IF('Données projet'!$A$36&gt;35,N18+M19-V18,IF(A19&lt;'Données projet'!$A$36,$K$205^A19,IF(A19='Données projet'!$A$36,'Données projet'!$B$36,N18+M19-V18)))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33"/>
        <v>16.487078574959277</v>
      </c>
      <c r="Q19" s="20">
        <f t="shared" si="2"/>
        <v>128.53492010151578</v>
      </c>
      <c r="R19" s="59">
        <f t="shared" si="0"/>
        <v>421.86825343484907</v>
      </c>
      <c r="S19" s="59">
        <f ca="1">AVERAGE(OFFSET($R$3,0,0,'Données projet'!$E$9+1,1))-AVERAGE(OFFSET($H$3,0,0,'Données projet'!$E$9+1,1))</f>
        <v>278.5296012747549</v>
      </c>
      <c r="T19" s="59">
        <f t="shared" si="34"/>
        <v>370.55343097937077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6.2222222222222223</v>
      </c>
      <c r="AI19" s="13">
        <f>IF('Données projet'!$A$62&gt;35,AI18+AH19-AQ18,IF(A19&lt;'Données projet'!$A$62,$AF$205^A19,IF(A19='Données projet'!$A$62,'Données projet'!$B$62,AI18+AH19-AQ18)))</f>
        <v>66.302076663695672</v>
      </c>
      <c r="AJ19" s="13">
        <f>AI19*VLOOKUP('Données projet'!$B$10,Paramètres!$A$1:$I$89,3,0)*VLOOKUP('Données projet'!$B$10,Paramètres!$A$1:$I$89,5,0)</f>
        <v>41.372495838146101</v>
      </c>
      <c r="AK19" s="13">
        <f t="shared" si="35"/>
        <v>12.361709728704412</v>
      </c>
      <c r="AL19" s="20">
        <f t="shared" si="4"/>
        <v>93.587074695597963</v>
      </c>
      <c r="AM19" s="59">
        <f t="shared" si="5"/>
        <v>386.92040802893126</v>
      </c>
      <c r="AN19" s="59">
        <f ca="1">AVERAGE(OFFSET($AM$3,0,0,'Données projet'!$E$10+1,1))-AVERAGE(OFFSET($H$3,0,0,'Données projet'!$E$10+1,1))</f>
        <v>179.44051550872138</v>
      </c>
      <c r="AO19" s="59">
        <f t="shared" si="36"/>
        <v>272.9500808380069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26.732160000000004</v>
      </c>
      <c r="BF19" s="13">
        <f t="shared" si="37"/>
        <v>8.4038705306032053</v>
      </c>
      <c r="BG19" s="20">
        <f t="shared" si="7"/>
        <v>61.195253174133917</v>
      </c>
      <c r="BH19" s="59">
        <f t="shared" si="8"/>
        <v>354.52858650746725</v>
      </c>
      <c r="BI19" s="59">
        <f ca="1">AVERAGE(OFFSET($BH$3,0,0,'Données projet'!$E$11+1,1))-AVERAGE(OFFSET($H$3,0,0,'Données projet'!$E$11+1,1))</f>
        <v>225.2323446080772</v>
      </c>
      <c r="BJ19" s="59">
        <f t="shared" si="38"/>
        <v>222.29030402759292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10.16068376068376</v>
      </c>
      <c r="N20" s="13">
        <f>IF('Données projet'!$A$36&gt;35,N19+M20-V19,IF(A20&lt;'Données projet'!$A$36,$K$205^A20,IF(A20='Données projet'!$A$36,'Données projet'!$B$36,N19+M20-V19)))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33"/>
        <v>21.290819020824138</v>
      </c>
      <c r="Q20" s="20">
        <f t="shared" si="2"/>
        <v>170.40134350425296</v>
      </c>
      <c r="R20" s="59">
        <f t="shared" si="0"/>
        <v>463.73467683758628</v>
      </c>
      <c r="S20" s="59">
        <f ca="1">AVERAGE(OFFSET($R$3,0,0,'Données projet'!$E$9+1,1))-AVERAGE(OFFSET($H$3,0,0,'Données projet'!$E$9+1,1))</f>
        <v>278.5296012747549</v>
      </c>
      <c r="T20" s="59">
        <f t="shared" si="34"/>
        <v>370.55343097937077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6.2222222222222223</v>
      </c>
      <c r="AI20" s="13">
        <f>IF('Données projet'!$A$62&gt;35,AI19+AH20-AQ19,IF(A20&lt;'Données projet'!$A$62,$AF$205^A20,IF(A20='Données projet'!$A$62,'Données projet'!$B$62,AI19+AH20-AQ19)))</f>
        <v>86.1732707185582</v>
      </c>
      <c r="AJ20" s="13">
        <f>AI20*VLOOKUP('Données projet'!$B$10,Paramètres!$A$1:$I$89,3,0)*VLOOKUP('Données projet'!$B$10,Paramètres!$A$1:$I$89,5,0)</f>
        <v>53.772120928380318</v>
      </c>
      <c r="AK20" s="13">
        <f t="shared" si="35"/>
        <v>15.583764526657339</v>
      </c>
      <c r="AL20" s="20">
        <f t="shared" si="4"/>
        <v>120.79483383419057</v>
      </c>
      <c r="AM20" s="59">
        <f t="shared" si="5"/>
        <v>414.12816716752388</v>
      </c>
      <c r="AN20" s="59">
        <f ca="1">AVERAGE(OFFSET($AM$3,0,0,'Données projet'!$E$10+1,1))-AVERAGE(OFFSET($H$3,0,0,'Données projet'!$E$10+1,1))</f>
        <v>179.44051550872138</v>
      </c>
      <c r="AO20" s="59">
        <f t="shared" si="36"/>
        <v>272.9500808380069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35.961120000000008</v>
      </c>
      <c r="BF20" s="13">
        <f t="shared" si="37"/>
        <v>10.921600552662685</v>
      </c>
      <c r="BG20" s="20">
        <f t="shared" si="7"/>
        <v>81.654071629220851</v>
      </c>
      <c r="BH20" s="59">
        <f t="shared" si="8"/>
        <v>374.98740496255414</v>
      </c>
      <c r="BI20" s="59">
        <f ca="1">AVERAGE(OFFSET($BH$3,0,0,'Données projet'!$E$11+1,1))-AVERAGE(OFFSET($H$3,0,0,'Données projet'!$E$11+1,1))</f>
        <v>225.2323446080772</v>
      </c>
      <c r="BJ20" s="59">
        <f t="shared" si="38"/>
        <v>222.29030402759292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10.16068376068376</v>
      </c>
      <c r="M21" s="12">
        <f t="array" ref="M21">INDEX(L:L,MIN(IF(ISNUMBER(L21:L217),ROW(L21:L217),"")))</f>
        <v>10.16068376068376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278.5296012747549</v>
      </c>
      <c r="T21" s="59">
        <f t="shared" si="34"/>
        <v>370.55343097937077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15.762109241455983</v>
      </c>
      <c r="AB21" s="21">
        <f>EXP(-LN(2)/2)*AB20+(1-EXP(-LN(2)/2))/(LN(2)/2)*V21*Y21*VLOOKUP('Données projet'!$B$9,Paramètres!$A$1:$I$89,3,0)*0.475*44/12</f>
        <v>19.294646846829099</v>
      </c>
      <c r="AC21" s="22">
        <f t="shared" si="3"/>
        <v>35.056756088285084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112</v>
      </c>
      <c r="AG21" s="12">
        <f>VLOOKUP(A21,'Données projet'!$A$61:$I$81,9,0)</f>
        <v>6.2222222222222223</v>
      </c>
      <c r="AH21" s="12">
        <f t="array" ref="AH21">INDEX(AG:AG,MIN(IF(ISNUMBER(AG21:AG217),ROW(AG21:AG217),"")))</f>
        <v>6.2222222222222223</v>
      </c>
      <c r="AI21" s="13">
        <f>IF('Données projet'!$A$62&gt;35,AI20+AH21-AQ20,IF(A21&lt;'Données projet'!$A$62,$AF$205^A21,IF(A21='Données projet'!$A$62,'Données projet'!$B$62,AI20+AH21-AQ20)))</f>
        <v>112</v>
      </c>
      <c r="AJ21" s="13">
        <f>AI21*VLOOKUP('Données projet'!$B$10,Paramètres!$A$1:$I$89,3,0)*VLOOKUP('Données projet'!$B$10,Paramètres!$A$1:$I$89,5,0)</f>
        <v>69.888000000000005</v>
      </c>
      <c r="AK21" s="13">
        <f t="shared" si="35"/>
        <v>19.645641432461961</v>
      </c>
      <c r="AL21" s="20">
        <f t="shared" si="4"/>
        <v>155.93775882820458</v>
      </c>
      <c r="AM21" s="59">
        <f t="shared" si="5"/>
        <v>449.27109216153792</v>
      </c>
      <c r="AN21" s="59">
        <f ca="1">AVERAGE(OFFSET($AM$3,0,0,'Données projet'!$E$10+1,1))-AVERAGE(OFFSET($H$3,0,0,'Données projet'!$E$10+1,1))</f>
        <v>179.44051550872138</v>
      </c>
      <c r="AO21" s="59">
        <f t="shared" si="36"/>
        <v>272.9500808380069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20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0.42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6.9259423783863667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6.9259423783863667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45.190080000000009</v>
      </c>
      <c r="BF21" s="13">
        <f t="shared" si="37"/>
        <v>13.364359727915414</v>
      </c>
      <c r="BG21" s="20">
        <f t="shared" si="7"/>
        <v>101.98231585945268</v>
      </c>
      <c r="BH21" s="59">
        <f t="shared" si="8"/>
        <v>395.315649192786</v>
      </c>
      <c r="BI21" s="59">
        <f ca="1">AVERAGE(OFFSET($BH$3,0,0,'Données projet'!$E$11+1,1))-AVERAGE(OFFSET($H$3,0,0,'Données projet'!$E$11+1,1))</f>
        <v>225.2323446080772</v>
      </c>
      <c r="BJ21" s="59">
        <f t="shared" si="38"/>
        <v>222.29030402759292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278.5296012747549</v>
      </c>
      <c r="T22" s="59">
        <f t="shared" si="34"/>
        <v>370.55343097937077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15.33109353535507</v>
      </c>
      <c r="AB22" s="21">
        <f>EXP(-LN(2)/2)*AB21+(1-EXP(-LN(2)/2))/(LN(2)/2)*V22*Y22*VLOOKUP('Données projet'!$B$9,Paramètres!$A$1:$I$89,3,0)*0.475*44/12</f>
        <v>13.643375625992494</v>
      </c>
      <c r="AC22" s="22">
        <f t="shared" si="3"/>
        <v>28.974469161347564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</v>
      </c>
      <c r="AI22" s="13">
        <f>IF('Données projet'!$A$62&gt;35,AI21+AH22-AQ21,IF(A22&lt;'Données projet'!$A$62,$AF$205^A22,IF(A22='Données projet'!$A$62,'Données projet'!$B$62,AI21+AH22-AQ21)))</f>
        <v>110</v>
      </c>
      <c r="AJ22" s="13">
        <f>AI22*VLOOKUP('Données projet'!$B$10,Paramètres!$A$1:$I$89,3,0)*VLOOKUP('Données projet'!$B$10,Paramètres!$A$1:$I$89,5,0)</f>
        <v>68.64</v>
      </c>
      <c r="AK22" s="13">
        <f t="shared" si="35"/>
        <v>19.335336956640202</v>
      </c>
      <c r="AL22" s="20">
        <f t="shared" si="4"/>
        <v>153.22371186614836</v>
      </c>
      <c r="AM22" s="59">
        <f t="shared" si="5"/>
        <v>446.55704519948165</v>
      </c>
      <c r="AN22" s="59">
        <f ca="1">AVERAGE(OFFSET($AM$3,0,0,'Données projet'!$E$10+1,1))-AVERAGE(OFFSET($H$3,0,0,'Données projet'!$E$10+1,1))</f>
        <v>179.44051550872138</v>
      </c>
      <c r="AO22" s="59">
        <f t="shared" si="36"/>
        <v>272.9500808380069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6.736552119829911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6.736552119829911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54.419040000000003</v>
      </c>
      <c r="BF22" s="13">
        <f t="shared" si="37"/>
        <v>15.749310274925152</v>
      </c>
      <c r="BG22" s="20">
        <f t="shared" si="7"/>
        <v>122.20987672882796</v>
      </c>
      <c r="BH22" s="59">
        <f t="shared" si="8"/>
        <v>415.54321006216128</v>
      </c>
      <c r="BI22" s="59">
        <f ca="1">AVERAGE(OFFSET($BH$3,0,0,'Données projet'!$E$11+1,1))-AVERAGE(OFFSET($H$3,0,0,'Données projet'!$E$11+1,1))</f>
        <v>225.2323446080772</v>
      </c>
      <c r="BJ22" s="59">
        <f t="shared" si="38"/>
        <v>222.29030402759292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278.5296012747549</v>
      </c>
      <c r="T23" s="59">
        <f t="shared" si="34"/>
        <v>370.55343097937077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14.911863976403616</v>
      </c>
      <c r="AB23" s="21">
        <f>EXP(-LN(2)/2)*AB22+(1-EXP(-LN(2)/2))/(LN(2)/2)*V23*Y23*VLOOKUP('Données projet'!$B$9,Paramètres!$A$1:$I$89,3,0)*0.475*44/12</f>
        <v>9.6473234234145515</v>
      </c>
      <c r="AC23" s="22">
        <f t="shared" si="3"/>
        <v>24.559187399818168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18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79.872</v>
      </c>
      <c r="AK23" s="13">
        <f t="shared" si="35"/>
        <v>22.105884547145418</v>
      </c>
      <c r="AL23" s="20">
        <f t="shared" si="4"/>
        <v>177.61148225294494</v>
      </c>
      <c r="AM23" s="59">
        <f t="shared" si="5"/>
        <v>470.94481558627825</v>
      </c>
      <c r="AN23" s="59">
        <f ca="1">AVERAGE(OFFSET($AM$3,0,0,'Données projet'!$E$10+1,1))-AVERAGE(OFFSET($H$3,0,0,'Données projet'!$E$10+1,1))</f>
        <v>179.44051550872138</v>
      </c>
      <c r="AO23" s="59">
        <f t="shared" si="36"/>
        <v>272.9500808380069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6.5523407478532825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6.5523407478532825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63.647999999999996</v>
      </c>
      <c r="BF23" s="13">
        <f t="shared" si="37"/>
        <v>18.087405707268363</v>
      </c>
      <c r="BG23" s="20">
        <f t="shared" si="7"/>
        <v>142.35583160682572</v>
      </c>
      <c r="BH23" s="59">
        <f t="shared" si="8"/>
        <v>435.689164940159</v>
      </c>
      <c r="BI23" s="59">
        <f ca="1">AVERAGE(OFFSET($BH$3,0,0,'Données projet'!$E$11+1,1))-AVERAGE(OFFSET($H$3,0,0,'Données projet'!$E$11+1,1))</f>
        <v>225.2323446080772</v>
      </c>
      <c r="BJ23" s="59">
        <f t="shared" si="38"/>
        <v>222.29030402759292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278.5296012747549</v>
      </c>
      <c r="T24" s="59">
        <f t="shared" si="34"/>
        <v>370.55343097937077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14.504098271788013</v>
      </c>
      <c r="AB24" s="21">
        <f>EXP(-LN(2)/2)*AB23+(1-EXP(-LN(2)/2))/(LN(2)/2)*V24*Y24*VLOOKUP('Données projet'!$B$9,Paramètres!$A$1:$I$89,3,0)*0.475*44/12</f>
        <v>6.8216878129962479</v>
      </c>
      <c r="AC24" s="22">
        <f t="shared" si="3"/>
        <v>21.325786084784262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146</v>
      </c>
      <c r="AG24" s="12">
        <f>VLOOKUP(A24,'Données projet'!$A$61:$I$81,9,0)</f>
        <v>18</v>
      </c>
      <c r="AH24" s="12">
        <f t="array" ref="AH24">INDEX(AG:AG,MIN(IF(ISNUMBER(AG24:AG220),ROW(AG24:AG220),"")))</f>
        <v>18</v>
      </c>
      <c r="AI24" s="13">
        <f>IF('Données projet'!$A$62&gt;35,AI23+AH24-AQ23,IF(A24&lt;'Données projet'!$A$62,$AF$205^A24,IF(A24='Données projet'!$A$62,'Données projet'!$B$62,AI23+AH24-AQ23)))</f>
        <v>146</v>
      </c>
      <c r="AJ24" s="13">
        <f>AI24*VLOOKUP('Données projet'!$B$10,Paramètres!$A$1:$I$89,3,0)*VLOOKUP('Données projet'!$B$10,Paramètres!$A$1:$I$89,5,0)</f>
        <v>91.103999999999999</v>
      </c>
      <c r="AK24" s="13">
        <f t="shared" si="35"/>
        <v>24.831293984707884</v>
      </c>
      <c r="AL24" s="20">
        <f t="shared" si="4"/>
        <v>201.92063702336623</v>
      </c>
      <c r="AM24" s="59">
        <f t="shared" si="5"/>
        <v>495.25397035669954</v>
      </c>
      <c r="AN24" s="59">
        <f ca="1">AVERAGE(OFFSET($AM$3,0,0,'Données projet'!$E$10+1,1))-AVERAGE(OFFSET($H$3,0,0,'Données projet'!$E$10+1,1))</f>
        <v>179.44051550872138</v>
      </c>
      <c r="AO24" s="59">
        <f t="shared" si="36"/>
        <v>272.9500808380069</v>
      </c>
      <c r="AP24" s="15">
        <f>IF(ISNA(VLOOKUP(A24,'Données projet'!$A$61:$I$81,3,0)),0,VLOOKUP(A24,'Données projet'!$A$61:$I$81,3,0))</f>
        <v>2</v>
      </c>
      <c r="AQ24" s="15">
        <f>IF(ISNA(VLOOKUP(A24,'Données projet'!$A$61:$I$81,4,0)),0,VLOOKUP(A24,'Données projet'!$A$61:$I$81,4,0))</f>
        <v>26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0.48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16.663138179133213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16.663138179133213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51.395759999999996</v>
      </c>
      <c r="BF24" s="13">
        <f t="shared" si="37"/>
        <v>14.973641136922506</v>
      </c>
      <c r="BG24" s="20">
        <f t="shared" si="7"/>
        <v>115.59337364680668</v>
      </c>
      <c r="BH24" s="59">
        <f t="shared" si="8"/>
        <v>408.92670698014001</v>
      </c>
      <c r="BI24" s="59">
        <f ca="1">AVERAGE(OFFSET($BH$3,0,0,'Données projet'!$E$11+1,1))-AVERAGE(OFFSET($H$3,0,0,'Données projet'!$E$11+1,1))</f>
        <v>225.2323446080772</v>
      </c>
      <c r="BJ24" s="59">
        <f t="shared" si="38"/>
        <v>222.29030402759292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278.5296012747549</v>
      </c>
      <c r="T25" s="59">
        <f t="shared" si="34"/>
        <v>370.55343097937077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14.107482941808591</v>
      </c>
      <c r="AB25" s="21">
        <f>EXP(-LN(2)/2)*AB24+(1-EXP(-LN(2)/2))/(LN(2)/2)*V25*Y25*VLOOKUP('Données projet'!$B$9,Paramètres!$A$1:$I$89,3,0)*0.475*44/12</f>
        <v>4.8236617117072758</v>
      </c>
      <c r="AC25" s="22">
        <f t="shared" si="3"/>
        <v>18.931144653515865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</v>
      </c>
      <c r="AI25" s="13">
        <f>IF('Données projet'!$A$62&gt;35,AI24+AH25-AQ24,IF(A25&lt;'Données projet'!$A$62,$AF$205^A25,IF(A25='Données projet'!$A$62,'Données projet'!$B$62,AI24+AH25-AQ24)))</f>
        <v>136</v>
      </c>
      <c r="AJ25" s="13">
        <f>AI25*VLOOKUP('Données projet'!$B$10,Paramètres!$A$1:$I$89,3,0)*VLOOKUP('Données projet'!$B$10,Paramètres!$A$1:$I$89,5,0)</f>
        <v>84.864000000000004</v>
      </c>
      <c r="AK25" s="13">
        <f t="shared" si="35"/>
        <v>23.322341364766192</v>
      </c>
      <c r="AL25" s="20">
        <f t="shared" si="4"/>
        <v>188.42454454363443</v>
      </c>
      <c r="AM25" s="59">
        <f t="shared" si="5"/>
        <v>481.75787787696777</v>
      </c>
      <c r="AN25" s="59">
        <f ca="1">AVERAGE(OFFSET($AM$3,0,0,'Données projet'!$E$10+1,1))-AVERAGE(OFFSET($H$3,0,0,'Données projet'!$E$10+1,1))</f>
        <v>179.44051550872138</v>
      </c>
      <c r="AO25" s="59">
        <f t="shared" si="36"/>
        <v>272.9500808380069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16.207483789348462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16.207483789348462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61.42031999999999</v>
      </c>
      <c r="BF25" s="13">
        <f t="shared" si="37"/>
        <v>17.526880037631354</v>
      </c>
      <c r="BG25" s="20">
        <f t="shared" si="7"/>
        <v>137.4997067322079</v>
      </c>
      <c r="BH25" s="59">
        <f t="shared" si="8"/>
        <v>430.83304006554124</v>
      </c>
      <c r="BI25" s="59">
        <f ca="1">AVERAGE(OFFSET($BH$3,0,0,'Données projet'!$E$11+1,1))-AVERAGE(OFFSET($H$3,0,0,'Données projet'!$E$11+1,1))</f>
        <v>225.2323446080772</v>
      </c>
      <c r="BJ25" s="59">
        <f t="shared" si="38"/>
        <v>222.29030402759292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278.5296012747549</v>
      </c>
      <c r="T26" s="59">
        <f t="shared" si="34"/>
        <v>370.55343097937077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13.72171307888455</v>
      </c>
      <c r="AB26" s="21">
        <f>EXP(-LN(2)/2)*AB25+(1-EXP(-LN(2)/2))/(LN(2)/2)*V26*Y26*VLOOKUP('Données projet'!$B$9,Paramètres!$A$1:$I$89,3,0)*0.475*44/12</f>
        <v>3.410843906498124</v>
      </c>
      <c r="AC26" s="22">
        <f t="shared" si="3"/>
        <v>17.132556985382674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152</v>
      </c>
      <c r="AJ26" s="13">
        <f>AI26*VLOOKUP('Données projet'!$B$10,Paramètres!$A$1:$I$89,3,0)*VLOOKUP('Données projet'!$B$10,Paramètres!$A$1:$I$89,5,0)</f>
        <v>94.847999999999999</v>
      </c>
      <c r="AK26" s="13">
        <f t="shared" si="35"/>
        <v>25.730851751939202</v>
      </c>
      <c r="AL26" s="20">
        <f t="shared" si="4"/>
        <v>210.0081668012941</v>
      </c>
      <c r="AM26" s="59">
        <f t="shared" si="5"/>
        <v>503.34150013462738</v>
      </c>
      <c r="AN26" s="59">
        <f ca="1">AVERAGE(OFFSET($AM$3,0,0,'Données projet'!$E$10+1,1))-AVERAGE(OFFSET($H$3,0,0,'Données projet'!$E$10+1,1))</f>
        <v>179.44051550872138</v>
      </c>
      <c r="AO26" s="59">
        <f t="shared" si="36"/>
        <v>272.9500808380069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15.764289292814199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15.764289292814199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71.444879999999998</v>
      </c>
      <c r="BF26" s="13">
        <f t="shared" si="37"/>
        <v>20.03184442542841</v>
      </c>
      <c r="BG26" s="20">
        <f t="shared" si="7"/>
        <v>159.32196170762117</v>
      </c>
      <c r="BH26" s="59">
        <f t="shared" si="8"/>
        <v>452.65529504095446</v>
      </c>
      <c r="BI26" s="59">
        <f ca="1">AVERAGE(OFFSET($BH$3,0,0,'Données projet'!$E$11+1,1))-AVERAGE(OFFSET($H$3,0,0,'Données projet'!$E$11+1,1))</f>
        <v>225.2323446080772</v>
      </c>
      <c r="BJ26" s="59">
        <f t="shared" si="38"/>
        <v>222.29030402759292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278.5296012747549</v>
      </c>
      <c r="T27" s="59">
        <f t="shared" si="34"/>
        <v>370.55343097937077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0.38500000000000001</v>
      </c>
      <c r="X27" s="16">
        <f>IF(ISNA(VLOOKUP(A27,'Données projet'!$A$35:$I$55,6,0)),0%,VLOOKUP(A27,'Données projet'!$A$35:$I$55,6,0)*VLOOKUP('Données projet'!$B$9,Paramètres!$A$1:$I$89,7,0))</f>
        <v>9.240000000000001E-2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12.179722870865961</v>
      </c>
      <c r="AA27" s="21">
        <f>EXP(-LN(2)/25)*AA26+(1-EXP(-LN(2)/25))/(LN(2)/25)*Calculateur!V27*Calculateur!X27*VLOOKUP('Données projet'!$B$9,Paramètres!$A$1:$I$89,3,0)*0.475*44/12</f>
        <v>16.25811611180935</v>
      </c>
      <c r="AB27" s="21">
        <f>EXP(-LN(2)/2)*AB26+(1-EXP(-LN(2)/2))/(LN(2)/2)*V27*Y27*VLOOKUP('Données projet'!$B$9,Paramètres!$A$1:$I$89,3,0)*0.475*44/12</f>
        <v>5.9759957746672558</v>
      </c>
      <c r="AC27" s="22">
        <f t="shared" si="3"/>
        <v>34.413834757342563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168</v>
      </c>
      <c r="AG27" s="12">
        <f>VLOOKUP(A27,'Données projet'!$A$61:$I$81,9,0)</f>
        <v>16</v>
      </c>
      <c r="AH27" s="12">
        <f t="array" ref="AH27">INDEX(AG:AG,MIN(IF(ISNUMBER(AG27:AG223),ROW(AG27:AG223),"")))</f>
        <v>16</v>
      </c>
      <c r="AI27" s="13">
        <f>IF('Données projet'!$A$62&gt;35,AI26+AH27-AQ26,IF(A27&lt;'Données projet'!$A$62,$AF$205^A27,IF(A27='Données projet'!$A$62,'Données projet'!$B$62,AI26+AH27-AQ26)))</f>
        <v>168</v>
      </c>
      <c r="AJ27" s="13">
        <f>AI27*VLOOKUP('Données projet'!$B$10,Paramètres!$A$1:$I$89,3,0)*VLOOKUP('Données projet'!$B$10,Paramètres!$A$1:$I$89,5,0)</f>
        <v>104.83200000000001</v>
      </c>
      <c r="AK27" s="13">
        <f t="shared" si="35"/>
        <v>28.109974371137717</v>
      </c>
      <c r="AL27" s="20">
        <f t="shared" si="4"/>
        <v>231.54060536306486</v>
      </c>
      <c r="AM27" s="59">
        <f t="shared" si="5"/>
        <v>524.87393869639823</v>
      </c>
      <c r="AN27" s="59">
        <f ca="1">AVERAGE(OFFSET($AM$3,0,0,'Données projet'!$E$10+1,1))-AVERAGE(OFFSET($H$3,0,0,'Données projet'!$E$10+1,1))</f>
        <v>179.44051550872138</v>
      </c>
      <c r="AO27" s="59">
        <f t="shared" si="36"/>
        <v>272.9500808380069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29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0.48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26.810489914420231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26.810489914420231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81.469439999999992</v>
      </c>
      <c r="BF27" s="13">
        <f t="shared" si="37"/>
        <v>22.496088365195678</v>
      </c>
      <c r="BG27" s="20">
        <f t="shared" si="7"/>
        <v>181.07329523604912</v>
      </c>
      <c r="BH27" s="59">
        <f t="shared" si="8"/>
        <v>474.40662856938241</v>
      </c>
      <c r="BI27" s="59">
        <f ca="1">AVERAGE(OFFSET($BH$3,0,0,'Données projet'!$E$11+1,1))-AVERAGE(OFFSET($H$3,0,0,'Données projet'!$E$11+1,1))</f>
        <v>225.2323446080772</v>
      </c>
      <c r="BJ27" s="59">
        <f t="shared" si="38"/>
        <v>222.29030402759292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278.5296012747549</v>
      </c>
      <c r="T28" s="59">
        <f t="shared" si="34"/>
        <v>370.55343097937077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11.940885934265687</v>
      </c>
      <c r="AA28" s="21">
        <f>EXP(-LN(2)/25)*AA27+(1-EXP(-LN(2)/25))/(LN(2)/25)*Calculateur!V28*Calculateur!X28*VLOOKUP('Données projet'!$B$9,Paramètres!$A$1:$I$89,3,0)*0.475*44/12</f>
        <v>15.813537071754755</v>
      </c>
      <c r="AB28" s="21">
        <f>EXP(-LN(2)/2)*AB27+(1-EXP(-LN(2)/2))/(LN(2)/2)*V28*Y28*VLOOKUP('Données projet'!$B$9,Paramètres!$A$1:$I$89,3,0)*0.475*44/12</f>
        <v>4.2256671366093723</v>
      </c>
      <c r="AC28" s="22">
        <f t="shared" si="3"/>
        <v>31.980090142629813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14.166666666666666</v>
      </c>
      <c r="AI28" s="13">
        <f>IF('Données projet'!$A$62&gt;35,AI27+AH28-AQ27,IF(A28&lt;'Données projet'!$A$62,$AF$205^A28,IF(A28='Données projet'!$A$62,'Données projet'!$B$62,AI27+AH28-AQ27)))</f>
        <v>153.16666666666666</v>
      </c>
      <c r="AJ28" s="13">
        <f>AI28*VLOOKUP('Données projet'!$B$10,Paramètres!$A$1:$I$89,3,0)*VLOOKUP('Données projet'!$B$10,Paramètres!$A$1:$I$89,5,0)</f>
        <v>95.575999999999993</v>
      </c>
      <c r="AK28" s="13">
        <f t="shared" si="35"/>
        <v>25.905281107545633</v>
      </c>
      <c r="AL28" s="20">
        <f t="shared" si="4"/>
        <v>211.57989792897527</v>
      </c>
      <c r="AM28" s="59">
        <f t="shared" si="5"/>
        <v>504.91323126230861</v>
      </c>
      <c r="AN28" s="59">
        <f ca="1">AVERAGE(OFFSET($AM$3,0,0,'Données projet'!$E$10+1,1))-AVERAGE(OFFSET($H$3,0,0,'Données projet'!$E$10+1,1))</f>
        <v>179.44051550872138</v>
      </c>
      <c r="AO28" s="59">
        <f t="shared" si="36"/>
        <v>272.9500808380069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26.07735565780802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26.07735565780802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91.493999999999986</v>
      </c>
      <c r="BF28" s="13">
        <f t="shared" si="37"/>
        <v>24.925195840896517</v>
      </c>
      <c r="BG28" s="20">
        <f t="shared" si="7"/>
        <v>202.76343275622807</v>
      </c>
      <c r="BH28" s="59">
        <f t="shared" si="8"/>
        <v>496.09676608956136</v>
      </c>
      <c r="BI28" s="59">
        <f ca="1">AVERAGE(OFFSET($BH$3,0,0,'Données projet'!$E$11+1,1))-AVERAGE(OFFSET($H$3,0,0,'Données projet'!$E$11+1,1))</f>
        <v>225.2323446080772</v>
      </c>
      <c r="BJ28" s="59">
        <f t="shared" si="38"/>
        <v>222.29030402759292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3.7100000000000008E-2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0.91003997042672546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0.91003997042672546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278.5296012747549</v>
      </c>
      <c r="T29" s="59">
        <f t="shared" si="34"/>
        <v>370.55343097937077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11.706732444315998</v>
      </c>
      <c r="AA29" s="21">
        <f>EXP(-LN(2)/25)*AA28+(1-EXP(-LN(2)/25))/(LN(2)/25)*Calculateur!V29*Calculateur!X29*VLOOKUP('Données projet'!$B$9,Paramètres!$A$1:$I$89,3,0)*0.475*44/12</f>
        <v>15.38111506892985</v>
      </c>
      <c r="AB29" s="21">
        <f>EXP(-LN(2)/2)*AB28+(1-EXP(-LN(2)/2))/(LN(2)/2)*V29*Y29*VLOOKUP('Données projet'!$B$9,Paramètres!$A$1:$I$89,3,0)*0.475*44/12</f>
        <v>2.9879978873336284</v>
      </c>
      <c r="AC29" s="22">
        <f t="shared" si="3"/>
        <v>30.075845400579475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14.166666666666666</v>
      </c>
      <c r="AI29" s="13">
        <f>IF('Données projet'!$A$62&gt;35,AI28+AH29-AQ28,IF(A29&lt;'Données projet'!$A$62,$AF$205^A29,IF(A29='Données projet'!$A$62,'Données projet'!$B$62,AI28+AH29-AQ28)))</f>
        <v>167.33333333333331</v>
      </c>
      <c r="AJ29" s="13">
        <f>AI29*VLOOKUP('Données projet'!$B$10,Paramètres!$A$1:$I$89,3,0)*VLOOKUP('Données projet'!$B$10,Paramètres!$A$1:$I$89,5,0)</f>
        <v>104.416</v>
      </c>
      <c r="AK29" s="13">
        <f t="shared" si="35"/>
        <v>28.01138818767625</v>
      </c>
      <c r="AL29" s="20">
        <f t="shared" si="4"/>
        <v>230.64436776020281</v>
      </c>
      <c r="AM29" s="59">
        <f t="shared" si="5"/>
        <v>523.9777010935361</v>
      </c>
      <c r="AN29" s="59">
        <f ca="1">AVERAGE(OFFSET($AM$3,0,0,'Données projet'!$E$10+1,1))-AVERAGE(OFFSET($H$3,0,0,'Données projet'!$E$10+1,1))</f>
        <v>179.44051550872138</v>
      </c>
      <c r="AO29" s="59">
        <f t="shared" si="36"/>
        <v>272.9500808380069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25.364268995996728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25.364268995996728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78.605279999999979</v>
      </c>
      <c r="BF29" s="13">
        <f t="shared" si="37"/>
        <v>21.795819556945734</v>
      </c>
      <c r="BG29" s="20">
        <f t="shared" si="7"/>
        <v>174.86524839501377</v>
      </c>
      <c r="BH29" s="59">
        <f t="shared" si="8"/>
        <v>468.19858172834711</v>
      </c>
      <c r="BI29" s="59">
        <f ca="1">AVERAGE(OFFSET($BH$3,0,0,'Données projet'!$E$11+1,1))-AVERAGE(OFFSET($H$3,0,0,'Données projet'!$E$11+1,1))</f>
        <v>225.2323446080772</v>
      </c>
      <c r="BJ29" s="59">
        <f t="shared" si="38"/>
        <v>222.29030402759292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0.88515487957848449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0.88515487957848449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278.5296012747549</v>
      </c>
      <c r="T30" s="59">
        <f t="shared" si="34"/>
        <v>370.55343097937077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11.477170561484696</v>
      </c>
      <c r="AA30" s="21">
        <f>EXP(-LN(2)/25)*AA29+(1-EXP(-LN(2)/25))/(LN(2)/25)*Calculateur!V30*Calculateur!X30*VLOOKUP('Données projet'!$B$9,Paramètres!$A$1:$I$89,3,0)*0.475*44/12</f>
        <v>14.960517668512276</v>
      </c>
      <c r="AB30" s="21">
        <f>EXP(-LN(2)/2)*AB29+(1-EXP(-LN(2)/2))/(LN(2)/2)*V30*Y30*VLOOKUP('Données projet'!$B$9,Paramètres!$A$1:$I$89,3,0)*0.475*44/12</f>
        <v>2.1128335683046862</v>
      </c>
      <c r="AC30" s="22">
        <f t="shared" si="3"/>
        <v>28.550521798301659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14.166666666666666</v>
      </c>
      <c r="AI30" s="13">
        <f>IF('Données projet'!$A$62&gt;35,AI29+AH30-AQ29,IF(A30&lt;'Données projet'!$A$62,$AF$205^A30,IF(A30='Données projet'!$A$62,'Données projet'!$B$62,AI29+AH30-AQ29)))</f>
        <v>181.49999999999997</v>
      </c>
      <c r="AJ30" s="13">
        <f>AI30*VLOOKUP('Données projet'!$B$10,Paramètres!$A$1:$I$89,3,0)*VLOOKUP('Données projet'!$B$10,Paramètres!$A$1:$I$89,5,0)</f>
        <v>113.25599999999997</v>
      </c>
      <c r="AK30" s="13">
        <f t="shared" si="35"/>
        <v>30.096816336106439</v>
      </c>
      <c r="AL30" s="20">
        <f t="shared" si="4"/>
        <v>249.67282178538531</v>
      </c>
      <c r="AM30" s="59">
        <f t="shared" si="5"/>
        <v>543.00615511871865</v>
      </c>
      <c r="AN30" s="59">
        <f ca="1">AVERAGE(OFFSET($AM$3,0,0,'Données projet'!$E$10+1,1))-AVERAGE(OFFSET($H$3,0,0,'Données projet'!$E$10+1,1))</f>
        <v>179.44051550872138</v>
      </c>
      <c r="AO30" s="59">
        <f t="shared" si="36"/>
        <v>272.9500808380069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24.670681726452262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24.670681726452262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87.993359999999981</v>
      </c>
      <c r="BF30" s="13">
        <f t="shared" si="37"/>
        <v>24.080638481970816</v>
      </c>
      <c r="BG30" s="20">
        <f t="shared" si="7"/>
        <v>195.19554735609913</v>
      </c>
      <c r="BH30" s="59">
        <f t="shared" si="8"/>
        <v>488.52888068943241</v>
      </c>
      <c r="BI30" s="59">
        <f ca="1">AVERAGE(OFFSET($BH$3,0,0,'Données projet'!$E$11+1,1))-AVERAGE(OFFSET($H$3,0,0,'Données projet'!$E$11+1,1))</f>
        <v>225.2323446080772</v>
      </c>
      <c r="BJ30" s="59">
        <f t="shared" si="38"/>
        <v>222.29030402759292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0.86095027284813874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0.86095027284813874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278.5296012747549</v>
      </c>
      <c r="T31" s="59">
        <f t="shared" si="34"/>
        <v>370.55343097937077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11.252110247156793</v>
      </c>
      <c r="AA31" s="21">
        <f>EXP(-LN(2)/25)*AA30+(1-EXP(-LN(2)/25))/(LN(2)/25)*Calculateur!V31*Calculateur!X31*VLOOKUP('Données projet'!$B$9,Paramètres!$A$1:$I$89,3,0)*0.475*44/12</f>
        <v>14.551421526127376</v>
      </c>
      <c r="AB31" s="21">
        <f>EXP(-LN(2)/2)*AB30+(1-EXP(-LN(2)/2))/(LN(2)/2)*V31*Y31*VLOOKUP('Données projet'!$B$9,Paramètres!$A$1:$I$89,3,0)*0.475*44/12</f>
        <v>1.4939989436668142</v>
      </c>
      <c r="AC31" s="22">
        <f t="shared" si="3"/>
        <v>27.297530716950984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14.166666666666666</v>
      </c>
      <c r="AI31" s="13">
        <f>IF('Données projet'!$A$62&gt;35,AI30+AH31-AQ30,IF(A31&lt;'Données projet'!$A$62,$AF$205^A31,IF(A31='Données projet'!$A$62,'Données projet'!$B$62,AI30+AH31-AQ30)))</f>
        <v>195.66666666666663</v>
      </c>
      <c r="AJ31" s="13">
        <f>AI31*VLOOKUP('Données projet'!$B$10,Paramètres!$A$1:$I$89,3,0)*VLOOKUP('Données projet'!$B$10,Paramètres!$A$1:$I$89,5,0)</f>
        <v>122.09599999999998</v>
      </c>
      <c r="AK31" s="13">
        <f t="shared" si="35"/>
        <v>32.163363121463028</v>
      </c>
      <c r="AL31" s="20">
        <f t="shared" si="4"/>
        <v>268.6683907698814</v>
      </c>
      <c r="AM31" s="59">
        <f t="shared" si="5"/>
        <v>562.00172410321466</v>
      </c>
      <c r="AN31" s="59">
        <f ca="1">AVERAGE(OFFSET($AM$3,0,0,'Données projet'!$E$10+1,1))-AVERAGE(OFFSET($H$3,0,0,'Données projet'!$E$10+1,1))</f>
        <v>179.44051550872138</v>
      </c>
      <c r="AO31" s="59">
        <f t="shared" si="36"/>
        <v>272.9500808380069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23.996060637267657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23.996060637267657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97.381439999999984</v>
      </c>
      <c r="BF31" s="13">
        <f t="shared" si="37"/>
        <v>26.337201615555198</v>
      </c>
      <c r="BG31" s="20">
        <f t="shared" si="7"/>
        <v>215.47663414709197</v>
      </c>
      <c r="BH31" s="59">
        <f t="shared" si="8"/>
        <v>508.80996748042526</v>
      </c>
      <c r="BI31" s="59">
        <f ca="1">AVERAGE(OFFSET($BH$3,0,0,'Données projet'!$E$11+1,1))-AVERAGE(OFFSET($H$3,0,0,'Données projet'!$E$11+1,1))</f>
        <v>225.2323446080772</v>
      </c>
      <c r="BJ31" s="59">
        <f t="shared" si="38"/>
        <v>222.29030402759292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0.83740754236169923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0.83740754236169923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278.5296012747549</v>
      </c>
      <c r="T32" s="59">
        <f t="shared" si="34"/>
        <v>370.55343097937077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11.031463228319623</v>
      </c>
      <c r="AA32" s="21">
        <f>EXP(-LN(2)/25)*AA31+(1-EXP(-LN(2)/25))/(LN(2)/25)*Calculateur!V32*Calculateur!X32*VLOOKUP('Données projet'!$B$9,Paramètres!$A$1:$I$89,3,0)*0.475*44/12</f>
        <v>14.153512139269422</v>
      </c>
      <c r="AB32" s="21">
        <f>EXP(-LN(2)/2)*AB31+(1-EXP(-LN(2)/2))/(LN(2)/2)*V32*Y32*VLOOKUP('Données projet'!$B$9,Paramètres!$A$1:$I$89,3,0)*0.475*44/12</f>
        <v>1.0564167841523431</v>
      </c>
      <c r="AC32" s="22">
        <f t="shared" si="3"/>
        <v>26.24139215174139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14.166666666666666</v>
      </c>
      <c r="AI32" s="13">
        <f>IF('Données projet'!$A$62&gt;35,AI31+AH32-AQ31,IF(A32&lt;'Données projet'!$A$62,$AF$205^A32,IF(A32='Données projet'!$A$62,'Données projet'!$B$62,AI31+AH32-AQ31)))</f>
        <v>209.83333333333329</v>
      </c>
      <c r="AJ32" s="13">
        <f>AI32*VLOOKUP('Données projet'!$B$10,Paramètres!$A$1:$I$89,3,0)*VLOOKUP('Données projet'!$B$10,Paramètres!$A$1:$I$89,5,0)</f>
        <v>130.93599999999998</v>
      </c>
      <c r="AK32" s="13">
        <f t="shared" si="35"/>
        <v>34.21255106176632</v>
      </c>
      <c r="AL32" s="20">
        <f t="shared" si="4"/>
        <v>287.63372643257628</v>
      </c>
      <c r="AM32" s="59">
        <f t="shared" si="5"/>
        <v>580.96705976590965</v>
      </c>
      <c r="AN32" s="59">
        <f ca="1">AVERAGE(OFFSET($AM$3,0,0,'Données projet'!$E$10+1,1))-AVERAGE(OFFSET($H$3,0,0,'Données projet'!$E$10+1,1))</f>
        <v>179.44051550872138</v>
      </c>
      <c r="AO32" s="59">
        <f t="shared" si="36"/>
        <v>272.9500808380069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23.339887097243587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23.339887097243587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106.76951999999997</v>
      </c>
      <c r="BF32" s="13">
        <f t="shared" si="37"/>
        <v>28.568542914630683</v>
      </c>
      <c r="BG32" s="20">
        <f t="shared" si="7"/>
        <v>235.71379290964839</v>
      </c>
      <c r="BH32" s="59">
        <f t="shared" si="8"/>
        <v>529.04712624298168</v>
      </c>
      <c r="BI32" s="59">
        <f ca="1">AVERAGE(OFFSET($BH$3,0,0,'Données projet'!$E$11+1,1))-AVERAGE(OFFSET($H$3,0,0,'Données projet'!$E$11+1,1))</f>
        <v>225.2323446080772</v>
      </c>
      <c r="BJ32" s="59">
        <f t="shared" si="38"/>
        <v>222.29030402759292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0.81450858907846979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0.81450858907846979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278.5296012747549</v>
      </c>
      <c r="T33" s="59">
        <f t="shared" si="34"/>
        <v>370.55343097937077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29.563483054643072</v>
      </c>
      <c r="AA33" s="21">
        <f>EXP(-LN(2)/25)*AA32+(1-EXP(-LN(2)/25))/(LN(2)/25)*Calculateur!V33*Calculateur!X33*VLOOKUP('Données projet'!$B$9,Paramètres!$A$1:$I$89,3,0)*0.475*44/12</f>
        <v>18.248368581460394</v>
      </c>
      <c r="AB33" s="21">
        <f>EXP(-LN(2)/2)*AB32+(1-EXP(-LN(2)/2))/(LN(2)/2)*V33*Y33*VLOOKUP('Données projet'!$B$9,Paramètres!$A$1:$I$89,3,0)*0.475*44/12</f>
        <v>6.233345651406407</v>
      </c>
      <c r="AC33" s="22">
        <f t="shared" si="3"/>
        <v>54.045197287509879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224</v>
      </c>
      <c r="AG33" s="12">
        <f>VLOOKUP(A33,'Données projet'!$A$61:$I$81,9,0)</f>
        <v>14.166666666666666</v>
      </c>
      <c r="AH33" s="12">
        <f t="array" ref="AH33">INDEX(AG:AG,MIN(IF(ISNUMBER(AG33:AG229),ROW(AG33:AG229),"")))</f>
        <v>14.166666666666666</v>
      </c>
      <c r="AI33" s="13">
        <f>IF('Données projet'!$A$62&gt;35,AI32+AH33-AQ32,IF(A33&lt;'Données projet'!$A$62,$AF$205^A33,IF(A33='Données projet'!$A$62,'Données projet'!$B$62,AI32+AH33-AQ32)))</f>
        <v>223.99999999999994</v>
      </c>
      <c r="AJ33" s="13">
        <f>AI33*VLOOKUP('Données projet'!$B$10,Paramètres!$A$1:$I$89,3,0)*VLOOKUP('Données projet'!$B$10,Paramètres!$A$1:$I$89,5,0)</f>
        <v>139.77599999999995</v>
      </c>
      <c r="AK33" s="13">
        <f t="shared" si="35"/>
        <v>36.245685459195258</v>
      </c>
      <c r="AL33" s="20">
        <f t="shared" si="4"/>
        <v>306.57110217476503</v>
      </c>
      <c r="AM33" s="59">
        <f t="shared" si="5"/>
        <v>599.90443550809835</v>
      </c>
      <c r="AN33" s="59">
        <f ca="1">AVERAGE(OFFSET($AM$3,0,0,'Données projet'!$E$10+1,1))-AVERAGE(OFFSET($H$3,0,0,'Données projet'!$E$10+1,1))</f>
        <v>179.44051550872138</v>
      </c>
      <c r="AO33" s="59">
        <f t="shared" si="36"/>
        <v>272.9500808380069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0.48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43.677367860291142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43.677367860291142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116.15759999999999</v>
      </c>
      <c r="BF33" s="13">
        <f t="shared" si="37"/>
        <v>30.777132266613055</v>
      </c>
      <c r="BG33" s="20">
        <f t="shared" si="7"/>
        <v>255.91132536435109</v>
      </c>
      <c r="BH33" s="59">
        <f t="shared" si="8"/>
        <v>549.24465869768437</v>
      </c>
      <c r="BI33" s="59">
        <f ca="1">AVERAGE(OFFSET($BH$3,0,0,'Données projet'!$E$11+1,1))-AVERAGE(OFFSET($H$3,0,0,'Données projet'!$E$11+1,1))</f>
        <v>225.2323446080772</v>
      </c>
      <c r="BJ33" s="59">
        <f t="shared" si="38"/>
        <v>222.29030402759292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2.12E-2</v>
      </c>
      <c r="BN33" s="16">
        <f>IF(ISNA(VLOOKUP(A33,'Données projet'!$A$87:$I$107,6,0)),0%,VLOOKUP(A33,'Données projet'!$A$87:$I$107,6,0)*VLOOKUP('Données projet'!$B$11,Paramètres!$A$1:$I$89,7,0))</f>
        <v>0.1537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0.52207846207652797</v>
      </c>
      <c r="BQ33" s="21">
        <f>EXP(-LN(2)/25)*BQ32+(1-EXP(-LN(2)/25))/(LN(2)/25)*Calculateur!BL33*Calculateur!BN33*VLOOKUP('Données projet'!$B$11,Paramètres!$A$1:$I$89,3,0)*0.475*44/12</f>
        <v>4.5624014006448359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5.0844798627213637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22.884615384615397</v>
      </c>
      <c r="N34" s="13">
        <f>IF('Données projet'!$A$36&gt;35,N33+M34-V33,IF(A34&lt;'Données projet'!$A$36,$K$205^A34,IF(A34='Données projet'!$A$36,'Données projet'!$B$36,N33+M34-V33)))</f>
        <v>289.08461538461529</v>
      </c>
      <c r="O34" s="13">
        <f>N34*VLOOKUP('Données projet'!$B$9,Paramètres!$A$1:$I$89,3,0)*VLOOKUP('Données projet'!$B$9,Paramètres!$A$1:$I$89,5,0)</f>
        <v>161.59829999999994</v>
      </c>
      <c r="P34" s="13">
        <f t="shared" si="33"/>
        <v>41.202807619439731</v>
      </c>
      <c r="Q34" s="20">
        <f t="shared" si="2"/>
        <v>353.21192910385736</v>
      </c>
      <c r="R34" s="59">
        <f t="shared" si="0"/>
        <v>646.54526243719067</v>
      </c>
      <c r="S34" s="59">
        <f ca="1">AVERAGE(OFFSET($R$3,0,0,'Données projet'!$E$9+1,1))-AVERAGE(OFFSET($H$3,0,0,'Données projet'!$E$9+1,1))</f>
        <v>278.5296012747549</v>
      </c>
      <c r="T34" s="59">
        <f t="shared" si="34"/>
        <v>370.55343097937077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28.983761183885679</v>
      </c>
      <c r="AA34" s="21">
        <f>EXP(-LN(2)/25)*AA33+(1-EXP(-LN(2)/25))/(LN(2)/25)*Calculateur!V34*Calculateur!X34*VLOOKUP('Données projet'!$B$9,Paramètres!$A$1:$I$89,3,0)*0.475*44/12</f>
        <v>17.749365982960363</v>
      </c>
      <c r="AB34" s="21">
        <f>EXP(-LN(2)/2)*AB33+(1-EXP(-LN(2)/2))/(LN(2)/2)*V34*Y34*VLOOKUP('Données projet'!$B$9,Paramètres!$A$1:$I$89,3,0)*0.475*44/12</f>
        <v>4.4076409795891482</v>
      </c>
      <c r="AC34" s="22">
        <f t="shared" si="3"/>
        <v>51.140768146435192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12.833333333333334</v>
      </c>
      <c r="AI34" s="13">
        <f>IF('Données projet'!$A$62&gt;35,AI33+AH34-AQ33,IF(A34&lt;'Données projet'!$A$62,$AF$205^A34,IF(A34='Données projet'!$A$62,'Données projet'!$B$62,AI33+AH34-AQ33)))</f>
        <v>183.83333333333329</v>
      </c>
      <c r="AJ34" s="13">
        <f>AI34*VLOOKUP('Données projet'!$B$10,Paramètres!$A$1:$I$89,3,0)*VLOOKUP('Données projet'!$B$10,Paramètres!$A$1:$I$89,5,0)</f>
        <v>114.71199999999997</v>
      </c>
      <c r="AK34" s="13">
        <f t="shared" si="35"/>
        <v>30.438443898016164</v>
      </c>
      <c r="AL34" s="20">
        <f t="shared" si="4"/>
        <v>252.80368978904474</v>
      </c>
      <c r="AM34" s="59">
        <f t="shared" si="5"/>
        <v>546.13702312237808</v>
      </c>
      <c r="AN34" s="59">
        <f ca="1">AVERAGE(OFFSET($AM$3,0,0,'Données projet'!$E$10+1,1))-AVERAGE(OFFSET($H$3,0,0,'Données projet'!$E$10+1,1))</f>
        <v>179.44051550872138</v>
      </c>
      <c r="AO34" s="59">
        <f t="shared" si="36"/>
        <v>272.9500808380069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42.483007939258528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42.483007939258528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102.47327999999999</v>
      </c>
      <c r="BF34" s="13">
        <f t="shared" si="37"/>
        <v>27.550381949314474</v>
      </c>
      <c r="BG34" s="20">
        <f t="shared" si="7"/>
        <v>226.45787789505599</v>
      </c>
      <c r="BH34" s="59">
        <f t="shared" si="8"/>
        <v>519.79121122838933</v>
      </c>
      <c r="BI34" s="59">
        <f ca="1">AVERAGE(OFFSET($BH$3,0,0,'Données projet'!$E$11+1,1))-AVERAGE(OFFSET($H$3,0,0,'Données projet'!$E$11+1,1))</f>
        <v>225.2323446080772</v>
      </c>
      <c r="BJ34" s="59">
        <f t="shared" si="38"/>
        <v>222.29030402759292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0.51184082187162616</v>
      </c>
      <c r="BQ34" s="21">
        <f>EXP(-LN(2)/25)*BQ33+(1-EXP(-LN(2)/25))/(LN(2)/25)*Calculateur!BL34*Calculateur!BN34*VLOOKUP('Données projet'!$B$11,Paramètres!$A$1:$I$89,3,0)*0.475*44/12</f>
        <v>4.437642294417941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4.9494831162895672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22.884615384615397</v>
      </c>
      <c r="N35" s="13">
        <f>IF('Données projet'!$A$36&gt;35,N34+M35-V34,IF(A35&lt;'Données projet'!$A$36,$K$205^A35,IF(A35='Données projet'!$A$36,'Données projet'!$B$36,N34+M35-V34)))</f>
        <v>311.96923076923071</v>
      </c>
      <c r="O35" s="13">
        <f>N35*VLOOKUP('Données projet'!$B$9,Paramètres!$A$1:$I$89,3,0)*VLOOKUP('Données projet'!$B$9,Paramètres!$A$1:$I$89,5,0)</f>
        <v>174.39079999999996</v>
      </c>
      <c r="P35" s="13">
        <f t="shared" si="33"/>
        <v>44.071952499783528</v>
      </c>
      <c r="Q35" s="20">
        <f t="shared" ref="Q35:Q66" si="53">(O35+P35)*0.475*44/12</f>
        <v>380.48929393712291</v>
      </c>
      <c r="R35" s="59">
        <f t="shared" si="0"/>
        <v>673.82262727045622</v>
      </c>
      <c r="S35" s="59">
        <f ca="1">AVERAGE(OFFSET($R$3,0,0,'Données projet'!$E$9+1,1))-AVERAGE(OFFSET($H$3,0,0,'Données projet'!$E$9+1,1))</f>
        <v>278.5296012747549</v>
      </c>
      <c r="T35" s="59">
        <f t="shared" si="34"/>
        <v>370.55343097937077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28.415407305418412</v>
      </c>
      <c r="AA35" s="21">
        <f>EXP(-LN(2)/25)*AA34+(1-EXP(-LN(2)/25))/(LN(2)/25)*Calculateur!V35*Calculateur!X35*VLOOKUP('Données projet'!$B$9,Paramètres!$A$1:$I$89,3,0)*0.475*44/12</f>
        <v>17.264008636757723</v>
      </c>
      <c r="AB35" s="21">
        <f>EXP(-LN(2)/2)*AB34+(1-EXP(-LN(2)/2))/(LN(2)/2)*V35*Y35*VLOOKUP('Données projet'!$B$9,Paramètres!$A$1:$I$89,3,0)*0.475*44/12</f>
        <v>3.1166728257032039</v>
      </c>
      <c r="AC35" s="22">
        <f t="shared" si="3"/>
        <v>48.79608876787934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12.833333333333334</v>
      </c>
      <c r="AI35" s="13">
        <f>IF('Données projet'!$A$62&gt;35,AI34+AH35-AQ34,IF(A35&lt;'Données projet'!$A$62,$AF$205^A35,IF(A35='Données projet'!$A$62,'Données projet'!$B$62,AI34+AH35-AQ34)))</f>
        <v>196.66666666666663</v>
      </c>
      <c r="AJ35" s="13">
        <f>AI35*VLOOKUP('Données projet'!$B$10,Paramètres!$A$1:$I$89,3,0)*VLOOKUP('Données projet'!$B$10,Paramètres!$A$1:$I$89,5,0)</f>
        <v>122.71999999999997</v>
      </c>
      <c r="AK35" s="13">
        <f t="shared" si="35"/>
        <v>32.308564708068729</v>
      </c>
      <c r="AL35" s="20">
        <f t="shared" si="4"/>
        <v>270.00808353321963</v>
      </c>
      <c r="AM35" s="59">
        <f t="shared" si="5"/>
        <v>563.34141686655289</v>
      </c>
      <c r="AN35" s="59">
        <f ca="1">AVERAGE(OFFSET($AM$3,0,0,'Données projet'!$E$10+1,1))-AVERAGE(OFFSET($H$3,0,0,'Données projet'!$E$10+1,1))</f>
        <v>179.44051550872138</v>
      </c>
      <c r="AO35" s="59">
        <f t="shared" si="36"/>
        <v>272.9500808380069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41.321307853075211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41.321307853075211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111.06576</v>
      </c>
      <c r="BF35" s="13">
        <f t="shared" si="37"/>
        <v>29.581944857062648</v>
      </c>
      <c r="BG35" s="20">
        <f t="shared" si="7"/>
        <v>244.96141929271744</v>
      </c>
      <c r="BH35" s="59">
        <f t="shared" si="8"/>
        <v>538.29475262605069</v>
      </c>
      <c r="BI35" s="59">
        <f ca="1">AVERAGE(OFFSET($BH$3,0,0,'Données projet'!$E$11+1,1))-AVERAGE(OFFSET($H$3,0,0,'Données projet'!$E$11+1,1))</f>
        <v>225.2323446080772</v>
      </c>
      <c r="BJ35" s="59">
        <f t="shared" si="38"/>
        <v>222.29030402759292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0.50180393554679847</v>
      </c>
      <c r="BQ35" s="21">
        <f>EXP(-LN(2)/25)*BQ34+(1-EXP(-LN(2)/25))/(LN(2)/25)*Calculateur!BL35*Calculateur!BN35*VLOOKUP('Données projet'!$B$11,Paramètres!$A$1:$I$89,3,0)*0.475*44/12</f>
        <v>4.3162947325116168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4.8180986680584148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22.884615384615397</v>
      </c>
      <c r="N36" s="13">
        <f>IF('Données projet'!$A$36&gt;35,N35+M36-V35,IF(A36&lt;'Données projet'!$A$36,$K$205^A36,IF(A36='Données projet'!$A$36,'Données projet'!$B$36,N35+M36-V35)))</f>
        <v>334.85384615384612</v>
      </c>
      <c r="O36" s="13">
        <f>N36*VLOOKUP('Données projet'!$B$9,Paramètres!$A$1:$I$89,3,0)*VLOOKUP('Données projet'!$B$9,Paramètres!$A$1:$I$89,5,0)</f>
        <v>187.18329999999997</v>
      </c>
      <c r="P36" s="13">
        <f t="shared" si="33"/>
        <v>46.91668019244311</v>
      </c>
      <c r="Q36" s="20">
        <f t="shared" si="53"/>
        <v>407.72413216850504</v>
      </c>
      <c r="R36" s="59">
        <f t="shared" si="0"/>
        <v>701.05746550183835</v>
      </c>
      <c r="S36" s="59">
        <f ca="1">AVERAGE(OFFSET($R$3,0,0,'Données projet'!$E$9+1,1))-AVERAGE(OFFSET($H$3,0,0,'Données projet'!$E$9+1,1))</f>
        <v>278.5296012747549</v>
      </c>
      <c r="T36" s="59">
        <f t="shared" si="34"/>
        <v>370.55343097937077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27.858198499846253</v>
      </c>
      <c r="AA36" s="21">
        <f>EXP(-LN(2)/25)*AA35+(1-EXP(-LN(2)/25))/(LN(2)/25)*Calculateur!V36*Calculateur!X36*VLOOKUP('Données projet'!$B$9,Paramètres!$A$1:$I$89,3,0)*0.475*44/12</f>
        <v>16.791923412710826</v>
      </c>
      <c r="AB36" s="21">
        <f>EXP(-LN(2)/2)*AB35+(1-EXP(-LN(2)/2))/(LN(2)/2)*V36*Y36*VLOOKUP('Données projet'!$B$9,Paramètres!$A$1:$I$89,3,0)*0.475*44/12</f>
        <v>2.2038204897945741</v>
      </c>
      <c r="AC36" s="22">
        <f t="shared" si="3"/>
        <v>46.853942402351656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12.833333333333334</v>
      </c>
      <c r="AI36" s="13">
        <f>IF('Données projet'!$A$62&gt;35,AI35+AH36-AQ35,IF(A36&lt;'Données projet'!$A$62,$AF$205^A36,IF(A36='Données projet'!$A$62,'Données projet'!$B$62,AI35+AH36-AQ35)))</f>
        <v>209.49999999999997</v>
      </c>
      <c r="AJ36" s="13">
        <f>AI36*VLOOKUP('Données projet'!$B$10,Paramètres!$A$1:$I$89,3,0)*VLOOKUP('Données projet'!$B$10,Paramètres!$A$1:$I$89,5,0)</f>
        <v>130.72799999999998</v>
      </c>
      <c r="AK36" s="13">
        <f t="shared" si="35"/>
        <v>34.164524045585857</v>
      </c>
      <c r="AL36" s="20">
        <f t="shared" si="4"/>
        <v>287.18781271272866</v>
      </c>
      <c r="AM36" s="59">
        <f t="shared" si="5"/>
        <v>580.52114604606197</v>
      </c>
      <c r="AN36" s="59">
        <f ca="1">AVERAGE(OFFSET($AM$3,0,0,'Données projet'!$E$10+1,1))-AVERAGE(OFFSET($H$3,0,0,'Données projet'!$E$10+1,1))</f>
        <v>179.44051550872138</v>
      </c>
      <c r="AO36" s="59">
        <f t="shared" si="36"/>
        <v>272.9500808380069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40.19137451683973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40.19137451683973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119.65824000000002</v>
      </c>
      <c r="BF36" s="13">
        <f t="shared" si="37"/>
        <v>31.595276160231336</v>
      </c>
      <c r="BG36" s="20">
        <f t="shared" si="7"/>
        <v>263.43320731240294</v>
      </c>
      <c r="BH36" s="59">
        <f t="shared" si="8"/>
        <v>556.76654064573631</v>
      </c>
      <c r="BI36" s="59">
        <f ca="1">AVERAGE(OFFSET($BH$3,0,0,'Données projet'!$E$11+1,1))-AVERAGE(OFFSET($H$3,0,0,'Données projet'!$E$11+1,1))</f>
        <v>225.2323446080772</v>
      </c>
      <c r="BJ36" s="59">
        <f t="shared" si="38"/>
        <v>222.29030402759292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0.49196386644090451</v>
      </c>
      <c r="BQ36" s="21">
        <f>EXP(-LN(2)/25)*BQ35+(1-EXP(-LN(2)/25))/(LN(2)/25)*Calculateur!BL36*Calculateur!BN36*VLOOKUP('Données projet'!$B$11,Paramètres!$A$1:$I$89,3,0)*0.475*44/12</f>
        <v>4.198265426067012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4.690229292507917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22.884615384615397</v>
      </c>
      <c r="N37" s="13">
        <f>IF('Données projet'!$A$36&gt;35,N36+M37-V36,IF(A37&lt;'Données projet'!$A$36,$K$205^A37,IF(A37='Données projet'!$A$36,'Données projet'!$B$36,N36+M37-V36)))</f>
        <v>357.73846153846154</v>
      </c>
      <c r="O37" s="13">
        <f>N37*VLOOKUP('Données projet'!$B$9,Paramètres!$A$1:$I$89,3,0)*VLOOKUP('Données projet'!$B$9,Paramètres!$A$1:$I$89,5,0)</f>
        <v>199.97580000000002</v>
      </c>
      <c r="P37" s="13">
        <f t="shared" si="33"/>
        <v>49.738849260389202</v>
      </c>
      <c r="Q37" s="20">
        <f t="shared" si="53"/>
        <v>434.91968079517784</v>
      </c>
      <c r="R37" s="59">
        <f t="shared" si="0"/>
        <v>728.25301412851115</v>
      </c>
      <c r="S37" s="59">
        <f ca="1">AVERAGE(OFFSET($R$3,0,0,'Données projet'!$E$9+1,1))-AVERAGE(OFFSET($H$3,0,0,'Données projet'!$E$9+1,1))</f>
        <v>278.5296012747549</v>
      </c>
      <c r="T37" s="59">
        <f t="shared" si="34"/>
        <v>370.55343097937077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27.31191621908755</v>
      </c>
      <c r="AA37" s="21">
        <f>EXP(-LN(2)/25)*AA36+(1-EXP(-LN(2)/25))/(LN(2)/25)*Calculateur!V37*Calculateur!X37*VLOOKUP('Données projet'!$B$9,Paramètres!$A$1:$I$89,3,0)*0.475*44/12</f>
        <v>16.332747383941374</v>
      </c>
      <c r="AB37" s="21">
        <f>EXP(-LN(2)/2)*AB36+(1-EXP(-LN(2)/2))/(LN(2)/2)*V37*Y37*VLOOKUP('Données projet'!$B$9,Paramètres!$A$1:$I$89,3,0)*0.475*44/12</f>
        <v>1.558336412851602</v>
      </c>
      <c r="AC37" s="22">
        <f t="shared" si="3"/>
        <v>45.203000015880527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12.833333333333334</v>
      </c>
      <c r="AI37" s="13">
        <f>IF('Données projet'!$A$62&gt;35,AI36+AH37-AQ36,IF(A37&lt;'Données projet'!$A$62,$AF$205^A37,IF(A37='Données projet'!$A$62,'Données projet'!$B$62,AI36+AH37-AQ36)))</f>
        <v>222.33333333333331</v>
      </c>
      <c r="AJ37" s="13">
        <f>AI37*VLOOKUP('Données projet'!$B$10,Paramètres!$A$1:$I$89,3,0)*VLOOKUP('Données projet'!$B$10,Paramètres!$A$1:$I$89,5,0)</f>
        <v>138.73599999999999</v>
      </c>
      <c r="AK37" s="13">
        <f t="shared" si="35"/>
        <v>36.007288175538044</v>
      </c>
      <c r="AL37" s="20">
        <f t="shared" si="4"/>
        <v>304.34456023906205</v>
      </c>
      <c r="AM37" s="59">
        <f t="shared" si="5"/>
        <v>597.67789357239531</v>
      </c>
      <c r="AN37" s="59">
        <f ca="1">AVERAGE(OFFSET($AM$3,0,0,'Données projet'!$E$10+1,1))-AVERAGE(OFFSET($H$3,0,0,'Données projet'!$E$10+1,1))</f>
        <v>179.44051550872138</v>
      </c>
      <c r="AO37" s="59">
        <f t="shared" si="36"/>
        <v>272.9500808380069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39.092339267104222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39.092339267104222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128.25072</v>
      </c>
      <c r="BF37" s="13">
        <f t="shared" si="37"/>
        <v>33.591833937449593</v>
      </c>
      <c r="BG37" s="20">
        <f t="shared" si="7"/>
        <v>281.875781441058</v>
      </c>
      <c r="BH37" s="59">
        <f t="shared" si="8"/>
        <v>575.20911477439131</v>
      </c>
      <c r="BI37" s="59">
        <f ca="1">AVERAGE(OFFSET($BH$3,0,0,'Données projet'!$E$11+1,1))-AVERAGE(OFFSET($H$3,0,0,'Données projet'!$E$11+1,1))</f>
        <v>225.2323446080772</v>
      </c>
      <c r="BJ37" s="59">
        <f t="shared" si="38"/>
        <v>222.29030402759292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0.48231675508832761</v>
      </c>
      <c r="BQ37" s="21">
        <f>EXP(-LN(2)/25)*BQ36+(1-EXP(-LN(2)/25))/(LN(2)/25)*Calculateur!BL37*Calculateur!BN37*VLOOKUP('Données projet'!$B$11,Paramètres!$A$1:$I$89,3,0)*0.475*44/12</f>
        <v>4.0834636372140265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4.5657803923023543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22.884615384615397</v>
      </c>
      <c r="N38" s="13">
        <f>IF('Données projet'!$A$36&gt;35,N37+M38-V37,IF(A38&lt;'Données projet'!$A$36,$K$205^A38,IF(A38='Données projet'!$A$36,'Données projet'!$B$36,N37+M38-V37)))</f>
        <v>380.62307692307695</v>
      </c>
      <c r="O38" s="13">
        <f>N38*VLOOKUP('Données projet'!$B$9,Paramètres!$A$1:$I$89,3,0)*VLOOKUP('Données projet'!$B$9,Paramètres!$A$1:$I$89,5,0)</f>
        <v>212.76830000000001</v>
      </c>
      <c r="P38" s="13">
        <f t="shared" si="33"/>
        <v>52.540067037520508</v>
      </c>
      <c r="Q38" s="20">
        <f t="shared" si="53"/>
        <v>462.07873925701483</v>
      </c>
      <c r="R38" s="59">
        <f t="shared" si="0"/>
        <v>755.41207259034809</v>
      </c>
      <c r="S38" s="59">
        <f ca="1">AVERAGE(OFFSET($R$3,0,0,'Données projet'!$E$9+1,1))-AVERAGE(OFFSET($H$3,0,0,'Données projet'!$E$9+1,1))</f>
        <v>278.5296012747549</v>
      </c>
      <c r="T38" s="59">
        <f t="shared" si="34"/>
        <v>370.55343097937077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26.776346200655233</v>
      </c>
      <c r="AA38" s="21">
        <f>EXP(-LN(2)/25)*AA37+(1-EXP(-LN(2)/25))/(LN(2)/25)*Calculateur!V38*Calculateur!X38*VLOOKUP('Données projet'!$B$9,Paramètres!$A$1:$I$89,3,0)*0.475*44/12</f>
        <v>15.886127547825641</v>
      </c>
      <c r="AB38" s="21">
        <f>EXP(-LN(2)/2)*AB37+(1-EXP(-LN(2)/2))/(LN(2)/2)*V38*Y38*VLOOKUP('Données projet'!$B$9,Paramètres!$A$1:$I$89,3,0)*0.475*44/12</f>
        <v>1.1019102448972871</v>
      </c>
      <c r="AC38" s="22">
        <f t="shared" si="3"/>
        <v>43.764383993378168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235.16666666666666</v>
      </c>
      <c r="AJ38" s="13">
        <f>AI38*VLOOKUP('Données projet'!$B$10,Paramètres!$A$1:$I$89,3,0)*VLOOKUP('Données projet'!$B$10,Paramètres!$A$1:$I$89,5,0)</f>
        <v>146.744</v>
      </c>
      <c r="AK38" s="13">
        <f t="shared" si="35"/>
        <v>37.837705514258651</v>
      </c>
      <c r="AL38" s="20">
        <f t="shared" si="4"/>
        <v>321.47980377066716</v>
      </c>
      <c r="AM38" s="59">
        <f t="shared" si="5"/>
        <v>614.81313710400048</v>
      </c>
      <c r="AN38" s="59">
        <f ca="1">AVERAGE(OFFSET($AM$3,0,0,'Données projet'!$E$10+1,1))-AVERAGE(OFFSET($H$3,0,0,'Données projet'!$E$10+1,1))</f>
        <v>179.44051550872138</v>
      </c>
      <c r="AO38" s="59">
        <f t="shared" si="36"/>
        <v>272.9500808380069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38.023357194068481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38.023357194068481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136.84320000000002</v>
      </c>
      <c r="BF38" s="13">
        <f t="shared" si="37"/>
        <v>35.572869837729648</v>
      </c>
      <c r="BG38" s="20">
        <f t="shared" si="7"/>
        <v>300.2913216340458</v>
      </c>
      <c r="BH38" s="59">
        <f t="shared" si="8"/>
        <v>593.62465496737912</v>
      </c>
      <c r="BI38" s="59">
        <f ca="1">AVERAGE(OFFSET($BH$3,0,0,'Données projet'!$E$11+1,1))-AVERAGE(OFFSET($H$3,0,0,'Données projet'!$E$11+1,1))</f>
        <v>225.2323446080772</v>
      </c>
      <c r="BJ38" s="59">
        <f t="shared" si="38"/>
        <v>222.29030402759292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9.5399999999999999E-2</v>
      </c>
      <c r="BN38" s="16">
        <f>IF(ISNA(VLOOKUP(A38,'Données projet'!$A$87:$I$107,6,0)),0%,VLOOKUP(A38,'Données projet'!$A$87:$I$107,6,0)*VLOOKUP('Données projet'!$B$11,Paramètres!$A$1:$I$89,7,0))</f>
        <v>0.22790000000000002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2.822211897049594</v>
      </c>
      <c r="BQ38" s="21">
        <f>EXP(-LN(2)/25)*BQ37+(1-EXP(-LN(2)/25))/(LN(2)/25)*Calculateur!BL38*Calculateur!BN38*VLOOKUP('Données projet'!$B$11,Paramètres!$A$1:$I$89,3,0)*0.475*44/12</f>
        <v>9.5620466419357015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12.384258538985296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403.50769230769237</v>
      </c>
      <c r="L39" s="12">
        <f>VLOOKUP(A39,'Données projet'!$A$35:$I$55,9,0)</f>
        <v>22.884615384615397</v>
      </c>
      <c r="M39" s="12">
        <f t="array" ref="M39">INDEX(L:L,MIN(IF(ISNUMBER(L39:L235),ROW(L39:L235),"")))</f>
        <v>22.884615384615397</v>
      </c>
      <c r="N39" s="13">
        <f>IF('Données projet'!$A$36&gt;35,N38+M39-V38,IF(A39&lt;'Données projet'!$A$36,$K$205^A39,IF(A39='Données projet'!$A$36,'Données projet'!$B$36,N38+M39-V38)))</f>
        <v>403.50769230769237</v>
      </c>
      <c r="O39" s="13">
        <f>N39*VLOOKUP('Données projet'!$B$9,Paramètres!$A$1:$I$89,3,0)*VLOOKUP('Données projet'!$B$9,Paramètres!$A$1:$I$89,5,0)</f>
        <v>225.56080000000003</v>
      </c>
      <c r="P39" s="13">
        <f t="shared" si="33"/>
        <v>55.321736658663667</v>
      </c>
      <c r="Q39" s="20">
        <f t="shared" si="53"/>
        <v>489.20375134717256</v>
      </c>
      <c r="R39" s="59">
        <f t="shared" si="0"/>
        <v>782.53708468050581</v>
      </c>
      <c r="S39" s="59">
        <f ca="1">AVERAGE(OFFSET($R$3,0,0,'Données projet'!$E$9+1,1))-AVERAGE(OFFSET($H$3,0,0,'Données projet'!$E$9+1,1))</f>
        <v>278.5296012747549</v>
      </c>
      <c r="T39" s="59">
        <f t="shared" si="34"/>
        <v>370.55343097937077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0.38500000000000001</v>
      </c>
      <c r="X39" s="16">
        <f>IF(ISNA(VLOOKUP(A39,'Données projet'!$A$35:$I$55,6,0)),0%,VLOOKUP(A39,'Données projet'!$A$35:$I$55,6,0)*VLOOKUP('Données projet'!$B$9,Paramètres!$A$1:$I$89,7,0))</f>
        <v>9.240000000000001E-2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46.036190634544177</v>
      </c>
      <c r="AA39" s="21">
        <f>EXP(-LN(2)/25)*AA38+(1-EXP(-LN(2)/25))/(LN(2)/25)*Calculateur!V39*Calculateur!X39*VLOOKUP('Données projet'!$B$9,Paramètres!$A$1:$I$89,3,0)*0.475*44/12</f>
        <v>20.181403317675393</v>
      </c>
      <c r="AB39" s="21">
        <f>EXP(-LN(2)/2)*AB38+(1-EXP(-LN(2)/2))/(LN(2)/2)*V39*Y39*VLOOKUP('Données projet'!$B$9,Paramètres!$A$1:$I$89,3,0)*0.475*44/12</f>
        <v>6.5688475705786837</v>
      </c>
      <c r="AC39" s="22">
        <f t="shared" si="3"/>
        <v>72.786441522798256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248</v>
      </c>
      <c r="AG39" s="12">
        <f>VLOOKUP(A39,'Données projet'!$A$61:$I$81,9,0)</f>
        <v>12.833333333333334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248</v>
      </c>
      <c r="AJ39" s="13">
        <f>AI39*VLOOKUP('Données projet'!$B$10,Paramètres!$A$1:$I$89,3,0)*VLOOKUP('Données projet'!$B$10,Paramètres!$A$1:$I$89,5,0)</f>
        <v>154.75199999999998</v>
      </c>
      <c r="AK39" s="13">
        <f t="shared" si="35"/>
        <v>39.656526650076415</v>
      </c>
      <c r="AL39" s="20">
        <f t="shared" si="4"/>
        <v>338.5948505822164</v>
      </c>
      <c r="AM39" s="59">
        <f t="shared" si="5"/>
        <v>631.92818391554965</v>
      </c>
      <c r="AN39" s="59">
        <f ca="1">AVERAGE(OFFSET($AM$3,0,0,'Données projet'!$E$10+1,1))-AVERAGE(OFFSET($H$3,0,0,'Données projet'!$E$10+1,1))</f>
        <v>179.44051550872138</v>
      </c>
      <c r="AO39" s="59">
        <f t="shared" si="36"/>
        <v>272.9500808380069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62</v>
      </c>
      <c r="AR39" s="16">
        <f>IF(ISNA(VLOOKUP(A39,'Données projet'!$A$61:$I$81,5,0)),0%,VLOOKUP(A39,'Données projet'!$A$61:$I$81,5,0)*VLOOKUP('Données projet'!$B$10,Paramètres!$A$1:$I$89,7,0))</f>
        <v>0.18</v>
      </c>
      <c r="AS39" s="16">
        <f>IF(ISNA(VLOOKUP(A39,'Données projet'!$A$61:$I$81,6,0)),0%,VLOOKUP(A39,'Données projet'!$A$61:$I$81,6,0)*VLOOKUP('Données projet'!$B$10,Paramètres!$A$1:$I$89,7,0))</f>
        <v>0.36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9.2379826173680861</v>
      </c>
      <c r="AV39" s="21">
        <f>EXP(-LN(2)/25)*AV38+(1-EXP(-LN(2)/25))/(LN(2)/25)*Calculateur!AQ39*Calculateur!AS39*VLOOKUP('Données projet'!$B$10,Paramètres!$A$1:$I$89,3,0)*0.475*44/12</f>
        <v>55.386824811747573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64.624807429115663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122.20416000000003</v>
      </c>
      <c r="BF39" s="13">
        <f t="shared" si="37"/>
        <v>32.188537573102472</v>
      </c>
      <c r="BG39" s="20">
        <f t="shared" si="7"/>
        <v>268.90061493982017</v>
      </c>
      <c r="BH39" s="59">
        <f t="shared" si="8"/>
        <v>562.23394827315349</v>
      </c>
      <c r="BI39" s="59">
        <f ca="1">AVERAGE(OFFSET($BH$3,0,0,'Données projet'!$E$11+1,1))-AVERAGE(OFFSET($H$3,0,0,'Données projet'!$E$11+1,1))</f>
        <v>225.2323446080772</v>
      </c>
      <c r="BJ39" s="59">
        <f t="shared" si="38"/>
        <v>222.29030402759292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2.7668700431277364</v>
      </c>
      <c r="BQ39" s="21">
        <f>EXP(-LN(2)/25)*BQ38+(1-EXP(-LN(2)/25))/(LN(2)/25)*Calculateur!BL39*Calculateur!BN39*VLOOKUP('Données projet'!$B$11,Paramètres!$A$1:$I$89,3,0)*0.475*44/12</f>
        <v>9.3005719736657912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12.067442016793528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22.419230769230751</v>
      </c>
      <c r="N40" s="13">
        <f>IF('Données projet'!$A$36&gt;35,N39+M40-V39,IF(A40&lt;'Données projet'!$A$36,$K$205^A40,IF(A40='Données projet'!$A$36,'Données projet'!$B$36,N39+M40-V39)))</f>
        <v>356.62692307692311</v>
      </c>
      <c r="O40" s="13">
        <f>N40*VLOOKUP('Données projet'!$B$9,Paramètres!$A$1:$I$89,3,0)*VLOOKUP('Données projet'!$B$9,Paramètres!$A$1:$I$89,5,0)</f>
        <v>199.35445000000001</v>
      </c>
      <c r="P40" s="13">
        <f t="shared" si="33"/>
        <v>49.60226869073324</v>
      </c>
      <c r="Q40" s="20">
        <f t="shared" si="53"/>
        <v>433.59961838636042</v>
      </c>
      <c r="R40" s="59">
        <f t="shared" si="0"/>
        <v>726.93295171969373</v>
      </c>
      <c r="S40" s="59">
        <f ca="1">AVERAGE(OFFSET($R$3,0,0,'Données projet'!$E$9+1,1))-AVERAGE(OFFSET($H$3,0,0,'Données projet'!$E$9+1,1))</f>
        <v>278.5296012747549</v>
      </c>
      <c r="T40" s="59">
        <f t="shared" si="34"/>
        <v>370.55343097937077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45.133449015504453</v>
      </c>
      <c r="AA40" s="21">
        <f>EXP(-LN(2)/25)*AA39+(1-EXP(-LN(2)/25))/(LN(2)/25)*Calculateur!V40*Calculateur!X40*VLOOKUP('Données projet'!$B$9,Paramètres!$A$1:$I$89,3,0)*0.475*44/12</f>
        <v>19.629541782659683</v>
      </c>
      <c r="AB40" s="21">
        <f>EXP(-LN(2)/2)*AB39+(1-EXP(-LN(2)/2))/(LN(2)/2)*V40*Y40*VLOOKUP('Données projet'!$B$9,Paramètres!$A$1:$I$89,3,0)*0.475*44/12</f>
        <v>4.6448766617369657</v>
      </c>
      <c r="AC40" s="22">
        <f t="shared" si="3"/>
        <v>69.407867459901098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197.5</v>
      </c>
      <c r="AJ40" s="13">
        <f>AI40*VLOOKUP('Données projet'!$B$10,Paramètres!$A$1:$I$89,3,0)*VLOOKUP('Données projet'!$B$10,Paramètres!$A$1:$I$89,5,0)</f>
        <v>123.24</v>
      </c>
      <c r="AK40" s="13">
        <f t="shared" si="35"/>
        <v>32.429500380369056</v>
      </c>
      <c r="AL40" s="20">
        <f t="shared" si="4"/>
        <v>271.12437982914275</v>
      </c>
      <c r="AM40" s="59">
        <f t="shared" si="5"/>
        <v>564.45771316247601</v>
      </c>
      <c r="AN40" s="59">
        <f ca="1">AVERAGE(OFFSET($AM$3,0,0,'Données projet'!$E$10+1,1))-AVERAGE(OFFSET($H$3,0,0,'Données projet'!$E$10+1,1))</f>
        <v>179.44051550872138</v>
      </c>
      <c r="AO40" s="59">
        <f t="shared" si="36"/>
        <v>272.9500808380069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9.0568314128545229</v>
      </c>
      <c r="AV40" s="21">
        <f>EXP(-LN(2)/25)*AV39+(1-EXP(-LN(2)/25))/(LN(2)/25)*Calculateur!AQ40*Calculateur!AS40*VLOOKUP('Données projet'!$B$10,Paramètres!$A$1:$I$89,3,0)*0.475*44/12</f>
        <v>53.872269174603808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62.929100587458329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129.84192000000002</v>
      </c>
      <c r="BF40" s="13">
        <f t="shared" si="37"/>
        <v>33.959829099416851</v>
      </c>
      <c r="BG40" s="20">
        <f t="shared" si="7"/>
        <v>285.288046348151</v>
      </c>
      <c r="BH40" s="59">
        <f t="shared" si="8"/>
        <v>578.62137968148431</v>
      </c>
      <c r="BI40" s="59">
        <f ca="1">AVERAGE(OFFSET($BH$3,0,0,'Données projet'!$E$11+1,1))-AVERAGE(OFFSET($H$3,0,0,'Données projet'!$E$11+1,1))</f>
        <v>225.2323446080772</v>
      </c>
      <c r="BJ40" s="59">
        <f t="shared" si="38"/>
        <v>222.29030402759292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2.7126134092060887</v>
      </c>
      <c r="BQ40" s="21">
        <f>EXP(-LN(2)/25)*BQ39+(1-EXP(-LN(2)/25))/(LN(2)/25)*Calculateur!BL40*Calculateur!BN40*VLOOKUP('Données projet'!$B$11,Paramètres!$A$1:$I$89,3,0)*0.475*44/12</f>
        <v>9.0462473439500766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11.758860753156165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22.419230769230751</v>
      </c>
      <c r="N41" s="13">
        <f>IF('Données projet'!$A$36&gt;35,N40+M41-V40,IF(A41&lt;'Données projet'!$A$36,$K$205^A41,IF(A41='Données projet'!$A$36,'Données projet'!$B$36,N40+M41-V40)))</f>
        <v>379.04615384615386</v>
      </c>
      <c r="O41" s="13">
        <f>N41*VLOOKUP('Données projet'!$B$9,Paramètres!$A$1:$I$89,3,0)*VLOOKUP('Données projet'!$B$9,Paramètres!$A$1:$I$89,5,0)</f>
        <v>211.88679999999999</v>
      </c>
      <c r="P41" s="13">
        <f t="shared" si="33"/>
        <v>52.347684082939317</v>
      </c>
      <c r="Q41" s="20">
        <f t="shared" si="53"/>
        <v>460.20839311111928</v>
      </c>
      <c r="R41" s="59">
        <f t="shared" si="0"/>
        <v>753.54172644445259</v>
      </c>
      <c r="S41" s="59">
        <f ca="1">AVERAGE(OFFSET($R$3,0,0,'Données projet'!$E$9+1,1))-AVERAGE(OFFSET($H$3,0,0,'Données projet'!$E$9+1,1))</f>
        <v>278.5296012747549</v>
      </c>
      <c r="T41" s="59">
        <f t="shared" si="34"/>
        <v>370.55343097937077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44.248409608996077</v>
      </c>
      <c r="AA41" s="21">
        <f>EXP(-LN(2)/25)*AA40+(1-EXP(-LN(2)/25))/(LN(2)/25)*Calculateur!V41*Calculateur!X41*VLOOKUP('Données projet'!$B$9,Paramètres!$A$1:$I$89,3,0)*0.475*44/12</f>
        <v>19.092770930340116</v>
      </c>
      <c r="AB41" s="21">
        <f>EXP(-LN(2)/2)*AB40+(1-EXP(-LN(2)/2))/(LN(2)/2)*V41*Y41*VLOOKUP('Données projet'!$B$9,Paramètres!$A$1:$I$89,3,0)*0.475*44/12</f>
        <v>3.2844237852893423</v>
      </c>
      <c r="AC41" s="22">
        <f t="shared" si="3"/>
        <v>66.625604324625542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209</v>
      </c>
      <c r="AJ41" s="13">
        <f>AI41*VLOOKUP('Données projet'!$B$10,Paramètres!$A$1:$I$89,3,0)*VLOOKUP('Données projet'!$B$10,Paramètres!$A$1:$I$89,5,0)</f>
        <v>130.416</v>
      </c>
      <c r="AK41" s="13">
        <f t="shared" si="35"/>
        <v>34.092466837179941</v>
      </c>
      <c r="AL41" s="20">
        <f t="shared" si="4"/>
        <v>286.51891307475506</v>
      </c>
      <c r="AM41" s="59">
        <f t="shared" si="5"/>
        <v>579.85224640808838</v>
      </c>
      <c r="AN41" s="59">
        <f ca="1">AVERAGE(OFFSET($AM$3,0,0,'Données projet'!$E$10+1,1))-AVERAGE(OFFSET($H$3,0,0,'Données projet'!$E$10+1,1))</f>
        <v>179.44051550872138</v>
      </c>
      <c r="AO41" s="59">
        <f t="shared" si="36"/>
        <v>272.9500808380069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8.8792324729701466</v>
      </c>
      <c r="AV41" s="21">
        <f>EXP(-LN(2)/25)*AV40+(1-EXP(-LN(2)/25))/(LN(2)/25)*Calculateur!AQ41*Calculateur!AS41*VLOOKUP('Données projet'!$B$10,Paramètres!$A$1:$I$89,3,0)*0.475*44/12</f>
        <v>52.399129141004757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61.278361613974901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137.47968000000003</v>
      </c>
      <c r="BF41" s="13">
        <f t="shared" si="37"/>
        <v>35.719026553355249</v>
      </c>
      <c r="BG41" s="20">
        <f t="shared" si="7"/>
        <v>301.65441391376049</v>
      </c>
      <c r="BH41" s="59">
        <f t="shared" si="8"/>
        <v>594.98774724709381</v>
      </c>
      <c r="BI41" s="59">
        <f ca="1">AVERAGE(OFFSET($BH$3,0,0,'Données projet'!$E$11+1,1))-AVERAGE(OFFSET($H$3,0,0,'Données projet'!$E$11+1,1))</f>
        <v>225.2323446080772</v>
      </c>
      <c r="BJ41" s="59">
        <f t="shared" si="38"/>
        <v>222.29030402759292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2.6594207147823656</v>
      </c>
      <c r="BQ41" s="21">
        <f>EXP(-LN(2)/25)*BQ40+(1-EXP(-LN(2)/25))/(LN(2)/25)*Calculateur!BL41*Calculateur!BN41*VLOOKUP('Données projet'!$B$11,Paramètres!$A$1:$I$89,3,0)*0.475*44/12</f>
        <v>8.7988772346082893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11.458297949390655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22.419230769230751</v>
      </c>
      <c r="N42" s="13">
        <f>IF('Données projet'!$A$36&gt;35,N41+M42-V41,IF(A42&lt;'Données projet'!$A$36,$K$205^A42,IF(A42='Données projet'!$A$36,'Données projet'!$B$36,N41+M42-V41)))</f>
        <v>401.46538461538461</v>
      </c>
      <c r="O42" s="13">
        <f>N42*VLOOKUP('Données projet'!$B$9,Paramètres!$A$1:$I$89,3,0)*VLOOKUP('Données projet'!$B$9,Paramètres!$A$1:$I$89,5,0)</f>
        <v>224.41915</v>
      </c>
      <c r="P42" s="13">
        <f t="shared" si="33"/>
        <v>55.074251579267461</v>
      </c>
      <c r="Q42" s="20">
        <f t="shared" si="53"/>
        <v>486.78434108389075</v>
      </c>
      <c r="R42" s="59">
        <f t="shared" si="0"/>
        <v>780.11767441722407</v>
      </c>
      <c r="S42" s="59">
        <f ca="1">AVERAGE(OFFSET($R$3,0,0,'Données projet'!$E$9+1,1))-AVERAGE(OFFSET($H$3,0,0,'Données projet'!$E$9+1,1))</f>
        <v>278.5296012747549</v>
      </c>
      <c r="T42" s="59">
        <f t="shared" si="34"/>
        <v>370.55343097937077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43.380725285428596</v>
      </c>
      <c r="AA42" s="21">
        <f>EXP(-LN(2)/25)*AA41+(1-EXP(-LN(2)/25))/(LN(2)/25)*Calculateur!V42*Calculateur!X42*VLOOKUP('Données projet'!$B$9,Paramètres!$A$1:$I$89,3,0)*0.475*44/12</f>
        <v>18.570678105204781</v>
      </c>
      <c r="AB42" s="21">
        <f>EXP(-LN(2)/2)*AB41+(1-EXP(-LN(2)/2))/(LN(2)/2)*V42*Y42*VLOOKUP('Données projet'!$B$9,Paramètres!$A$1:$I$89,3,0)*0.475*44/12</f>
        <v>2.3224383308684833</v>
      </c>
      <c r="AC42" s="22">
        <f t="shared" si="3"/>
        <v>64.273841721501853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220.5</v>
      </c>
      <c r="AJ42" s="13">
        <f>AI42*VLOOKUP('Données projet'!$B$10,Paramètres!$A$1:$I$89,3,0)*VLOOKUP('Données projet'!$B$10,Paramètres!$A$1:$I$89,5,0)</f>
        <v>137.59199999999998</v>
      </c>
      <c r="AK42" s="13">
        <f t="shared" si="35"/>
        <v>35.744810729505772</v>
      </c>
      <c r="AL42" s="20">
        <f t="shared" si="4"/>
        <v>301.89494535388923</v>
      </c>
      <c r="AM42" s="59">
        <f t="shared" si="5"/>
        <v>595.22827868722254</v>
      </c>
      <c r="AN42" s="59">
        <f ca="1">AVERAGE(OFFSET($AM$3,0,0,'Données projet'!$E$10+1,1))-AVERAGE(OFFSET($H$3,0,0,'Données projet'!$E$10+1,1))</f>
        <v>179.44051550872138</v>
      </c>
      <c r="AO42" s="59">
        <f t="shared" si="36"/>
        <v>272.9500808380069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8.7051161399722456</v>
      </c>
      <c r="AV42" s="21">
        <f>EXP(-LN(2)/25)*AV41+(1-EXP(-LN(2)/25))/(LN(2)/25)*Calculateur!AQ42*Calculateur!AS42*VLOOKUP('Données projet'!$B$10,Paramètres!$A$1:$I$89,3,0)*0.475*44/12</f>
        <v>50.966272199093538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59.671388339065786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145.11744000000002</v>
      </c>
      <c r="BF42" s="13">
        <f t="shared" si="37"/>
        <v>37.466878406916173</v>
      </c>
      <c r="BG42" s="20">
        <f t="shared" si="7"/>
        <v>318.00102122537902</v>
      </c>
      <c r="BH42" s="59">
        <f t="shared" si="8"/>
        <v>611.33435455871233</v>
      </c>
      <c r="BI42" s="59">
        <f ca="1">AVERAGE(OFFSET($BH$3,0,0,'Données projet'!$E$11+1,1))-AVERAGE(OFFSET($H$3,0,0,'Données projet'!$E$11+1,1))</f>
        <v>225.2323446080772</v>
      </c>
      <c r="BJ42" s="59">
        <f t="shared" si="38"/>
        <v>222.29030402759292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2.6072710966519517</v>
      </c>
      <c r="BQ42" s="21">
        <f>EXP(-LN(2)/25)*BQ41+(1-EXP(-LN(2)/25))/(LN(2)/25)*Calculateur!BL42*Calculateur!BN42*VLOOKUP('Données projet'!$B$11,Paramètres!$A$1:$I$89,3,0)*0.475*44/12</f>
        <v>8.5582714739150827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11.165542570567034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22.419230769230751</v>
      </c>
      <c r="N43" s="13">
        <f>IF('Données projet'!$A$36&gt;35,N42+M43-V42,IF(A43&lt;'Données projet'!$A$36,$K$205^A43,IF(A43='Données projet'!$A$36,'Données projet'!$B$36,N42+M43-V42)))</f>
        <v>423.88461538461536</v>
      </c>
      <c r="O43" s="13">
        <f>N43*VLOOKUP('Données projet'!$B$9,Paramètres!$A$1:$I$89,3,0)*VLOOKUP('Données projet'!$B$9,Paramètres!$A$1:$I$89,5,0)</f>
        <v>236.95150000000001</v>
      </c>
      <c r="P43" s="13">
        <f t="shared" si="33"/>
        <v>57.783143668102753</v>
      </c>
      <c r="Q43" s="20">
        <f t="shared" si="53"/>
        <v>513.32950438861235</v>
      </c>
      <c r="R43" s="59">
        <f t="shared" si="0"/>
        <v>806.66283772194561</v>
      </c>
      <c r="S43" s="59">
        <f ca="1">AVERAGE(OFFSET($R$3,0,0,'Données projet'!$E$9+1,1))-AVERAGE(OFFSET($H$3,0,0,'Données projet'!$E$9+1,1))</f>
        <v>278.5296012747549</v>
      </c>
      <c r="T43" s="59">
        <f t="shared" si="34"/>
        <v>370.55343097937077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42.530055722211095</v>
      </c>
      <c r="AA43" s="21">
        <f>EXP(-LN(2)/25)*AA42+(1-EXP(-LN(2)/25))/(LN(2)/25)*Calculateur!V43*Calculateur!X43*VLOOKUP('Données projet'!$B$9,Paramètres!$A$1:$I$89,3,0)*0.475*44/12</f>
        <v>18.062861935828437</v>
      </c>
      <c r="AB43" s="21">
        <f>EXP(-LN(2)/2)*AB42+(1-EXP(-LN(2)/2))/(LN(2)/2)*V43*Y43*VLOOKUP('Données projet'!$B$9,Paramètres!$A$1:$I$89,3,0)*0.475*44/12</f>
        <v>1.6422118926446714</v>
      </c>
      <c r="AC43" s="22">
        <f t="shared" si="3"/>
        <v>62.235129550684206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232</v>
      </c>
      <c r="AJ43" s="13">
        <f>AI43*VLOOKUP('Données projet'!$B$10,Paramètres!$A$1:$I$89,3,0)*VLOOKUP('Données projet'!$B$10,Paramètres!$A$1:$I$89,5,0)</f>
        <v>144.768</v>
      </c>
      <c r="AK43" s="13">
        <f t="shared" si="35"/>
        <v>37.387149255707826</v>
      </c>
      <c r="AL43" s="20">
        <f t="shared" si="4"/>
        <v>317.25355162035777</v>
      </c>
      <c r="AM43" s="59">
        <f t="shared" si="5"/>
        <v>610.58688495369108</v>
      </c>
      <c r="AN43" s="59">
        <f ca="1">AVERAGE(OFFSET($AM$3,0,0,'Données projet'!$E$10+1,1))-AVERAGE(OFFSET($H$3,0,0,'Données projet'!$E$10+1,1))</f>
        <v>179.44051550872138</v>
      </c>
      <c r="AO43" s="59">
        <f t="shared" si="36"/>
        <v>272.9500808380069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8.5344141220639553</v>
      </c>
      <c r="AV43" s="21">
        <f>EXP(-LN(2)/25)*AV42+(1-EXP(-LN(2)/25))/(LN(2)/25)*Calculateur!AQ43*Calculateur!AS43*VLOOKUP('Données projet'!$B$10,Paramètres!$A$1:$I$89,3,0)*0.475*44/12</f>
        <v>49.572596805609557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58.107010927673514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152.7552</v>
      </c>
      <c r="BF43" s="13">
        <f t="shared" si="37"/>
        <v>39.204049895729561</v>
      </c>
      <c r="BG43" s="20">
        <f t="shared" si="7"/>
        <v>334.32902690172892</v>
      </c>
      <c r="BH43" s="59">
        <f t="shared" si="8"/>
        <v>627.66236023506224</v>
      </c>
      <c r="BI43" s="59">
        <f ca="1">AVERAGE(OFFSET($BH$3,0,0,'Données projet'!$E$11+1,1))-AVERAGE(OFFSET($H$3,0,0,'Données projet'!$E$11+1,1))</f>
        <v>225.2323446080772</v>
      </c>
      <c r="BJ43" s="59">
        <f t="shared" si="38"/>
        <v>222.29030402759292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0.20670000000000002</v>
      </c>
      <c r="BN43" s="16">
        <f>IF(ISNA(VLOOKUP(A43,'Données projet'!$A$87:$I$107,6,0)),0%,VLOOKUP(A43,'Données projet'!$A$87:$I$107,6,0)*VLOOKUP('Données projet'!$B$11,Paramètres!$A$1:$I$89,7,0))</f>
        <v>0.20670000000000002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7.6464091059710979</v>
      </c>
      <c r="BQ43" s="21">
        <f>EXP(-LN(2)/25)*BQ42+(1-EXP(-LN(2)/25))/(LN(2)/25)*Calculateur!BL43*Calculateur!BN43*VLOOKUP('Données projet'!$B$11,Paramètres!$A$1:$I$89,3,0)*0.475*44/12</f>
        <v>13.39446778277841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21.040876888749509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22.419230769230751</v>
      </c>
      <c r="N44" s="13">
        <f>IF('Données projet'!$A$36&gt;35,N43+M44-V43,IF(A44&lt;'Données projet'!$A$36,$K$205^A44,IF(A44='Données projet'!$A$36,'Données projet'!$B$36,N43+M44-V43)))</f>
        <v>446.30384615384611</v>
      </c>
      <c r="O44" s="13">
        <f>N44*VLOOKUP('Données projet'!$B$9,Paramètres!$A$1:$I$89,3,0)*VLOOKUP('Données projet'!$B$9,Paramètres!$A$1:$I$89,5,0)</f>
        <v>249.48384999999996</v>
      </c>
      <c r="P44" s="13">
        <f t="shared" si="33"/>
        <v>60.475401807280001</v>
      </c>
      <c r="Q44" s="20">
        <f t="shared" si="53"/>
        <v>539.8456968976792</v>
      </c>
      <c r="R44" s="59">
        <f t="shared" si="0"/>
        <v>833.17903023101258</v>
      </c>
      <c r="S44" s="59">
        <f ca="1">AVERAGE(OFFSET($R$3,0,0,'Données projet'!$E$9+1,1))-AVERAGE(OFFSET($H$3,0,0,'Données projet'!$E$9+1,1))</f>
        <v>278.5296012747549</v>
      </c>
      <c r="T44" s="59">
        <f t="shared" si="34"/>
        <v>370.55343097937077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41.696067270271087</v>
      </c>
      <c r="AA44" s="21">
        <f>EXP(-LN(2)/25)*AA43+(1-EXP(-LN(2)/25))/(LN(2)/25)*Calculateur!V44*Calculateur!X44*VLOOKUP('Données projet'!$B$9,Paramètres!$A$1:$I$89,3,0)*0.475*44/12</f>
        <v>17.568932026308584</v>
      </c>
      <c r="AB44" s="21">
        <f>EXP(-LN(2)/2)*AB43+(1-EXP(-LN(2)/2))/(LN(2)/2)*V44*Y44*VLOOKUP('Données projet'!$B$9,Paramètres!$A$1:$I$89,3,0)*0.475*44/12</f>
        <v>1.1612191654342419</v>
      </c>
      <c r="AC44" s="22">
        <f t="shared" si="3"/>
        <v>60.426218462013914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243.5</v>
      </c>
      <c r="AJ44" s="13">
        <f>AI44*VLOOKUP('Données projet'!$B$10,Paramètres!$A$1:$I$89,3,0)*VLOOKUP('Données projet'!$B$10,Paramètres!$A$1:$I$89,5,0)</f>
        <v>151.94399999999999</v>
      </c>
      <c r="AK44" s="13">
        <f t="shared" si="35"/>
        <v>39.02003496976517</v>
      </c>
      <c r="AL44" s="20">
        <f t="shared" si="4"/>
        <v>332.59569423900763</v>
      </c>
      <c r="AM44" s="59">
        <f t="shared" si="5"/>
        <v>625.92902757234094</v>
      </c>
      <c r="AN44" s="59">
        <f ca="1">AVERAGE(OFFSET($AM$3,0,0,'Données projet'!$E$10+1,1))-AVERAGE(OFFSET($H$3,0,0,'Données projet'!$E$10+1,1))</f>
        <v>179.44051550872138</v>
      </c>
      <c r="AO44" s="59">
        <f t="shared" si="36"/>
        <v>272.9500808380069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8.3670594666088967</v>
      </c>
      <c r="AV44" s="21">
        <f>EXP(-LN(2)/25)*AV43+(1-EXP(-LN(2)/25))/(LN(2)/25)*Calculateur!AQ44*Calculateur!AS44*VLOOKUP('Données projet'!$B$10,Paramètres!$A$1:$I$89,3,0)*0.475*44/12</f>
        <v>48.217031539050595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56.584091005659488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137.00232</v>
      </c>
      <c r="BF44" s="13">
        <f t="shared" si="37"/>
        <v>35.609416420931346</v>
      </c>
      <c r="BG44" s="20">
        <f t="shared" si="7"/>
        <v>300.63210759978875</v>
      </c>
      <c r="BH44" s="59">
        <f t="shared" si="8"/>
        <v>593.96544093312207</v>
      </c>
      <c r="BI44" s="59">
        <f ca="1">AVERAGE(OFFSET($BH$3,0,0,'Données projet'!$E$11+1,1))-AVERAGE(OFFSET($H$3,0,0,'Données projet'!$E$11+1,1))</f>
        <v>225.2323446080772</v>
      </c>
      <c r="BJ44" s="59">
        <f t="shared" si="38"/>
        <v>222.29030402759292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7.4964676872520428</v>
      </c>
      <c r="BQ44" s="21">
        <f>EXP(-LN(2)/25)*BQ43+(1-EXP(-LN(2)/25))/(LN(2)/25)*Calculateur!BL44*Calculateur!BN44*VLOOKUP('Données projet'!$B$11,Paramètres!$A$1:$I$89,3,0)*0.475*44/12</f>
        <v>13.028195356873887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20.52466304412593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468.72307692307686</v>
      </c>
      <c r="L45" s="12">
        <f>VLOOKUP(A45,'Données projet'!$A$35:$I$55,9,0)</f>
        <v>22.419230769230751</v>
      </c>
      <c r="M45" s="12">
        <f t="array" ref="M45">INDEX(L:L,MIN(IF(ISNUMBER(L45:L241),ROW(L45:L241),"")))</f>
        <v>22.419230769230751</v>
      </c>
      <c r="N45" s="13">
        <f>IF('Données projet'!$A$36&gt;35,N44+M45-V44,IF(A45&lt;'Données projet'!$A$36,$K$205^A45,IF(A45='Données projet'!$A$36,'Données projet'!$B$36,N44+M45-V44)))</f>
        <v>468.72307692307686</v>
      </c>
      <c r="O45" s="13">
        <f>N45*VLOOKUP('Données projet'!$B$9,Paramètres!$A$1:$I$89,3,0)*VLOOKUP('Données projet'!$B$9,Paramètres!$A$1:$I$89,5,0)</f>
        <v>262.01619999999997</v>
      </c>
      <c r="P45" s="13">
        <f t="shared" si="33"/>
        <v>63.151956912854622</v>
      </c>
      <c r="Q45" s="20">
        <f t="shared" si="53"/>
        <v>566.33453995655509</v>
      </c>
      <c r="R45" s="59">
        <f t="shared" si="0"/>
        <v>859.66787328988835</v>
      </c>
      <c r="S45" s="59">
        <f ca="1">AVERAGE(OFFSET($R$3,0,0,'Données projet'!$E$9+1,1))-AVERAGE(OFFSET($H$3,0,0,'Données projet'!$E$9+1,1))</f>
        <v>278.5296012747549</v>
      </c>
      <c r="T45" s="59">
        <f t="shared" si="34"/>
        <v>370.55343097937077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61.831684880697594</v>
      </c>
      <c r="AA45" s="21">
        <f>EXP(-LN(2)/25)*AA44+(1-EXP(-LN(2)/25))/(LN(2)/25)*Calculateur!V45*Calculateur!X45*VLOOKUP('Données projet'!$B$9,Paramètres!$A$1:$I$89,3,0)*0.475*44/12</f>
        <v>22.097488925021114</v>
      </c>
      <c r="AB45" s="21">
        <f>EXP(-LN(2)/2)*AB44+(1-EXP(-LN(2)/2))/(LN(2)/2)*V45*Y45*VLOOKUP('Données projet'!$B$9,Paramètres!$A$1:$I$89,3,0)*0.475*44/12</f>
        <v>6.9526777981796624</v>
      </c>
      <c r="AC45" s="22">
        <f t="shared" si="3"/>
        <v>90.881851603898369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255</v>
      </c>
      <c r="AG45" s="12">
        <f>VLOOKUP(A45,'Données projet'!$A$61:$I$81,9,0)</f>
        <v>11.5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255</v>
      </c>
      <c r="AJ45" s="13">
        <f>AI45*VLOOKUP('Données projet'!$B$10,Paramètres!$A$1:$I$89,3,0)*VLOOKUP('Données projet'!$B$10,Paramètres!$A$1:$I$89,5,0)</f>
        <v>159.12</v>
      </c>
      <c r="AK45" s="13">
        <f t="shared" si="35"/>
        <v>40.643965284387697</v>
      </c>
      <c r="AL45" s="20">
        <f t="shared" si="4"/>
        <v>347.92223953697521</v>
      </c>
      <c r="AM45" s="59">
        <f t="shared" si="5"/>
        <v>641.25557287030847</v>
      </c>
      <c r="AN45" s="59">
        <f ca="1">AVERAGE(OFFSET($AM$3,0,0,'Données projet'!$E$10+1,1))-AVERAGE(OFFSET($H$3,0,0,'Données projet'!$E$10+1,1))</f>
        <v>179.44051550872138</v>
      </c>
      <c r="AO45" s="59">
        <f t="shared" si="36"/>
        <v>272.9500808380069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67</v>
      </c>
      <c r="AR45" s="16">
        <f>IF(ISNA(VLOOKUP(A45,'Données projet'!$A$61:$I$81,5,0)),0%,VLOOKUP(A45,'Données projet'!$A$61:$I$81,5,0)*VLOOKUP('Données projet'!$B$10,Paramètres!$A$1:$I$89,7,0))</f>
        <v>0.18</v>
      </c>
      <c r="AS45" s="16">
        <f>IF(ISNA(VLOOKUP(A45,'Données projet'!$A$61:$I$81,6,0)),0%,VLOOKUP(A45,'Données projet'!$A$61:$I$81,6,0)*VLOOKUP('Données projet'!$B$10,Paramètres!$A$1:$I$89,7,0))</f>
        <v>0.36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18.185967749413983</v>
      </c>
      <c r="AV45" s="21">
        <f>EXP(-LN(2)/25)*AV44+(1-EXP(-LN(2)/25))/(LN(2)/25)*Calculateur!AQ45*Calculateur!AS45*VLOOKUP('Données projet'!$B$10,Paramètres!$A$1:$I$89,3,0)*0.475*44/12</f>
        <v>66.785883105358337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84.971850854772327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143.52624</v>
      </c>
      <c r="BF45" s="13">
        <f t="shared" si="37"/>
        <v>37.103644337236275</v>
      </c>
      <c r="BG45" s="20">
        <f t="shared" si="7"/>
        <v>314.59704855401981</v>
      </c>
      <c r="BH45" s="59">
        <f t="shared" si="8"/>
        <v>607.93038188735318</v>
      </c>
      <c r="BI45" s="59">
        <f ca="1">AVERAGE(OFFSET($BH$3,0,0,'Données projet'!$E$11+1,1))-AVERAGE(OFFSET($H$3,0,0,'Données projet'!$E$11+1,1))</f>
        <v>225.2323446080772</v>
      </c>
      <c r="BJ45" s="59">
        <f t="shared" si="38"/>
        <v>222.29030402759292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7.3494665282988327</v>
      </c>
      <c r="BQ45" s="21">
        <f>EXP(-LN(2)/25)*BQ44+(1-EXP(-LN(2)/25))/(LN(2)/25)*Calculateur!BL45*Calculateur!BN45*VLOOKUP('Données projet'!$B$11,Paramètres!$A$1:$I$89,3,0)*0.475*44/12</f>
        <v>12.671938669717154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20.021405198015987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21.625641025641034</v>
      </c>
      <c r="N46" s="13">
        <f>IF('Données projet'!$A$36&gt;35,N45+M46-V45,IF(A46&lt;'Données projet'!$A$36,$K$205^A46,IF(A46='Données projet'!$A$36,'Données projet'!$B$36,N45+M46-V45)))</f>
        <v>416.95641025641021</v>
      </c>
      <c r="O46" s="13">
        <f>N46*VLOOKUP('Données projet'!$B$9,Paramètres!$A$1:$I$89,3,0)*VLOOKUP('Données projet'!$B$9,Paramètres!$A$1:$I$89,5,0)</f>
        <v>233.0786333333333</v>
      </c>
      <c r="P46" s="13">
        <f t="shared" si="33"/>
        <v>56.947838023653489</v>
      </c>
      <c r="Q46" s="20">
        <f t="shared" si="53"/>
        <v>505.1294376134187</v>
      </c>
      <c r="R46" s="59">
        <f t="shared" si="0"/>
        <v>798.46277094675202</v>
      </c>
      <c r="S46" s="59">
        <f ca="1">AVERAGE(OFFSET($R$3,0,0,'Données projet'!$E$9+1,1))-AVERAGE(OFFSET($H$3,0,0,'Données projet'!$E$9+1,1))</f>
        <v>278.5296012747549</v>
      </c>
      <c r="T46" s="59">
        <f t="shared" si="34"/>
        <v>370.55343097937077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60.619203253790985</v>
      </c>
      <c r="AA46" s="21">
        <f>EXP(-LN(2)/25)*AA45+(1-EXP(-LN(2)/25))/(LN(2)/25)*Calculateur!V46*Calculateur!X46*VLOOKUP('Données projet'!$B$9,Paramètres!$A$1:$I$89,3,0)*0.475*44/12</f>
        <v>21.493231928309974</v>
      </c>
      <c r="AB46" s="21">
        <f>EXP(-LN(2)/2)*AB45+(1-EXP(-LN(2)/2))/(LN(2)/2)*V46*Y46*VLOOKUP('Données projet'!$B$9,Paramètres!$A$1:$I$89,3,0)*0.475*44/12</f>
        <v>4.9162856184979935</v>
      </c>
      <c r="AC46" s="22">
        <f t="shared" si="3"/>
        <v>87.028720800598961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10.666666666666666</v>
      </c>
      <c r="AI46" s="13">
        <f>IF('Données projet'!$A$62&gt;35,AI45+AH46-AQ45,IF(A46&lt;'Données projet'!$A$62,$AF$205^A46,IF(A46='Données projet'!$A$62,'Données projet'!$B$62,AI45+AH46-AQ45)))</f>
        <v>198.66666666666669</v>
      </c>
      <c r="AJ46" s="13">
        <f>AI46*VLOOKUP('Données projet'!$B$10,Paramètres!$A$1:$I$89,3,0)*VLOOKUP('Données projet'!$B$10,Paramètres!$A$1:$I$89,5,0)</f>
        <v>123.968</v>
      </c>
      <c r="AK46" s="13">
        <f t="shared" si="35"/>
        <v>32.598710622532096</v>
      </c>
      <c r="AL46" s="20">
        <f t="shared" si="4"/>
        <v>272.68702100091008</v>
      </c>
      <c r="AM46" s="59">
        <f t="shared" si="5"/>
        <v>566.02035433424339</v>
      </c>
      <c r="AN46" s="59">
        <f ca="1">AVERAGE(OFFSET($AM$3,0,0,'Données projet'!$E$10+1,1))-AVERAGE(OFFSET($H$3,0,0,'Données projet'!$E$10+1,1))</f>
        <v>179.44051550872138</v>
      </c>
      <c r="AO46" s="59">
        <f t="shared" si="36"/>
        <v>272.9500808380069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17.829352014193024</v>
      </c>
      <c r="AV46" s="21">
        <f>EXP(-LN(2)/25)*AV45+(1-EXP(-LN(2)/25))/(LN(2)/25)*Calculateur!AQ46*Calculateur!AS46*VLOOKUP('Données projet'!$B$10,Paramètres!$A$1:$I$89,3,0)*0.475*44/12</f>
        <v>64.959619619725359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82.788971633918379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150.05015999999998</v>
      </c>
      <c r="BF46" s="13">
        <f t="shared" si="37"/>
        <v>38.589984439024569</v>
      </c>
      <c r="BG46" s="20">
        <f t="shared" si="7"/>
        <v>328.54825156463437</v>
      </c>
      <c r="BH46" s="59">
        <f t="shared" si="8"/>
        <v>621.88158489796774</v>
      </c>
      <c r="BI46" s="59">
        <f ca="1">AVERAGE(OFFSET($BH$3,0,0,'Données projet'!$E$11+1,1))-AVERAGE(OFFSET($H$3,0,0,'Données projet'!$E$11+1,1))</f>
        <v>225.2323446080772</v>
      </c>
      <c r="BJ46" s="59">
        <f t="shared" si="38"/>
        <v>222.29030402759292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7.2053479724108422</v>
      </c>
      <c r="BQ46" s="21">
        <f>EXP(-LN(2)/25)*BQ45+(1-EXP(-LN(2)/25))/(LN(2)/25)*Calculateur!BL46*Calculateur!BN46*VLOOKUP('Données projet'!$B$11,Paramètres!$A$1:$I$89,3,0)*0.475*44/12</f>
        <v>12.325423840405445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19.530771812816287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21.625641025641034</v>
      </c>
      <c r="N47" s="13">
        <f>IF('Données projet'!$A$36&gt;35,N46+M47-V46,IF(A47&lt;'Données projet'!$A$36,$K$205^A47,IF(A47='Données projet'!$A$36,'Données projet'!$B$36,N46+M47-V46)))</f>
        <v>438.58205128205122</v>
      </c>
      <c r="O47" s="13">
        <f>N47*VLOOKUP('Données projet'!$B$9,Paramètres!$A$1:$I$89,3,0)*VLOOKUP('Données projet'!$B$9,Paramètres!$A$1:$I$89,5,0)</f>
        <v>245.16736666666665</v>
      </c>
      <c r="P47" s="13">
        <f t="shared" si="33"/>
        <v>59.549932468183236</v>
      </c>
      <c r="Q47" s="20">
        <f t="shared" si="53"/>
        <v>530.71596265986352</v>
      </c>
      <c r="R47" s="59">
        <f t="shared" si="0"/>
        <v>824.04929599319689</v>
      </c>
      <c r="S47" s="59">
        <f ca="1">AVERAGE(OFFSET($R$3,0,0,'Données projet'!$E$9+1,1))-AVERAGE(OFFSET($H$3,0,0,'Données projet'!$E$9+1,1))</f>
        <v>278.5296012747549</v>
      </c>
      <c r="T47" s="59">
        <f t="shared" si="34"/>
        <v>370.55343097937077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59.430497652047244</v>
      </c>
      <c r="AA47" s="21">
        <f>EXP(-LN(2)/25)*AA46+(1-EXP(-LN(2)/25))/(LN(2)/25)*Calculateur!V47*Calculateur!X47*VLOOKUP('Données projet'!$B$9,Paramètres!$A$1:$I$89,3,0)*0.475*44/12</f>
        <v>20.905498370950394</v>
      </c>
      <c r="AB47" s="21">
        <f>EXP(-LN(2)/2)*AB46+(1-EXP(-LN(2)/2))/(LN(2)/2)*V47*Y47*VLOOKUP('Données projet'!$B$9,Paramètres!$A$1:$I$89,3,0)*0.475*44/12</f>
        <v>3.4763388990898312</v>
      </c>
      <c r="AC47" s="22">
        <f t="shared" si="3"/>
        <v>83.812334922087459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10.666666666666666</v>
      </c>
      <c r="AI47" s="13">
        <f>IF('Données projet'!$A$62&gt;35,AI46+AH47-AQ46,IF(A47&lt;'Données projet'!$A$62,$AF$205^A47,IF(A47='Données projet'!$A$62,'Données projet'!$B$62,AI46+AH47-AQ46)))</f>
        <v>209.33333333333334</v>
      </c>
      <c r="AJ47" s="13">
        <f>AI47*VLOOKUP('Données projet'!$B$10,Paramètres!$A$1:$I$89,3,0)*VLOOKUP('Données projet'!$B$10,Paramètres!$A$1:$I$89,5,0)</f>
        <v>130.62400000000002</v>
      </c>
      <c r="AK47" s="13">
        <f t="shared" si="35"/>
        <v>34.140507202645395</v>
      </c>
      <c r="AL47" s="20">
        <f t="shared" si="4"/>
        <v>286.96485004460743</v>
      </c>
      <c r="AM47" s="59">
        <f t="shared" si="5"/>
        <v>580.29818337794075</v>
      </c>
      <c r="AN47" s="59">
        <f ca="1">AVERAGE(OFFSET($AM$3,0,0,'Données projet'!$E$10+1,1))-AVERAGE(OFFSET($H$3,0,0,'Données projet'!$E$10+1,1))</f>
        <v>179.44051550872138</v>
      </c>
      <c r="AO47" s="59">
        <f t="shared" si="36"/>
        <v>272.9500808380069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17.479729296025628</v>
      </c>
      <c r="AV47" s="21">
        <f>EXP(-LN(2)/25)*AV46+(1-EXP(-LN(2)/25))/(LN(2)/25)*Calculateur!AQ47*Calculateur!AS47*VLOOKUP('Données projet'!$B$10,Paramètres!$A$1:$I$89,3,0)*0.475*44/12</f>
        <v>63.18329540514604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80.663024701171665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156.57407999999998</v>
      </c>
      <c r="BF47" s="13">
        <f t="shared" si="37"/>
        <v>40.068818872547467</v>
      </c>
      <c r="BG47" s="20">
        <f t="shared" si="7"/>
        <v>342.48638220302013</v>
      </c>
      <c r="BH47" s="59">
        <f t="shared" si="8"/>
        <v>635.81971553635344</v>
      </c>
      <c r="BI47" s="59">
        <f ca="1">AVERAGE(OFFSET($BH$3,0,0,'Données projet'!$E$11+1,1))-AVERAGE(OFFSET($H$3,0,0,'Données projet'!$E$11+1,1))</f>
        <v>225.2323446080772</v>
      </c>
      <c r="BJ47" s="59">
        <f t="shared" si="38"/>
        <v>222.29030402759292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7.0640554935001756</v>
      </c>
      <c r="BQ47" s="21">
        <f>EXP(-LN(2)/25)*BQ46+(1-EXP(-LN(2)/25))/(LN(2)/25)*Calculateur!BL47*Calculateur!BN47*VLOOKUP('Données projet'!$B$11,Paramètres!$A$1:$I$89,3,0)*0.475*44/12</f>
        <v>11.988384477323688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19.052439970823862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21.625641025641034</v>
      </c>
      <c r="N48" s="13">
        <f>IF('Données projet'!$A$36&gt;35,N47+M48-V47,IF(A48&lt;'Données projet'!$A$36,$K$205^A48,IF(A48='Données projet'!$A$36,'Données projet'!$B$36,N47+M48-V47)))</f>
        <v>460.20769230769224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278.5296012747549</v>
      </c>
      <c r="T48" s="59">
        <f t="shared" si="34"/>
        <v>370.55343097937077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58.265101842114873</v>
      </c>
      <c r="AA48" s="21">
        <f>EXP(-LN(2)/25)*AA47+(1-EXP(-LN(2)/25))/(LN(2)/25)*Calculateur!V48*Calculateur!X48*VLOOKUP('Données projet'!$B$9,Paramètres!$A$1:$I$89,3,0)*0.475*44/12</f>
        <v>20.333836418624376</v>
      </c>
      <c r="AB48" s="21">
        <f>EXP(-LN(2)/2)*AB47+(1-EXP(-LN(2)/2))/(LN(2)/2)*V48*Y48*VLOOKUP('Données projet'!$B$9,Paramètres!$A$1:$I$89,3,0)*0.475*44/12</f>
        <v>2.4581428092489968</v>
      </c>
      <c r="AC48" s="22">
        <f t="shared" si="3"/>
        <v>81.057081069988243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10.666666666666666</v>
      </c>
      <c r="AI48" s="13">
        <f>IF('Données projet'!$A$62&gt;35,AI47+AH48-AQ47,IF(A48&lt;'Données projet'!$A$62,$AF$205^A48,IF(A48='Données projet'!$A$62,'Données projet'!$B$62,AI47+AH48-AQ47)))</f>
        <v>220</v>
      </c>
      <c r="AJ48" s="13">
        <f>AI48*VLOOKUP('Données projet'!$B$10,Paramètres!$A$1:$I$89,3,0)*VLOOKUP('Données projet'!$B$10,Paramètres!$A$1:$I$89,5,0)</f>
        <v>137.28</v>
      </c>
      <c r="AK48" s="13">
        <f t="shared" si="35"/>
        <v>35.673181961873446</v>
      </c>
      <c r="AL48" s="20">
        <f t="shared" si="4"/>
        <v>301.22679191692959</v>
      </c>
      <c r="AM48" s="59">
        <f t="shared" si="5"/>
        <v>594.5601252502629</v>
      </c>
      <c r="AN48" s="59">
        <f ca="1">AVERAGE(OFFSET($AM$3,0,0,'Données projet'!$E$10+1,1))-AVERAGE(OFFSET($H$3,0,0,'Données projet'!$E$10+1,1))</f>
        <v>179.44051550872138</v>
      </c>
      <c r="AO48" s="59">
        <f t="shared" si="36"/>
        <v>272.9500808380069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17.136962466112692</v>
      </c>
      <c r="AV48" s="21">
        <f>EXP(-LN(2)/25)*AV47+(1-EXP(-LN(2)/25))/(LN(2)/25)*Calculateur!AQ48*Calculateur!AS48*VLOOKUP('Données projet'!$B$10,Paramètres!$A$1:$I$89,3,0)*0.475*44/12</f>
        <v>61.455544869627225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78.592507335739924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163.09799999999996</v>
      </c>
      <c r="BF48" s="13">
        <f t="shared" si="37"/>
        <v>41.540496136845142</v>
      </c>
      <c r="BG48" s="20">
        <f t="shared" si="7"/>
        <v>356.4120474383385</v>
      </c>
      <c r="BH48" s="59">
        <f t="shared" si="8"/>
        <v>649.74538077167176</v>
      </c>
      <c r="BI48" s="59">
        <f ca="1">AVERAGE(OFFSET($BH$3,0,0,'Données projet'!$E$11+1,1))-AVERAGE(OFFSET($H$3,0,0,'Données projet'!$E$11+1,1))</f>
        <v>225.2323446080772</v>
      </c>
      <c r="BJ48" s="59">
        <f t="shared" si="38"/>
        <v>222.29030402759292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0.31269999999999998</v>
      </c>
      <c r="BN48" s="16">
        <f>IF(ISNA(VLOOKUP(A48,'Données projet'!$A$87:$I$107,6,0)),0%,VLOOKUP(A48,'Données projet'!$A$87:$I$107,6,0)*VLOOKUP('Données projet'!$B$11,Paramètres!$A$1:$I$89,7,0))</f>
        <v>0.1431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12.976050136200808</v>
      </c>
      <c r="BQ48" s="21">
        <f>EXP(-LN(2)/25)*BQ47+(1-EXP(-LN(2)/25))/(LN(2)/25)*Calculateur!BL48*Calculateur!BN48*VLOOKUP('Données projet'!$B$11,Paramètres!$A$1:$I$89,3,0)*0.475*44/12</f>
        <v>14.418539751071341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27.394589887272147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21.625641025641034</v>
      </c>
      <c r="N49" s="13">
        <f>IF('Données projet'!$A$36&gt;35,N48+M49-V48,IF(A49&lt;'Données projet'!$A$36,$K$205^A49,IF(A49='Données projet'!$A$36,'Données projet'!$B$36,N48+M49-V48)))</f>
        <v>481.83333333333326</v>
      </c>
      <c r="O49" s="13">
        <f>N49*VLOOKUP('Données projet'!$B$9,Paramètres!$A$1:$I$89,3,0)*VLOOKUP('Données projet'!$B$9,Paramètres!$A$1:$I$89,5,0)</f>
        <v>269.34483333333333</v>
      </c>
      <c r="P49" s="13">
        <f t="shared" si="33"/>
        <v>64.710206731812576</v>
      </c>
      <c r="Q49" s="20">
        <f t="shared" si="53"/>
        <v>581.81252811346246</v>
      </c>
      <c r="R49" s="59">
        <f t="shared" si="0"/>
        <v>875.14586144679583</v>
      </c>
      <c r="S49" s="59">
        <f ca="1">AVERAGE(OFFSET($R$3,0,0,'Données projet'!$E$9+1,1))-AVERAGE(OFFSET($H$3,0,0,'Données projet'!$E$9+1,1))</f>
        <v>278.5296012747549</v>
      </c>
      <c r="T49" s="59">
        <f t="shared" si="34"/>
        <v>370.55343097937077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57.122558733194019</v>
      </c>
      <c r="AA49" s="21">
        <f>EXP(-LN(2)/25)*AA48+(1-EXP(-LN(2)/25))/(LN(2)/25)*Calculateur!V49*Calculateur!X49*VLOOKUP('Données projet'!$B$9,Paramètres!$A$1:$I$89,3,0)*0.475*44/12</f>
        <v>19.77780659244711</v>
      </c>
      <c r="AB49" s="21">
        <f>EXP(-LN(2)/2)*AB48+(1-EXP(-LN(2)/2))/(LN(2)/2)*V49*Y49*VLOOKUP('Données projet'!$B$9,Paramètres!$A$1:$I$89,3,0)*0.475*44/12</f>
        <v>1.7381694495449156</v>
      </c>
      <c r="AC49" s="22">
        <f t="shared" si="3"/>
        <v>78.638534775186045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10.666666666666666</v>
      </c>
      <c r="AI49" s="13">
        <f>IF('Données projet'!$A$62&gt;35,AI48+AH49-AQ48,IF(A49&lt;'Données projet'!$A$62,$AF$205^A49,IF(A49='Données projet'!$A$62,'Données projet'!$B$62,AI48+AH49-AQ48)))</f>
        <v>230.66666666666666</v>
      </c>
      <c r="AJ49" s="13">
        <f>AI49*VLOOKUP('Données projet'!$B$10,Paramètres!$A$1:$I$89,3,0)*VLOOKUP('Données projet'!$B$10,Paramètres!$A$1:$I$89,5,0)</f>
        <v>143.93599999999998</v>
      </c>
      <c r="AK49" s="13">
        <f t="shared" si="35"/>
        <v>37.197227655019397</v>
      </c>
      <c r="AL49" s="20">
        <f t="shared" si="4"/>
        <v>315.47370483249205</v>
      </c>
      <c r="AM49" s="59">
        <f t="shared" si="5"/>
        <v>608.80703816582536</v>
      </c>
      <c r="AN49" s="59">
        <f ca="1">AVERAGE(OFFSET($AM$3,0,0,'Données projet'!$E$10+1,1))-AVERAGE(OFFSET($H$3,0,0,'Données projet'!$E$10+1,1))</f>
        <v>179.44051550872138</v>
      </c>
      <c r="AO49" s="59">
        <f t="shared" si="36"/>
        <v>272.9500808380069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16.800917084667226</v>
      </c>
      <c r="AV49" s="21">
        <f>EXP(-LN(2)/25)*AV48+(1-EXP(-LN(2)/25))/(LN(2)/25)*Calculateur!AQ49*Calculateur!AS49*VLOOKUP('Données projet'!$B$10,Paramètres!$A$1:$I$89,3,0)*0.475*44/12</f>
        <v>59.775039763360624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76.575956848027857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151.32311999999996</v>
      </c>
      <c r="BF49" s="13">
        <f t="shared" si="37"/>
        <v>38.879115530839606</v>
      </c>
      <c r="BG49" s="20">
        <f t="shared" si="7"/>
        <v>331.26889354954557</v>
      </c>
      <c r="BH49" s="59">
        <f t="shared" si="8"/>
        <v>624.60222688287888</v>
      </c>
      <c r="BI49" s="59">
        <f ca="1">AVERAGE(OFFSET($BH$3,0,0,'Données projet'!$E$11+1,1))-AVERAGE(OFFSET($H$3,0,0,'Données projet'!$E$11+1,1))</f>
        <v>225.2323446080772</v>
      </c>
      <c r="BJ49" s="59">
        <f t="shared" si="38"/>
        <v>222.29030402759292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12.72159770763899</v>
      </c>
      <c r="BQ49" s="21">
        <f>EXP(-LN(2)/25)*BQ48+(1-EXP(-LN(2)/25))/(LN(2)/25)*Calculateur!BL49*Calculateur!BN49*VLOOKUP('Données projet'!$B$11,Paramètres!$A$1:$I$89,3,0)*0.475*44/12</f>
        <v>14.024264023340244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26.745861730979236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21.625641025641034</v>
      </c>
      <c r="N50" s="13">
        <f>IF('Données projet'!$A$36&gt;35,N49+M50-V49,IF(A50&lt;'Données projet'!$A$36,$K$205^A50,IF(A50='Données projet'!$A$36,'Données projet'!$B$36,N49+M50-V49)))</f>
        <v>503.45897435897427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278.5296012747549</v>
      </c>
      <c r="T50" s="59">
        <f t="shared" si="34"/>
        <v>370.55343097937077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56.002420197756614</v>
      </c>
      <c r="AA50" s="21">
        <f>EXP(-LN(2)/25)*AA49+(1-EXP(-LN(2)/25))/(LN(2)/25)*Calculateur!V50*Calculateur!X50*VLOOKUP('Données projet'!$B$9,Paramètres!$A$1:$I$89,3,0)*0.475*44/12</f>
        <v>19.236981431106997</v>
      </c>
      <c r="AB50" s="21">
        <f>EXP(-LN(2)/2)*AB49+(1-EXP(-LN(2)/2))/(LN(2)/2)*V50*Y50*VLOOKUP('Données projet'!$B$9,Paramètres!$A$1:$I$89,3,0)*0.475*44/12</f>
        <v>1.2290714046244984</v>
      </c>
      <c r="AC50" s="22">
        <f t="shared" si="3"/>
        <v>76.46847303348811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10.666666666666666</v>
      </c>
      <c r="AI50" s="13">
        <f>IF('Données projet'!$A$62&gt;35,AI49+AH50-AQ49,IF(A50&lt;'Données projet'!$A$62,$AF$205^A50,IF(A50='Données projet'!$A$62,'Données projet'!$B$62,AI49+AH50-AQ49)))</f>
        <v>241.33333333333331</v>
      </c>
      <c r="AJ50" s="13">
        <f>AI50*VLOOKUP('Données projet'!$B$10,Paramètres!$A$1:$I$89,3,0)*VLOOKUP('Données projet'!$B$10,Paramètres!$A$1:$I$89,5,0)</f>
        <v>150.59199999999998</v>
      </c>
      <c r="AK50" s="13">
        <f t="shared" si="35"/>
        <v>38.713088888505631</v>
      </c>
      <c r="AL50" s="20">
        <f t="shared" si="4"/>
        <v>329.70636314748066</v>
      </c>
      <c r="AM50" s="59">
        <f t="shared" si="5"/>
        <v>623.03969648081397</v>
      </c>
      <c r="AN50" s="59">
        <f ca="1">AVERAGE(OFFSET($AM$3,0,0,'Données projet'!$E$10+1,1))-AVERAGE(OFFSET($H$3,0,0,'Données projet'!$E$10+1,1))</f>
        <v>179.44051550872138</v>
      </c>
      <c r="AO50" s="59">
        <f t="shared" si="36"/>
        <v>272.9500808380069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16.471461348184462</v>
      </c>
      <c r="AV50" s="21">
        <f>EXP(-LN(2)/25)*AV49+(1-EXP(-LN(2)/25))/(LN(2)/25)*Calculateur!AQ50*Calculateur!AS50*VLOOKUP('Données projet'!$B$10,Paramètres!$A$1:$I$89,3,0)*0.475*44/12</f>
        <v>58.140488157598803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74.611949505783258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157.05143999999996</v>
      </c>
      <c r="BF50" s="13">
        <f t="shared" si="37"/>
        <v>40.176741230099708</v>
      </c>
      <c r="BG50" s="20">
        <f t="shared" si="7"/>
        <v>343.50574897575689</v>
      </c>
      <c r="BH50" s="59">
        <f t="shared" si="8"/>
        <v>636.83908230909014</v>
      </c>
      <c r="BI50" s="59">
        <f ca="1">AVERAGE(OFFSET($BH$3,0,0,'Données projet'!$E$11+1,1))-AVERAGE(OFFSET($H$3,0,0,'Données projet'!$E$11+1,1))</f>
        <v>225.2323446080772</v>
      </c>
      <c r="BJ50" s="59">
        <f t="shared" si="38"/>
        <v>222.29030402759292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12.472134936000613</v>
      </c>
      <c r="BQ50" s="21">
        <f>EXP(-LN(2)/25)*BQ49+(1-EXP(-LN(2)/25))/(LN(2)/25)*Calculateur!BL50*Calculateur!BN50*VLOOKUP('Données projet'!$B$11,Paramètres!$A$1:$I$89,3,0)*0.475*44/12</f>
        <v>13.640769786118012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26.112904722118625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21.625641025641034</v>
      </c>
      <c r="M51" s="12">
        <f t="array" ref="M51">INDEX(L:L,MIN(IF(ISNUMBER(L51:L247),ROW(L51:L247),"")))</f>
        <v>21.625641025641034</v>
      </c>
      <c r="N51" s="13">
        <f>IF('Données projet'!$A$36&gt;35,N50+M51-V50,IF(A51&lt;'Données projet'!$A$36,$K$205^A51,IF(A51='Données projet'!$A$36,'Données projet'!$B$36,N50+M51-V50)))</f>
        <v>525.08461538461529</v>
      </c>
      <c r="O51" s="13">
        <f>N51*VLOOKUP('Données projet'!$B$9,Paramètres!$A$1:$I$89,3,0)*VLOOKUP('Données projet'!$B$9,Paramètres!$A$1:$I$89,5,0)</f>
        <v>293.52229999999997</v>
      </c>
      <c r="P51" s="13">
        <f t="shared" si="33"/>
        <v>69.816768342057628</v>
      </c>
      <c r="Q51" s="20">
        <f t="shared" si="53"/>
        <v>632.81554402908364</v>
      </c>
      <c r="R51" s="59">
        <f t="shared" si="0"/>
        <v>926.1488773624169</v>
      </c>
      <c r="S51" s="59">
        <f ca="1">AVERAGE(OFFSET($R$3,0,0,'Données projet'!$E$9+1,1))-AVERAGE(OFFSET($H$3,0,0,'Données projet'!$E$9+1,1))</f>
        <v>278.5296012747549</v>
      </c>
      <c r="T51" s="59">
        <f t="shared" si="34"/>
        <v>370.55343097937077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0.38500000000000001</v>
      </c>
      <c r="X51" s="16">
        <f>IF(ISNA(VLOOKUP(A51,'Données projet'!$A$35:$I$55,6,0)),0%,VLOOKUP(A51,'Données projet'!$A$35:$I$55,6,0)*VLOOKUP('Données projet'!$B$9,Paramètres!$A$1:$I$89,7,0))</f>
        <v>9.240000000000001E-2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78.12390248786032</v>
      </c>
      <c r="AA51" s="21">
        <f>EXP(-LN(2)/25)*AA50+(1-EXP(-LN(2)/25))/(LN(2)/25)*Calculateur!V51*Calculateur!X51*VLOOKUP('Données projet'!$B$9,Paramètres!$A$1:$I$89,3,0)*0.475*44/12</f>
        <v>24.261720592795644</v>
      </c>
      <c r="AB51" s="21">
        <f>EXP(-LN(2)/2)*AB50+(1-EXP(-LN(2)/2))/(LN(2)/2)*V51*Y51*VLOOKUP('Données projet'!$B$9,Paramètres!$A$1:$I$89,3,0)*0.475*44/12</f>
        <v>7.6638765903722392</v>
      </c>
      <c r="AC51" s="22">
        <f t="shared" si="3"/>
        <v>110.0494996710282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</v>
      </c>
      <c r="AG51" s="12">
        <f>VLOOKUP(A51,'Données projet'!$A$61:$I$81,9,0)</f>
        <v>10.666666666666666</v>
      </c>
      <c r="AH51" s="12">
        <f t="array" ref="AH51">INDEX(AG:AG,MIN(IF(ISNUMBER(AG51:AG247),ROW(AG51:AG247),"")))</f>
        <v>10.666666666666666</v>
      </c>
      <c r="AI51" s="13">
        <f>IF('Données projet'!$A$62&gt;35,AI50+AH51-AQ50,IF(A51&lt;'Données projet'!$A$62,$AF$205^A51,IF(A51='Données projet'!$A$62,'Données projet'!$B$62,AI50+AH51-AQ50)))</f>
        <v>251.99999999999997</v>
      </c>
      <c r="AJ51" s="13">
        <f>AI51*VLOOKUP('Données projet'!$B$10,Paramètres!$A$1:$I$89,3,0)*VLOOKUP('Données projet'!$B$10,Paramètres!$A$1:$I$89,5,0)</f>
        <v>157.24799999999999</v>
      </c>
      <c r="AK51" s="13">
        <f t="shared" si="35"/>
        <v>40.22116874434861</v>
      </c>
      <c r="AL51" s="20">
        <f t="shared" si="4"/>
        <v>343.92546889640715</v>
      </c>
      <c r="AM51" s="59">
        <f t="shared" si="5"/>
        <v>637.25880222974047</v>
      </c>
      <c r="AN51" s="59">
        <f ca="1">AVERAGE(OFFSET($AM$3,0,0,'Données projet'!$E$10+1,1))-AVERAGE(OFFSET($H$3,0,0,'Données projet'!$E$10+1,1))</f>
        <v>179.44051550872138</v>
      </c>
      <c r="AO51" s="59">
        <f t="shared" si="36"/>
        <v>272.9500808380069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65</v>
      </c>
      <c r="AR51" s="16">
        <f>IF(ISNA(VLOOKUP(A51,'Données projet'!$A$61:$I$81,5,0)),0%,VLOOKUP(A51,'Données projet'!$A$61:$I$81,5,0)*VLOOKUP('Données projet'!$B$10,Paramètres!$A$1:$I$89,7,0))</f>
        <v>0.24</v>
      </c>
      <c r="AS51" s="16">
        <f>IF(ISNA(VLOOKUP(A51,'Données projet'!$A$61:$I$81,6,0)),0%,VLOOKUP(A51,'Données projet'!$A$61:$I$81,6,0)*VLOOKUP('Données projet'!$B$10,Paramètres!$A$1:$I$89,7,0))</f>
        <v>0.36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29.061775072776626</v>
      </c>
      <c r="AV51" s="21">
        <f>EXP(-LN(2)/25)*AV50+(1-EXP(-LN(2)/25))/(LN(2)/25)*Calculateur!AQ51*Calculateur!AS51*VLOOKUP('Données projet'!$B$10,Paramètres!$A$1:$I$89,3,0)*0.475*44/12</f>
        <v>75.844330076958755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104.90610514973538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162.77975999999995</v>
      </c>
      <c r="BF51" s="13">
        <f t="shared" si="37"/>
        <v>41.468868129640057</v>
      </c>
      <c r="BG51" s="20">
        <f t="shared" si="7"/>
        <v>355.73302732578964</v>
      </c>
      <c r="BH51" s="59">
        <f t="shared" si="8"/>
        <v>649.06636065912289</v>
      </c>
      <c r="BI51" s="59">
        <f ca="1">AVERAGE(OFFSET($BH$3,0,0,'Données projet'!$E$11+1,1))-AVERAGE(OFFSET($H$3,0,0,'Données projet'!$E$11+1,1))</f>
        <v>225.2323446080772</v>
      </c>
      <c r="BJ51" s="59">
        <f t="shared" si="38"/>
        <v>222.29030402759292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12.227563977156798</v>
      </c>
      <c r="BQ51" s="21">
        <f>EXP(-LN(2)/25)*BQ50+(1-EXP(-LN(2)/25))/(LN(2)/25)*Calculateur!BL51*Calculateur!BN51*VLOOKUP('Données projet'!$B$11,Paramètres!$A$1:$I$89,3,0)*0.475*44/12</f>
        <v>13.267762218979708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25.495326196136507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464.26153846153835</v>
      </c>
      <c r="O52" s="13">
        <f>N52*VLOOKUP('Données projet'!$B$9,Paramètres!$A$1:$I$89,3,0)*VLOOKUP('Données projet'!$B$9,Paramètres!$A$1:$I$89,5,0)</f>
        <v>259.52219999999994</v>
      </c>
      <c r="P52" s="13">
        <f t="shared" si="33"/>
        <v>62.620519404058925</v>
      </c>
      <c r="Q52" s="20">
        <f t="shared" si="53"/>
        <v>561.06523629540254</v>
      </c>
      <c r="R52" s="59">
        <f t="shared" si="0"/>
        <v>854.39856962873591</v>
      </c>
      <c r="S52" s="59">
        <f ca="1">AVERAGE(OFFSET($R$3,0,0,'Données projet'!$E$9+1,1))-AVERAGE(OFFSET($H$3,0,0,'Données projet'!$E$9+1,1))</f>
        <v>278.5296012747549</v>
      </c>
      <c r="T52" s="59">
        <f t="shared" si="34"/>
        <v>370.55343097937077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76.591940410948766</v>
      </c>
      <c r="AA52" s="21">
        <f>EXP(-LN(2)/25)*AA51+(1-EXP(-LN(2)/25))/(LN(2)/25)*Calculateur!V52*Calculateur!X52*VLOOKUP('Données projet'!$B$9,Paramètres!$A$1:$I$89,3,0)*0.475*44/12</f>
        <v>23.598282567317213</v>
      </c>
      <c r="AB52" s="21">
        <f>EXP(-LN(2)/2)*AB51+(1-EXP(-LN(2)/2))/(LN(2)/2)*V52*Y52*VLOOKUP('Données projet'!$B$9,Paramètres!$A$1:$I$89,3,0)*0.475*44/12</f>
        <v>5.4191791072290476</v>
      </c>
      <c r="AC52" s="22">
        <f t="shared" si="3"/>
        <v>105.60940208549502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9.75</v>
      </c>
      <c r="AI52" s="13">
        <f>IF('Données projet'!$A$62&gt;35,AI51+AH52-AQ51,IF(A52&lt;'Données projet'!$A$62,$AF$205^A52,IF(A52='Données projet'!$A$62,'Données projet'!$B$62,AI51+AH52-AQ51)))</f>
        <v>196.75</v>
      </c>
      <c r="AJ52" s="13">
        <f>AI52*VLOOKUP('Données projet'!$B$10,Paramètres!$A$1:$I$89,3,0)*VLOOKUP('Données projet'!$B$10,Paramètres!$A$1:$I$89,5,0)</f>
        <v>122.77200000000001</v>
      </c>
      <c r="AK52" s="13">
        <f t="shared" si="35"/>
        <v>32.320660955470466</v>
      </c>
      <c r="AL52" s="20">
        <f t="shared" si="4"/>
        <v>270.11971783077774</v>
      </c>
      <c r="AM52" s="59">
        <f t="shared" si="5"/>
        <v>563.453051164111</v>
      </c>
      <c r="AN52" s="59">
        <f ca="1">AVERAGE(OFFSET($AM$3,0,0,'Données projet'!$E$10+1,1))-AVERAGE(OFFSET($H$3,0,0,'Données projet'!$E$10+1,1))</f>
        <v>179.44051550872138</v>
      </c>
      <c r="AO52" s="59">
        <f t="shared" si="36"/>
        <v>272.9500808380069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28.491891389531979</v>
      </c>
      <c r="AV52" s="21">
        <f>EXP(-LN(2)/25)*AV51+(1-EXP(-LN(2)/25))/(LN(2)/25)*Calculateur!AQ52*Calculateur!AS52*VLOOKUP('Données projet'!$B$10,Paramètres!$A$1:$I$89,3,0)*0.475*44/12</f>
        <v>73.770362882524338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102.26225427205631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168.50807999999992</v>
      </c>
      <c r="BF52" s="13">
        <f t="shared" si="37"/>
        <v>42.755711908378117</v>
      </c>
      <c r="BG52" s="20">
        <f t="shared" si="7"/>
        <v>367.95110424042508</v>
      </c>
      <c r="BH52" s="59">
        <f t="shared" si="8"/>
        <v>661.2844375737584</v>
      </c>
      <c r="BI52" s="59">
        <f ca="1">AVERAGE(OFFSET($BH$3,0,0,'Données projet'!$E$11+1,1))-AVERAGE(OFFSET($H$3,0,0,'Données projet'!$E$11+1,1))</f>
        <v>225.2323446080772</v>
      </c>
      <c r="BJ52" s="59">
        <f t="shared" si="38"/>
        <v>222.29030402759292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11.987788905642356</v>
      </c>
      <c r="BQ52" s="21">
        <f>EXP(-LN(2)/25)*BQ51+(1-EXP(-LN(2)/25))/(LN(2)/25)*Calculateur!BL52*Calculateur!BN52*VLOOKUP('Données projet'!$B$11,Paramètres!$A$1:$I$89,3,0)*0.475*44/12</f>
        <v>12.904954563380418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24.892743469022776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484.76923076923066</v>
      </c>
      <c r="O53" s="13">
        <f>N53*VLOOKUP('Données projet'!$B$9,Paramètres!$A$1:$I$89,3,0)*VLOOKUP('Données projet'!$B$9,Paramètres!$A$1:$I$89,5,0)</f>
        <v>270.98599999999993</v>
      </c>
      <c r="P53" s="13">
        <f t="shared" si="33"/>
        <v>65.058478958733772</v>
      </c>
      <c r="Q53" s="20">
        <f t="shared" si="53"/>
        <v>585.27746751979453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278.5296012747549</v>
      </c>
      <c r="T53" s="59">
        <f t="shared" si="34"/>
        <v>370.55343097937077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75.090019175960848</v>
      </c>
      <c r="AA53" s="21">
        <f>EXP(-LN(2)/25)*AA52+(1-EXP(-LN(2)/25))/(LN(2)/25)*Calculateur!V53*Calculateur!X53*VLOOKUP('Données projet'!$B$9,Paramètres!$A$1:$I$89,3,0)*0.475*44/12</f>
        <v>22.952986289534177</v>
      </c>
      <c r="AB53" s="21">
        <f>EXP(-LN(2)/2)*AB52+(1-EXP(-LN(2)/2))/(LN(2)/2)*V53*Y53*VLOOKUP('Données projet'!$B$9,Paramètres!$A$1:$I$89,3,0)*0.475*44/12</f>
        <v>3.8319382951861205</v>
      </c>
      <c r="AC53" s="22">
        <f t="shared" si="3"/>
        <v>101.87494376068115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9.75</v>
      </c>
      <c r="AI53" s="13">
        <f>IF('Données projet'!$A$62&gt;35,AI52+AH53-AQ52,IF(A53&lt;'Données projet'!$A$62,$AF$205^A53,IF(A53='Données projet'!$A$62,'Données projet'!$B$62,AI52+AH53-AQ52)))</f>
        <v>206.5</v>
      </c>
      <c r="AJ53" s="13">
        <f>AI53*VLOOKUP('Données projet'!$B$10,Paramètres!$A$1:$I$89,3,0)*VLOOKUP('Données projet'!$B$10,Paramètres!$A$1:$I$89,5,0)</f>
        <v>128.85599999999999</v>
      </c>
      <c r="AK53" s="13">
        <f t="shared" si="35"/>
        <v>33.731878688740906</v>
      </c>
      <c r="AL53" s="20">
        <f t="shared" si="4"/>
        <v>283.1738887162237</v>
      </c>
      <c r="AM53" s="59">
        <f t="shared" si="5"/>
        <v>576.50722204955696</v>
      </c>
      <c r="AN53" s="59">
        <f ca="1">AVERAGE(OFFSET($AM$3,0,0,'Données projet'!$E$10+1,1))-AVERAGE(OFFSET($H$3,0,0,'Données projet'!$E$10+1,1))</f>
        <v>179.44051550872138</v>
      </c>
      <c r="AO53" s="59">
        <f t="shared" si="36"/>
        <v>272.9500808380069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27.933182777721036</v>
      </c>
      <c r="AV53" s="21">
        <f>EXP(-LN(2)/25)*AV52+(1-EXP(-LN(2)/25))/(LN(2)/25)*Calculateur!AQ53*Calculateur!AS53*VLOOKUP('Données projet'!$B$10,Paramètres!$A$1:$I$89,3,0)*0.475*44/12</f>
        <v>71.753108430086925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99.686291207807955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174.23639999999992</v>
      </c>
      <c r="BF53" s="13">
        <f t="shared" si="37"/>
        <v>44.03747274965864</v>
      </c>
      <c r="BG53" s="20">
        <f t="shared" si="7"/>
        <v>380.160328372322</v>
      </c>
      <c r="BH53" s="59">
        <f t="shared" si="8"/>
        <v>673.49366170565531</v>
      </c>
      <c r="BI53" s="59">
        <f ca="1">AVERAGE(OFFSET($BH$3,0,0,'Données projet'!$E$11+1,1))-AVERAGE(OFFSET($H$3,0,0,'Données projet'!$E$11+1,1))</f>
        <v>225.2323446080772</v>
      </c>
      <c r="BJ53" s="59">
        <f t="shared" si="38"/>
        <v>222.29030402759292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0.37630000000000002</v>
      </c>
      <c r="BN53" s="16">
        <f>IF(ISNA(VLOOKUP(A53,'Données projet'!$A$87:$I$107,6,0)),0%,VLOOKUP(A53,'Données projet'!$A$87:$I$107,6,0)*VLOOKUP('Données projet'!$B$11,Paramètres!$A$1:$I$89,7,0))</f>
        <v>9.5399999999999999E-2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17.379043388874543</v>
      </c>
      <c r="BQ53" s="21">
        <f>EXP(-LN(2)/25)*BQ52+(1-EXP(-LN(2)/25))/(LN(2)/25)*Calculateur!BL53*Calculateur!BN53*VLOOKUP('Données projet'!$B$11,Paramètres!$A$1:$I$89,3,0)*0.475*44/12</f>
        <v>13.972844590726073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31.351887979600615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505.27692307692297</v>
      </c>
      <c r="O54" s="13">
        <f>N54*VLOOKUP('Données projet'!$B$9,Paramètres!$A$1:$I$89,3,0)*VLOOKUP('Données projet'!$B$9,Paramètres!$A$1:$I$89,5,0)</f>
        <v>282.44979999999998</v>
      </c>
      <c r="P54" s="13">
        <f t="shared" si="33"/>
        <v>67.484459274997945</v>
      </c>
      <c r="Q54" s="20">
        <f t="shared" si="53"/>
        <v>609.46883490395464</v>
      </c>
      <c r="R54" s="59">
        <f t="shared" si="0"/>
        <v>902.80216823728802</v>
      </c>
      <c r="S54" s="59">
        <f ca="1">AVERAGE(OFFSET($R$3,0,0,'Données projet'!$E$9+1,1))-AVERAGE(OFFSET($H$3,0,0,'Données projet'!$E$9+1,1))</f>
        <v>278.5296012747549</v>
      </c>
      <c r="T54" s="59">
        <f t="shared" si="34"/>
        <v>370.55343097937077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73.617549700309539</v>
      </c>
      <c r="AA54" s="21">
        <f>EXP(-LN(2)/25)*AA53+(1-EXP(-LN(2)/25))/(LN(2)/25)*Calculateur!V54*Calculateur!X54*VLOOKUP('Données projet'!$B$9,Paramètres!$A$1:$I$89,3,0)*0.475*44/12</f>
        <v>22.325335672401774</v>
      </c>
      <c r="AB54" s="21">
        <f>EXP(-LN(2)/2)*AB53+(1-EXP(-LN(2)/2))/(LN(2)/2)*V54*Y54*VLOOKUP('Données projet'!$B$9,Paramètres!$A$1:$I$89,3,0)*0.475*44/12</f>
        <v>2.7095895536145242</v>
      </c>
      <c r="AC54" s="22">
        <f t="shared" si="3"/>
        <v>98.652474926325837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9.75</v>
      </c>
      <c r="AI54" s="13">
        <f>IF('Données projet'!$A$62&gt;35,AI53+AH54-AQ53,IF(A54&lt;'Données projet'!$A$62,$AF$205^A54,IF(A54='Données projet'!$A$62,'Données projet'!$B$62,AI53+AH54-AQ53)))</f>
        <v>216.25</v>
      </c>
      <c r="AJ54" s="13">
        <f>AI54*VLOOKUP('Données projet'!$B$10,Paramètres!$A$1:$I$89,3,0)*VLOOKUP('Données projet'!$B$10,Paramètres!$A$1:$I$89,5,0)</f>
        <v>134.94</v>
      </c>
      <c r="AK54" s="13">
        <f t="shared" si="35"/>
        <v>35.135358771568036</v>
      </c>
      <c r="AL54" s="20">
        <f t="shared" si="4"/>
        <v>296.21458319381429</v>
      </c>
      <c r="AM54" s="59">
        <f t="shared" si="5"/>
        <v>589.54791652714766</v>
      </c>
      <c r="AN54" s="59">
        <f ca="1">AVERAGE(OFFSET($AM$3,0,0,'Données projet'!$E$10+1,1))-AVERAGE(OFFSET($H$3,0,0,'Données projet'!$E$10+1,1))</f>
        <v>179.44051550872138</v>
      </c>
      <c r="AO54" s="59">
        <f t="shared" si="36"/>
        <v>272.9500808380069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27.385430101009103</v>
      </c>
      <c r="AV54" s="21">
        <f>EXP(-LN(2)/25)*AV53+(1-EXP(-LN(2)/25))/(LN(2)/25)*Calculateur!AQ54*Calculateur!AS54*VLOOKUP('Données projet'!$B$10,Paramètres!$A$1:$I$89,3,0)*0.475*44/12</f>
        <v>69.791015906734216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97.176446007743323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165.48479999999992</v>
      </c>
      <c r="BF54" s="13">
        <f t="shared" si="37"/>
        <v>42.077190125964002</v>
      </c>
      <c r="BG54" s="20">
        <f t="shared" si="7"/>
        <v>361.5037994693871</v>
      </c>
      <c r="BH54" s="59">
        <f t="shared" si="8"/>
        <v>654.83713280272036</v>
      </c>
      <c r="BI54" s="59">
        <f ca="1">AVERAGE(OFFSET($BH$3,0,0,'Données projet'!$E$11+1,1))-AVERAGE(OFFSET($H$3,0,0,'Données projet'!$E$11+1,1))</f>
        <v>225.2323446080772</v>
      </c>
      <c r="BJ54" s="59">
        <f t="shared" si="38"/>
        <v>222.29030402759292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17.038250948188502</v>
      </c>
      <c r="BQ54" s="21">
        <f>EXP(-LN(2)/25)*BQ53+(1-EXP(-LN(2)/25))/(LN(2)/25)*Calculateur!BL54*Calculateur!BN54*VLOOKUP('Données projet'!$B$11,Paramètres!$A$1:$I$89,3,0)*0.475*44/12</f>
        <v>13.590756420592706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30.62900736878121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525.78461538461522</v>
      </c>
      <c r="O55" s="13">
        <f>N55*VLOOKUP('Données projet'!$B$9,Paramètres!$A$1:$I$89,3,0)*VLOOKUP('Données projet'!$B$9,Paramètres!$A$1:$I$89,5,0)</f>
        <v>293.91359999999992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278.5296012747549</v>
      </c>
      <c r="T55" s="59">
        <f t="shared" si="34"/>
        <v>370.55343097937077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72.173954452958057</v>
      </c>
      <c r="AA55" s="21">
        <f>EXP(-LN(2)/25)*AA54+(1-EXP(-LN(2)/25))/(LN(2)/25)*Calculateur!V55*Calculateur!X55*VLOOKUP('Données projet'!$B$9,Paramètres!$A$1:$I$89,3,0)*0.475*44/12</f>
        <v>21.714848194401569</v>
      </c>
      <c r="AB55" s="21">
        <f>EXP(-LN(2)/2)*AB54+(1-EXP(-LN(2)/2))/(LN(2)/2)*V55*Y55*VLOOKUP('Données projet'!$B$9,Paramètres!$A$1:$I$89,3,0)*0.475*44/12</f>
        <v>1.9159691475930605</v>
      </c>
      <c r="AC55" s="22">
        <f t="shared" si="3"/>
        <v>95.804771794952686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9.75</v>
      </c>
      <c r="AI55" s="13">
        <f>IF('Données projet'!$A$62&gt;35,AI54+AH55-AQ54,IF(A55&lt;'Données projet'!$A$62,$AF$205^A55,IF(A55='Données projet'!$A$62,'Données projet'!$B$62,AI54+AH55-AQ54)))</f>
        <v>226</v>
      </c>
      <c r="AJ55" s="13">
        <f>AI55*VLOOKUP('Données projet'!$B$10,Paramètres!$A$1:$I$89,3,0)*VLOOKUP('Données projet'!$B$10,Paramètres!$A$1:$I$89,5,0)</f>
        <v>141.024</v>
      </c>
      <c r="AK55" s="13">
        <f t="shared" si="35"/>
        <v>36.531489925882461</v>
      </c>
      <c r="AL55" s="20">
        <f t="shared" si="4"/>
        <v>309.24247828757859</v>
      </c>
      <c r="AM55" s="59">
        <f t="shared" si="5"/>
        <v>602.57581162091196</v>
      </c>
      <c r="AN55" s="59">
        <f ca="1">AVERAGE(OFFSET($AM$3,0,0,'Données projet'!$E$10+1,1))-AVERAGE(OFFSET($H$3,0,0,'Données projet'!$E$10+1,1))</f>
        <v>179.44051550872138</v>
      </c>
      <c r="AO55" s="59">
        <f t="shared" si="36"/>
        <v>272.9500808380069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26.848418520191345</v>
      </c>
      <c r="AV55" s="21">
        <f>EXP(-LN(2)/25)*AV54+(1-EXP(-LN(2)/25))/(LN(2)/25)*Calculateur!AQ55*Calculateur!AS55*VLOOKUP('Données projet'!$B$10,Paramètres!$A$1:$I$89,3,0)*0.475*44/12</f>
        <v>67.882576906614545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94.73099542680589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170.25839999999991</v>
      </c>
      <c r="BF55" s="13">
        <f t="shared" si="37"/>
        <v>43.147891472685018</v>
      </c>
      <c r="BG55" s="20">
        <f t="shared" si="7"/>
        <v>371.68262431492622</v>
      </c>
      <c r="BH55" s="59">
        <f t="shared" si="8"/>
        <v>665.01595764825947</v>
      </c>
      <c r="BI55" s="59">
        <f ca="1">AVERAGE(OFFSET($BH$3,0,0,'Données projet'!$E$11+1,1))-AVERAGE(OFFSET($H$3,0,0,'Données projet'!$E$11+1,1))</f>
        <v>225.2323446080772</v>
      </c>
      <c r="BJ55" s="59">
        <f t="shared" si="38"/>
        <v>222.29030402759292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16.704141239401448</v>
      </c>
      <c r="BQ55" s="21">
        <f>EXP(-LN(2)/25)*BQ54+(1-EXP(-LN(2)/25))/(LN(2)/25)*Calculateur!BL55*Calculateur!BN55*VLOOKUP('Données projet'!$B$11,Paramètres!$A$1:$I$89,3,0)*0.475*44/12</f>
        <v>13.219116471564782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29.923257710966229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546.29230769230753</v>
      </c>
      <c r="O56" s="13">
        <f>N56*VLOOKUP('Données projet'!$B$9,Paramètres!$A$1:$I$89,3,0)*VLOOKUP('Données projet'!$B$9,Paramètres!$A$1:$I$89,5,0)</f>
        <v>305.37739999999991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278.5296012747549</v>
      </c>
      <c r="T56" s="59">
        <f t="shared" si="34"/>
        <v>370.55343097937077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70.758667227900972</v>
      </c>
      <c r="AA56" s="21">
        <f>EXP(-LN(2)/25)*AA55+(1-EXP(-LN(2)/25))/(LN(2)/25)*Calculateur!V56*Calculateur!X56*VLOOKUP('Données projet'!$B$9,Paramètres!$A$1:$I$89,3,0)*0.475*44/12</f>
        <v>21.121054528591422</v>
      </c>
      <c r="AB56" s="21">
        <f>EXP(-LN(2)/2)*AB55+(1-EXP(-LN(2)/2))/(LN(2)/2)*V56*Y56*VLOOKUP('Données projet'!$B$9,Paramètres!$A$1:$I$89,3,0)*0.475*44/12</f>
        <v>1.3547947768072623</v>
      </c>
      <c r="AC56" s="22">
        <f t="shared" si="3"/>
        <v>93.234516533299654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9.75</v>
      </c>
      <c r="AI56" s="13">
        <f>IF('Données projet'!$A$62&gt;35,AI55+AH56-AQ55,IF(A56&lt;'Données projet'!$A$62,$AF$205^A56,IF(A56='Données projet'!$A$62,'Données projet'!$B$62,AI55+AH56-AQ55)))</f>
        <v>235.75</v>
      </c>
      <c r="AJ56" s="13">
        <f>AI56*VLOOKUP('Données projet'!$B$10,Paramètres!$A$1:$I$89,3,0)*VLOOKUP('Données projet'!$B$10,Paramètres!$A$1:$I$89,5,0)</f>
        <v>147.108</v>
      </c>
      <c r="AK56" s="13">
        <f t="shared" si="35"/>
        <v>37.920625436598897</v>
      </c>
      <c r="AL56" s="20">
        <f t="shared" si="4"/>
        <v>322.25818930207646</v>
      </c>
      <c r="AM56" s="59">
        <f t="shared" si="5"/>
        <v>615.59152263540977</v>
      </c>
      <c r="AN56" s="59">
        <f ca="1">AVERAGE(OFFSET($AM$3,0,0,'Données projet'!$E$10+1,1))-AVERAGE(OFFSET($H$3,0,0,'Données projet'!$E$10+1,1))</f>
        <v>179.44051550872138</v>
      </c>
      <c r="AO56" s="59">
        <f t="shared" si="36"/>
        <v>272.9500808380069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26.321937408928701</v>
      </c>
      <c r="AV56" s="21">
        <f>EXP(-LN(2)/25)*AV55+(1-EXP(-LN(2)/25))/(LN(2)/25)*Calculateur!AQ56*Calculateur!AS56*VLOOKUP('Données projet'!$B$10,Paramètres!$A$1:$I$89,3,0)*0.475*44/12</f>
        <v>66.026324271313598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92.348261680242302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175.03199999999993</v>
      </c>
      <c r="BF56" s="13">
        <f t="shared" si="37"/>
        <v>44.215103743191008</v>
      </c>
      <c r="BG56" s="20">
        <f t="shared" si="7"/>
        <v>381.85537235272426</v>
      </c>
      <c r="BH56" s="59">
        <f t="shared" si="8"/>
        <v>675.18870568605757</v>
      </c>
      <c r="BI56" s="59">
        <f ca="1">AVERAGE(OFFSET($BH$3,0,0,'Données projet'!$E$11+1,1))-AVERAGE(OFFSET($H$3,0,0,'Données projet'!$E$11+1,1))</f>
        <v>225.2323446080772</v>
      </c>
      <c r="BJ56" s="59">
        <f t="shared" si="38"/>
        <v>222.29030402759292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16.376583218216908</v>
      </c>
      <c r="BQ56" s="21">
        <f>EXP(-LN(2)/25)*BQ55+(1-EXP(-LN(2)/25))/(LN(2)/25)*Calculateur!BL56*Calculateur!BN56*VLOOKUP('Données projet'!$B$11,Paramètres!$A$1:$I$89,3,0)*0.475*44/12</f>
        <v>12.85763903648672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29.234222254703628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566.79999999999984</v>
      </c>
      <c r="O57" s="13">
        <f>N57*VLOOKUP('Données projet'!$B$9,Paramètres!$A$1:$I$89,3,0)*VLOOKUP('Données projet'!$B$9,Paramètres!$A$1:$I$89,5,0)</f>
        <v>316.8411999999999</v>
      </c>
      <c r="P57" s="13">
        <f t="shared" si="33"/>
        <v>74.695724902330795</v>
      </c>
      <c r="Q57" s="20">
        <f t="shared" si="53"/>
        <v>681.92681087155927</v>
      </c>
      <c r="R57" s="59">
        <f t="shared" si="0"/>
        <v>975.26014420489264</v>
      </c>
      <c r="S57" s="59">
        <f ca="1">AVERAGE(OFFSET($R$3,0,0,'Données projet'!$E$9+1,1))-AVERAGE(OFFSET($H$3,0,0,'Données projet'!$E$9+1,1))</f>
        <v>278.5296012747549</v>
      </c>
      <c r="T57" s="59">
        <f t="shared" si="34"/>
        <v>370.55343097937077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9.240000000000001E-2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231.19058838852931</v>
      </c>
      <c r="AA57" s="21">
        <f>EXP(-LN(2)/25)*AA56+(1-EXP(-LN(2)/25))/(LN(2)/25)*Calculateur!V57*Calculateur!X57*VLOOKUP('Données projet'!$B$9,Paramètres!$A$1:$I$89,3,0)*0.475*44/12</f>
        <v>59.227252728732921</v>
      </c>
      <c r="AB57" s="21">
        <f>EXP(-LN(2)/2)*AB56+(1-EXP(-LN(2)/2))/(LN(2)/2)*V57*Y57*VLOOKUP('Données projet'!$B$9,Paramètres!$A$1:$I$89,3,0)*0.475*44/12</f>
        <v>48.311379430966142</v>
      </c>
      <c r="AC57" s="22">
        <f t="shared" si="3"/>
        <v>338.7292205482284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9.75</v>
      </c>
      <c r="AI57" s="13">
        <f>IF('Données projet'!$A$62&gt;35,AI56+AH57-AQ56,IF(A57&lt;'Données projet'!$A$62,$AF$205^A57,IF(A57='Données projet'!$A$62,'Données projet'!$B$62,AI56+AH57-AQ56)))</f>
        <v>245.5</v>
      </c>
      <c r="AJ57" s="13">
        <f>AI57*VLOOKUP('Données projet'!$B$10,Paramètres!$A$1:$I$89,3,0)*VLOOKUP('Données projet'!$B$10,Paramètres!$A$1:$I$89,5,0)</f>
        <v>153.19199999999998</v>
      </c>
      <c r="AK57" s="13">
        <f t="shared" si="35"/>
        <v>39.303087713366921</v>
      </c>
      <c r="AL57" s="20">
        <f t="shared" si="4"/>
        <v>335.2622777674473</v>
      </c>
      <c r="AM57" s="59">
        <f t="shared" si="5"/>
        <v>628.59561110078062</v>
      </c>
      <c r="AN57" s="59">
        <f ca="1">AVERAGE(OFFSET($AM$3,0,0,'Données projet'!$E$10+1,1))-AVERAGE(OFFSET($H$3,0,0,'Données projet'!$E$10+1,1))</f>
        <v>179.44051550872138</v>
      </c>
      <c r="AO57" s="59">
        <f t="shared" si="36"/>
        <v>272.9500808380069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25.80578027113615</v>
      </c>
      <c r="AV57" s="21">
        <f>EXP(-LN(2)/25)*AV56+(1-EXP(-LN(2)/25))/(LN(2)/25)*Calculateur!AQ57*Calculateur!AS57*VLOOKUP('Données projet'!$B$10,Paramètres!$A$1:$I$89,3,0)*0.475*44/12</f>
        <v>64.220830961941033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90.026611233077176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179.80559999999991</v>
      </c>
      <c r="BF57" s="13">
        <f t="shared" si="37"/>
        <v>45.278933028529984</v>
      </c>
      <c r="BG57" s="20">
        <f t="shared" si="7"/>
        <v>392.02222835802286</v>
      </c>
      <c r="BH57" s="59">
        <f t="shared" si="8"/>
        <v>685.35556169135612</v>
      </c>
      <c r="BI57" s="59">
        <f ca="1">AVERAGE(OFFSET($BH$3,0,0,'Données projet'!$E$11+1,1))-AVERAGE(OFFSET($H$3,0,0,'Données projet'!$E$11+1,1))</f>
        <v>225.2323446080772</v>
      </c>
      <c r="BJ57" s="59">
        <f t="shared" si="38"/>
        <v>222.29030402759292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16.055448410037133</v>
      </c>
      <c r="BQ57" s="21">
        <f>EXP(-LN(2)/25)*BQ56+(1-EXP(-LN(2)/25))/(LN(2)/25)*Calculateur!BL57*Calculateur!BN57*VLOOKUP('Données projet'!$B$11,Paramètres!$A$1:$I$89,3,0)*0.475*44/12</f>
        <v>12.50604622088014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28.561494630917274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278.5296012747549</v>
      </c>
      <c r="T58" s="59">
        <f t="shared" si="34"/>
        <v>370.55343097937077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226.65708196256534</v>
      </c>
      <c r="AA58" s="21">
        <f>EXP(-LN(2)/25)*AA57+(1-EXP(-LN(2)/25))/(LN(2)/25)*Calculateur!V58*Calculateur!X58*VLOOKUP('Données projet'!$B$9,Paramètres!$A$1:$I$89,3,0)*0.475*44/12</f>
        <v>57.607680388239864</v>
      </c>
      <c r="AB58" s="21">
        <f>EXP(-LN(2)/2)*AB57+(1-EXP(-LN(2)/2))/(LN(2)/2)*V58*Y58*VLOOKUP('Données projet'!$B$9,Paramètres!$A$1:$I$89,3,0)*0.475*44/12</f>
        <v>34.161304004112452</v>
      </c>
      <c r="AC58" s="22">
        <f t="shared" si="3"/>
        <v>318.42606635491768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9.75</v>
      </c>
      <c r="AI58" s="13">
        <f>IF('Données projet'!$A$62&gt;35,AI57+AH58-AQ57,IF(A58&lt;'Données projet'!$A$62,$AF$205^A58,IF(A58='Données projet'!$A$62,'Données projet'!$B$62,AI57+AH58-AQ57)))</f>
        <v>255.25</v>
      </c>
      <c r="AJ58" s="13">
        <f>AI58*VLOOKUP('Données projet'!$B$10,Paramètres!$A$1:$I$89,3,0)*VLOOKUP('Données projet'!$B$10,Paramètres!$A$1:$I$89,5,0)</f>
        <v>159.27600000000001</v>
      </c>
      <c r="AK58" s="13">
        <f t="shared" si="35"/>
        <v>40.679172107249002</v>
      </c>
      <c r="AL58" s="20">
        <f t="shared" si="4"/>
        <v>348.25525808679203</v>
      </c>
      <c r="AM58" s="59">
        <f t="shared" si="5"/>
        <v>641.58859142012534</v>
      </c>
      <c r="AN58" s="59">
        <f ca="1">AVERAGE(OFFSET($AM$3,0,0,'Données projet'!$E$10+1,1))-AVERAGE(OFFSET($H$3,0,0,'Données projet'!$E$10+1,1))</f>
        <v>179.44051550872138</v>
      </c>
      <c r="AO58" s="59">
        <f t="shared" si="36"/>
        <v>272.9500808380069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25.299744659990942</v>
      </c>
      <c r="AV58" s="21">
        <f>EXP(-LN(2)/25)*AV57+(1-EXP(-LN(2)/25))/(LN(2)/25)*Calculateur!AQ58*Calculateur!AS58*VLOOKUP('Données projet'!$B$10,Paramètres!$A$1:$I$89,3,0)*0.475*44/12</f>
        <v>62.464708962060037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87.764453622050979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184.57919999999993</v>
      </c>
      <c r="BF58" s="13">
        <f t="shared" si="37"/>
        <v>46.339479465836618</v>
      </c>
      <c r="BG58" s="20">
        <f t="shared" si="7"/>
        <v>402.18336673633195</v>
      </c>
      <c r="BH58" s="59">
        <f t="shared" si="8"/>
        <v>695.51670006966526</v>
      </c>
      <c r="BI58" s="59">
        <f ca="1">AVERAGE(OFFSET($BH$3,0,0,'Données projet'!$E$11+1,1))-AVERAGE(OFFSET($H$3,0,0,'Données projet'!$E$11+1,1))</f>
        <v>225.2323446080772</v>
      </c>
      <c r="BJ58" s="59">
        <f t="shared" si="38"/>
        <v>222.29030402759292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0.40810000000000002</v>
      </c>
      <c r="BN58" s="16">
        <f>IF(ISNA(VLOOKUP(A58,'Données projet'!$A$87:$I$107,6,0)),0%,VLOOKUP(A58,'Données projet'!$A$87:$I$107,6,0)*VLOOKUP('Données projet'!$B$11,Paramètres!$A$1:$I$89,7,0))</f>
        <v>7.9500000000000001E-2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20.406687114381842</v>
      </c>
      <c r="BQ58" s="21">
        <f>EXP(-LN(2)/25)*BQ57+(1-EXP(-LN(2)/25))/(LN(2)/25)*Calculateur!BL58*Calculateur!BN58*VLOOKUP('Données projet'!$B$11,Paramètres!$A$1:$I$89,3,0)*0.475*44/12</f>
        <v>13.069464638658904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33.476151753040746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278.5296012747549</v>
      </c>
      <c r="T59" s="59">
        <f t="shared" si="34"/>
        <v>370.55343097937077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222.21247483244866</v>
      </c>
      <c r="AA59" s="21">
        <f>EXP(-LN(2)/25)*AA58+(1-EXP(-LN(2)/25))/(LN(2)/25)*Calculateur!V59*Calculateur!X59*VLOOKUP('Données projet'!$B$9,Paramètres!$A$1:$I$89,3,0)*0.475*44/12</f>
        <v>56.032395338567198</v>
      </c>
      <c r="AB59" s="21">
        <f>EXP(-LN(2)/2)*AB58+(1-EXP(-LN(2)/2))/(LN(2)/2)*V59*Y59*VLOOKUP('Données projet'!$B$9,Paramètres!$A$1:$I$89,3,0)*0.475*44/12</f>
        <v>24.155689715483074</v>
      </c>
      <c r="AC59" s="22">
        <f t="shared" si="3"/>
        <v>302.40055988649891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9.75</v>
      </c>
      <c r="AI59" s="13">
        <f>IF('Données projet'!$A$62&gt;35,AI58+AH59-AQ58,IF(A59&lt;'Données projet'!$A$62,$AF$205^A59,IF(A59='Données projet'!$A$62,'Données projet'!$B$62,AI58+AH59-AQ58)))</f>
        <v>265</v>
      </c>
      <c r="AJ59" s="13">
        <f>AI59*VLOOKUP('Données projet'!$B$10,Paramètres!$A$1:$I$89,3,0)*VLOOKUP('Données projet'!$B$10,Paramètres!$A$1:$I$89,5,0)</f>
        <v>165.35999999999999</v>
      </c>
      <c r="AK59" s="13">
        <f t="shared" si="35"/>
        <v>42.04915012784209</v>
      </c>
      <c r="AL59" s="20">
        <f t="shared" si="4"/>
        <v>361.2376031393249</v>
      </c>
      <c r="AM59" s="59">
        <f t="shared" si="5"/>
        <v>654.57093647265822</v>
      </c>
      <c r="AN59" s="59">
        <f ca="1">AVERAGE(OFFSET($AM$3,0,0,'Données projet'!$E$10+1,1))-AVERAGE(OFFSET($H$3,0,0,'Données projet'!$E$10+1,1))</f>
        <v>179.44051550872138</v>
      </c>
      <c r="AO59" s="59">
        <f t="shared" si="36"/>
        <v>272.9500808380069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24.803632098529047</v>
      </c>
      <c r="AV59" s="21">
        <f>EXP(-LN(2)/25)*AV58+(1-EXP(-LN(2)/25))/(LN(2)/25)*Calculateur!AQ59*Calculateur!AS59*VLOOKUP('Données projet'!$B$10,Paramètres!$A$1:$I$89,3,0)*0.475*44/12</f>
        <v>60.756608210616228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85.560240309145271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178.37351999999993</v>
      </c>
      <c r="BF59" s="13">
        <f t="shared" si="37"/>
        <v>44.960133388294842</v>
      </c>
      <c r="BG59" s="20">
        <f t="shared" si="7"/>
        <v>388.97277965128006</v>
      </c>
      <c r="BH59" s="59">
        <f t="shared" si="8"/>
        <v>682.30611298461338</v>
      </c>
      <c r="BI59" s="59">
        <f ca="1">AVERAGE(OFFSET($BH$3,0,0,'Données projet'!$E$11+1,1))-AVERAGE(OFFSET($H$3,0,0,'Données projet'!$E$11+1,1))</f>
        <v>225.2323446080772</v>
      </c>
      <c r="BJ59" s="59">
        <f t="shared" si="38"/>
        <v>222.29030402759292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20.006524426918929</v>
      </c>
      <c r="BQ59" s="21">
        <f>EXP(-LN(2)/25)*BQ58+(1-EXP(-LN(2)/25))/(LN(2)/25)*Calculateur!BL59*Calculateur!BN59*VLOOKUP('Données projet'!$B$11,Paramètres!$A$1:$I$89,3,0)*0.475*44/12</f>
        <v>12.712079440821501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32.718603867740427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278.5296012747549</v>
      </c>
      <c r="T60" s="59">
        <f t="shared" si="34"/>
        <v>370.55343097937077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217.8550237372109</v>
      </c>
      <c r="AA60" s="21">
        <f>EXP(-LN(2)/25)*AA59+(1-EXP(-LN(2)/25))/(LN(2)/25)*Calculateur!V60*Calculateur!X60*VLOOKUP('Données projet'!$B$9,Paramètres!$A$1:$I$89,3,0)*0.475*44/12</f>
        <v>54.500186541418472</v>
      </c>
      <c r="AB60" s="21">
        <f>EXP(-LN(2)/2)*AB59+(1-EXP(-LN(2)/2))/(LN(2)/2)*V60*Y60*VLOOKUP('Données projet'!$B$9,Paramètres!$A$1:$I$89,3,0)*0.475*44/12</f>
        <v>17.08065200205623</v>
      </c>
      <c r="AC60" s="22">
        <f t="shared" si="3"/>
        <v>289.43586228068563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9.75</v>
      </c>
      <c r="AI60" s="13">
        <f>IF('Données projet'!$A$62&gt;35,AI59+AH60-AQ59,IF(A60&lt;'Données projet'!$A$62,$AF$205^A60,IF(A60='Données projet'!$A$62,'Données projet'!$B$62,AI59+AH60-AQ59)))</f>
        <v>274.75</v>
      </c>
      <c r="AJ60" s="13">
        <f>AI60*VLOOKUP('Données projet'!$B$10,Paramètres!$A$1:$I$89,3,0)*VLOOKUP('Données projet'!$B$10,Paramètres!$A$1:$I$89,5,0)</f>
        <v>171.44399999999999</v>
      </c>
      <c r="AK60" s="13">
        <f t="shared" si="35"/>
        <v>43.413272173627242</v>
      </c>
      <c r="AL60" s="20">
        <f t="shared" si="4"/>
        <v>374.20974903573409</v>
      </c>
      <c r="AM60" s="59">
        <f t="shared" si="5"/>
        <v>667.54308236906741</v>
      </c>
      <c r="AN60" s="59">
        <f ca="1">AVERAGE(OFFSET($AM$3,0,0,'Données projet'!$E$10+1,1))-AVERAGE(OFFSET($H$3,0,0,'Données projet'!$E$10+1,1))</f>
        <v>179.44051550872138</v>
      </c>
      <c r="AO60" s="59">
        <f t="shared" si="36"/>
        <v>272.9500808380069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24.317248001798635</v>
      </c>
      <c r="AV60" s="21">
        <f>EXP(-LN(2)/25)*AV59+(1-EXP(-LN(2)/25))/(LN(2)/25)*Calculateur!AQ60*Calculateur!AS60*VLOOKUP('Données projet'!$B$10,Paramètres!$A$1:$I$89,3,0)*0.475*44/12</f>
        <v>59.095215564045766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83.412463565844405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182.51063999999988</v>
      </c>
      <c r="BF60" s="13">
        <f t="shared" si="37"/>
        <v>45.880306213791371</v>
      </c>
      <c r="BG60" s="20">
        <f t="shared" si="7"/>
        <v>397.78089798901971</v>
      </c>
      <c r="BH60" s="59">
        <f t="shared" si="8"/>
        <v>691.11423132235302</v>
      </c>
      <c r="BI60" s="59">
        <f ca="1">AVERAGE(OFFSET($BH$3,0,0,'Données projet'!$E$11+1,1))-AVERAGE(OFFSET($H$3,0,0,'Données projet'!$E$11+1,1))</f>
        <v>225.2323446080772</v>
      </c>
      <c r="BJ60" s="59">
        <f t="shared" si="38"/>
        <v>222.29030402759292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19.614208685682026</v>
      </c>
      <c r="BQ60" s="21">
        <f>EXP(-LN(2)/25)*BQ59+(1-EXP(-LN(2)/25))/(LN(2)/25)*Calculateur!BL60*Calculateur!BN60*VLOOKUP('Données projet'!$B$11,Paramètres!$A$1:$I$89,3,0)*0.475*44/12</f>
        <v>12.364466960013033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31.978675645695059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278.5296012747549</v>
      </c>
      <c r="T61" s="59">
        <f t="shared" si="34"/>
        <v>370.55343097937077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213.58301960016803</v>
      </c>
      <c r="AA61" s="21">
        <f>EXP(-LN(2)/25)*AA60+(1-EXP(-LN(2)/25))/(LN(2)/25)*Calculateur!V61*Calculateur!X61*VLOOKUP('Données projet'!$B$9,Paramètres!$A$1:$I$89,3,0)*0.475*44/12</f>
        <v>53.009876074403138</v>
      </c>
      <c r="AB61" s="21">
        <f>EXP(-LN(2)/2)*AB60+(1-EXP(-LN(2)/2))/(LN(2)/2)*V61*Y61*VLOOKUP('Données projet'!$B$9,Paramètres!$A$1:$I$89,3,0)*0.475*44/12</f>
        <v>12.077844857741541</v>
      </c>
      <c r="AC61" s="22">
        <f t="shared" si="3"/>
        <v>278.67074053231272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9.75</v>
      </c>
      <c r="AI61" s="13">
        <f>IF('Données projet'!$A$62&gt;35,AI60+AH61-AQ60,IF(A61&lt;'Données projet'!$A$62,$AF$205^A61,IF(A61='Données projet'!$A$62,'Données projet'!$B$62,AI60+AH61-AQ60)))</f>
        <v>284.5</v>
      </c>
      <c r="AJ61" s="13">
        <f>AI61*VLOOKUP('Données projet'!$B$10,Paramètres!$A$1:$I$89,3,0)*VLOOKUP('Données projet'!$B$10,Paramètres!$A$1:$I$89,5,0)</f>
        <v>177.52800000000002</v>
      </c>
      <c r="AK61" s="13">
        <f t="shared" si="35"/>
        <v>44.771769863863661</v>
      </c>
      <c r="AL61" s="20">
        <f t="shared" si="4"/>
        <v>387.17209917956257</v>
      </c>
      <c r="AM61" s="59">
        <f t="shared" si="5"/>
        <v>680.50543251289582</v>
      </c>
      <c r="AN61" s="59">
        <f ca="1">AVERAGE(OFFSET($AM$3,0,0,'Données projet'!$E$10+1,1))-AVERAGE(OFFSET($H$3,0,0,'Données projet'!$E$10+1,1))</f>
        <v>179.44051550872138</v>
      </c>
      <c r="AO61" s="59">
        <f t="shared" si="36"/>
        <v>272.9500808380069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23.840401600540101</v>
      </c>
      <c r="AV61" s="21">
        <f>EXP(-LN(2)/25)*AV60+(1-EXP(-LN(2)/25))/(LN(2)/25)*Calculateur!AQ61*Calculateur!AS61*VLOOKUP('Données projet'!$B$10,Paramètres!$A$1:$I$89,3,0)*0.475*44/12</f>
        <v>57.479253786764609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81.319655387304707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186.64775999999989</v>
      </c>
      <c r="BF61" s="13">
        <f t="shared" si="37"/>
        <v>46.79805411155214</v>
      </c>
      <c r="BG61" s="20">
        <f t="shared" si="7"/>
        <v>406.58479291095313</v>
      </c>
      <c r="BH61" s="59">
        <f t="shared" si="8"/>
        <v>699.91812624428644</v>
      </c>
      <c r="BI61" s="59">
        <f ca="1">AVERAGE(OFFSET($BH$3,0,0,'Données projet'!$E$11+1,1))-AVERAGE(OFFSET($H$3,0,0,'Données projet'!$E$11+1,1))</f>
        <v>225.2323446080772</v>
      </c>
      <c r="BJ61" s="59">
        <f t="shared" si="38"/>
        <v>222.29030402759292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19.229586016841804</v>
      </c>
      <c r="BQ61" s="21">
        <f>EXP(-LN(2)/25)*BQ60+(1-EXP(-LN(2)/25))/(LN(2)/25)*Calculateur!BL61*Calculateur!BN61*VLOOKUP('Données projet'!$B$11,Paramètres!$A$1:$I$89,3,0)*0.475*44/12</f>
        <v>12.026359960772419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31.255945977614225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278.5296012747549</v>
      </c>
      <c r="T62" s="59">
        <f t="shared" si="34"/>
        <v>370.55343097937077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209.39478685858731</v>
      </c>
      <c r="AA62" s="21">
        <f>EXP(-LN(2)/25)*AA61+(1-EXP(-LN(2)/25))/(LN(2)/25)*Calculateur!V62*Calculateur!X62*VLOOKUP('Données projet'!$B$9,Paramètres!$A$1:$I$89,3,0)*0.475*44/12</f>
        <v>51.560318225480358</v>
      </c>
      <c r="AB62" s="21">
        <f>EXP(-LN(2)/2)*AB61+(1-EXP(-LN(2)/2))/(LN(2)/2)*V62*Y62*VLOOKUP('Données projet'!$B$9,Paramètres!$A$1:$I$89,3,0)*0.475*44/12</f>
        <v>8.5403260010281166</v>
      </c>
      <c r="AC62" s="22">
        <f t="shared" si="3"/>
        <v>269.49543108509579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294.25</v>
      </c>
      <c r="AJ62" s="13">
        <f>AI62*VLOOKUP('Données projet'!$B$10,Paramètres!$A$1:$I$89,3,0)*VLOOKUP('Données projet'!$B$10,Paramètres!$A$1:$I$89,5,0)</f>
        <v>183.61199999999999</v>
      </c>
      <c r="AK62" s="13">
        <f t="shared" si="35"/>
        <v>46.124858041839339</v>
      </c>
      <c r="AL62" s="20">
        <f t="shared" si="4"/>
        <v>400.12502775620351</v>
      </c>
      <c r="AM62" s="59">
        <f t="shared" si="5"/>
        <v>693.45836108953677</v>
      </c>
      <c r="AN62" s="59">
        <f ca="1">AVERAGE(OFFSET($AM$3,0,0,'Données projet'!$E$10+1,1))-AVERAGE(OFFSET($H$3,0,0,'Données projet'!$E$10+1,1))</f>
        <v>179.44051550872138</v>
      </c>
      <c r="AO62" s="59">
        <f t="shared" si="36"/>
        <v>272.9500808380069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23.372905866362661</v>
      </c>
      <c r="AV62" s="21">
        <f>EXP(-LN(2)/25)*AV61+(1-EXP(-LN(2)/25))/(LN(2)/25)*Calculateur!AQ62*Calculateur!AS62*VLOOKUP('Données projet'!$B$10,Paramètres!$A$1:$I$89,3,0)*0.475*44/12</f>
        <v>55.907480569262944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79.280386435625601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190.78487999999987</v>
      </c>
      <c r="BF62" s="13">
        <f t="shared" si="37"/>
        <v>47.713437020051622</v>
      </c>
      <c r="BG62" s="20">
        <f t="shared" si="7"/>
        <v>415.384568809923</v>
      </c>
      <c r="BH62" s="59">
        <f t="shared" si="8"/>
        <v>708.71790214325631</v>
      </c>
      <c r="BI62" s="59">
        <f ca="1">AVERAGE(OFFSET($BH$3,0,0,'Données projet'!$E$11+1,1))-AVERAGE(OFFSET($H$3,0,0,'Données projet'!$E$11+1,1))</f>
        <v>225.2323446080772</v>
      </c>
      <c r="BJ62" s="59">
        <f t="shared" si="38"/>
        <v>222.29030402759292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18.852505563940873</v>
      </c>
      <c r="BQ62" s="21">
        <f>EXP(-LN(2)/25)*BQ61+(1-EXP(-LN(2)/25))/(LN(2)/25)*Calculateur!BL62*Calculateur!BN62*VLOOKUP('Données projet'!$B$11,Paramètres!$A$1:$I$89,3,0)*0.475*44/12</f>
        <v>11.697498515206314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30.550004079147186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278.5296012747549</v>
      </c>
      <c r="T63" s="59">
        <f t="shared" si="34"/>
        <v>370.55343097937077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205.28868280649928</v>
      </c>
      <c r="AA63" s="21">
        <f>EXP(-LN(2)/25)*AA62+(1-EXP(-LN(2)/25))/(LN(2)/25)*Calculateur!V63*Calculateur!X63*VLOOKUP('Données projet'!$B$9,Paramètres!$A$1:$I$89,3,0)*0.475*44/12</f>
        <v>50.150398612165304</v>
      </c>
      <c r="AB63" s="21">
        <f>EXP(-LN(2)/2)*AB62+(1-EXP(-LN(2)/2))/(LN(2)/2)*V63*Y63*VLOOKUP('Données projet'!$B$9,Paramètres!$A$1:$I$89,3,0)*0.475*44/12</f>
        <v>6.0389224288707712</v>
      </c>
      <c r="AC63" s="22">
        <f t="shared" si="3"/>
        <v>261.47800384753538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304</v>
      </c>
      <c r="AG63" s="12">
        <f>VLOOKUP(A63,'Données projet'!$A$61:$I$81,9,0)</f>
        <v>9.75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304</v>
      </c>
      <c r="AJ63" s="13">
        <f>AI63*VLOOKUP('Données projet'!$B$10,Paramètres!$A$1:$I$89,3,0)*VLOOKUP('Données projet'!$B$10,Paramètres!$A$1:$I$89,5,0)</f>
        <v>189.696</v>
      </c>
      <c r="AK63" s="13">
        <f t="shared" si="35"/>
        <v>47.472736505152469</v>
      </c>
      <c r="AL63" s="20">
        <f t="shared" si="4"/>
        <v>413.06888274647389</v>
      </c>
      <c r="AM63" s="59">
        <f t="shared" si="5"/>
        <v>706.4022160798072</v>
      </c>
      <c r="AN63" s="59">
        <f ca="1">AVERAGE(OFFSET($AM$3,0,0,'Données projet'!$E$10+1,1))-AVERAGE(OFFSET($H$3,0,0,'Données projet'!$E$10+1,1))</f>
        <v>179.44051550872138</v>
      </c>
      <c r="AO63" s="59">
        <f t="shared" si="36"/>
        <v>272.9500808380069</v>
      </c>
      <c r="AP63" s="15" t="str">
        <f>IF(ISNA(VLOOKUP(A63,'Données projet'!$A$61:$I$81,3,0)),0,VLOOKUP(A63,'Données projet'!$A$61:$I$81,3,0))</f>
        <v>CR</v>
      </c>
      <c r="AQ63" s="15">
        <f>IF(ISNA(VLOOKUP(A63,'Données projet'!$A$61:$I$81,4,0)),0,VLOOKUP(A63,'Données projet'!$A$61:$I$81,4,0))</f>
        <v>304</v>
      </c>
      <c r="AR63" s="16">
        <f>IF(ISNA(VLOOKUP(A63,'Données projet'!$A$61:$I$81,5,0)),0%,VLOOKUP(A63,'Données projet'!$A$61:$I$81,5,0)*VLOOKUP('Données projet'!$B$10,Paramètres!$A$1:$I$89,7,0))</f>
        <v>0.24</v>
      </c>
      <c r="AS63" s="16">
        <f>IF(ISNA(VLOOKUP(A63,'Données projet'!$A$61:$I$81,6,0)),0%,VLOOKUP(A63,'Données projet'!$A$61:$I$81,6,0)*VLOOKUP('Données projet'!$B$10,Paramètres!$A$1:$I$89,7,0))</f>
        <v>0.36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83.309130463762358</v>
      </c>
      <c r="AV63" s="21">
        <f>EXP(-LN(2)/25)*AV62+(1-EXP(-LN(2)/25))/(LN(2)/25)*Calculateur!AQ63*Calculateur!AS63*VLOOKUP('Données projet'!$B$10,Paramètres!$A$1:$I$89,3,0)*0.475*44/12</f>
        <v>144.61382256002648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227.92295302378884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194.92199999999988</v>
      </c>
      <c r="BF63" s="13">
        <f t="shared" si="37"/>
        <v>48.626512129794925</v>
      </c>
      <c r="BG63" s="20">
        <f t="shared" si="7"/>
        <v>424.18032529272591</v>
      </c>
      <c r="BH63" s="59">
        <f t="shared" si="8"/>
        <v>717.51365862605917</v>
      </c>
      <c r="BI63" s="59">
        <f ca="1">AVERAGE(OFFSET($BH$3,0,0,'Données projet'!$E$11+1,1))-AVERAGE(OFFSET($H$3,0,0,'Données projet'!$E$11+1,1))</f>
        <v>225.2323446080772</v>
      </c>
      <c r="BJ63" s="59">
        <f t="shared" si="38"/>
        <v>222.29030402759292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0.43990000000000001</v>
      </c>
      <c r="BN63" s="16">
        <f>IF(ISNA(VLOOKUP(A63,'Données projet'!$A$87:$I$107,6,0)),0%,VLOOKUP(A63,'Données projet'!$A$87:$I$107,6,0)*VLOOKUP('Données projet'!$B$11,Paramètres!$A$1:$I$89,7,0))</f>
        <v>4.24E-2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23.125588609334091</v>
      </c>
      <c r="BQ63" s="21">
        <f>EXP(-LN(2)/25)*BQ62+(1-EXP(-LN(2)/25))/(LN(2)/25)*Calculateur!BL63*Calculateur!BN63*VLOOKUP('Données projet'!$B$11,Paramètres!$A$1:$I$89,3,0)*0.475*44/12</f>
        <v>11.823363666229437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34.948952275563528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278.5296012747549</v>
      </c>
      <c r="T64" s="59">
        <f t="shared" si="34"/>
        <v>370.55343097937077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201.26309695039652</v>
      </c>
      <c r="AA64" s="21">
        <f>EXP(-LN(2)/25)*AA63+(1-EXP(-LN(2)/25))/(LN(2)/25)*Calculateur!V64*Calculateur!X64*VLOOKUP('Données projet'!$B$9,Paramètres!$A$1:$I$89,3,0)*0.475*44/12</f>
        <v>48.779033324820801</v>
      </c>
      <c r="AB64" s="21">
        <f>EXP(-LN(2)/2)*AB63+(1-EXP(-LN(2)/2))/(LN(2)/2)*V64*Y64*VLOOKUP('Données projet'!$B$9,Paramètres!$A$1:$I$89,3,0)*0.475*44/12</f>
        <v>4.2701630005140592</v>
      </c>
      <c r="AC64" s="22">
        <f t="shared" si="3"/>
        <v>254.31229327573138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179.44051550872138</v>
      </c>
      <c r="AO64" s="59">
        <f t="shared" si="36"/>
        <v>272.9500808380069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81.675489228920142</v>
      </c>
      <c r="AV64" s="21">
        <f>EXP(-LN(2)/25)*AV63+(1-EXP(-LN(2)/25))/(LN(2)/25)*Calculateur!AQ64*Calculateur!AS64*VLOOKUP('Données projet'!$B$10,Paramètres!$A$1:$I$89,3,0)*0.475*44/12</f>
        <v>140.65934997721214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222.3348392061323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188.87543999999988</v>
      </c>
      <c r="BF64" s="13">
        <f t="shared" si="37"/>
        <v>47.291242769027726</v>
      </c>
      <c r="BG64" s="20">
        <f t="shared" si="7"/>
        <v>411.32363915605634</v>
      </c>
      <c r="BH64" s="59">
        <f t="shared" si="8"/>
        <v>704.65697248938966</v>
      </c>
      <c r="BI64" s="59">
        <f ca="1">AVERAGE(OFFSET($BH$3,0,0,'Données projet'!$E$11+1,1))-AVERAGE(OFFSET($H$3,0,0,'Données projet'!$E$11+1,1))</f>
        <v>225.2323446080772</v>
      </c>
      <c r="BJ64" s="59">
        <f t="shared" si="38"/>
        <v>222.29030402759292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22.672109921921326</v>
      </c>
      <c r="BQ64" s="21">
        <f>EXP(-LN(2)/25)*BQ63+(1-EXP(-LN(2)/25))/(LN(2)/25)*Calculateur!BL64*Calculateur!BN64*VLOOKUP('Données projet'!$B$11,Paramètres!$A$1:$I$89,3,0)*0.475*44/12</f>
        <v>11.500053165012719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34.172163086934049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278.5296012747549</v>
      </c>
      <c r="T65" s="59">
        <f t="shared" si="34"/>
        <v>370.55343097937077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197.31645037756701</v>
      </c>
      <c r="AA65" s="21">
        <f>EXP(-LN(2)/25)*AA64+(1-EXP(-LN(2)/25))/(LN(2)/25)*Calculateur!V65*Calculateur!X65*VLOOKUP('Données projet'!$B$9,Paramètres!$A$1:$I$89,3,0)*0.475*44/12</f>
        <v>47.445168093375699</v>
      </c>
      <c r="AB65" s="21">
        <f>EXP(-LN(2)/2)*AB64+(1-EXP(-LN(2)/2))/(LN(2)/2)*V65*Y65*VLOOKUP('Données projet'!$B$9,Paramètres!$A$1:$I$89,3,0)*0.475*44/12</f>
        <v>3.0194612144353861</v>
      </c>
      <c r="AC65" s="22">
        <f t="shared" si="3"/>
        <v>247.7810796853781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179.44051550872138</v>
      </c>
      <c r="AO65" s="59">
        <f t="shared" si="36"/>
        <v>272.9500808380069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80.07388270227041</v>
      </c>
      <c r="AV65" s="21">
        <f>EXP(-LN(2)/25)*AV64+(1-EXP(-LN(2)/25))/(LN(2)/25)*Calculateur!AQ65*Calculateur!AS65*VLOOKUP('Données projet'!$B$10,Paramètres!$A$1:$I$89,3,0)*0.475*44/12</f>
        <v>136.81301265513156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216.88689535740195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192.37607999999989</v>
      </c>
      <c r="BF65" s="13">
        <f t="shared" si="37"/>
        <v>48.064889828485896</v>
      </c>
      <c r="BG65" s="20">
        <f t="shared" si="7"/>
        <v>418.76802245127936</v>
      </c>
      <c r="BH65" s="59">
        <f t="shared" si="8"/>
        <v>712.10135578461268</v>
      </c>
      <c r="BI65" s="59">
        <f ca="1">AVERAGE(OFFSET($BH$3,0,0,'Données projet'!$E$11+1,1))-AVERAGE(OFFSET($H$3,0,0,'Données projet'!$E$11+1,1))</f>
        <v>225.2323446080772</v>
      </c>
      <c r="BJ65" s="59">
        <f t="shared" si="38"/>
        <v>222.29030402759292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22.227523674974037</v>
      </c>
      <c r="BQ65" s="21">
        <f>EXP(-LN(2)/25)*BQ64+(1-EXP(-LN(2)/25))/(LN(2)/25)*Calculateur!BL65*Calculateur!BN65*VLOOKUP('Données projet'!$B$11,Paramètres!$A$1:$I$89,3,0)*0.475*44/12</f>
        <v>11.185583606453934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33.413107281427969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278.5296012747549</v>
      </c>
      <c r="T66" s="59">
        <f t="shared" si="34"/>
        <v>370.55343097937077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193.44719513681397</v>
      </c>
      <c r="AA66" s="21">
        <f>EXP(-LN(2)/25)*AA65+(1-EXP(-LN(2)/25))/(LN(2)/25)*Calculateur!V66*Calculateur!X66*VLOOKUP('Données projet'!$B$9,Paramètres!$A$1:$I$89,3,0)*0.475*44/12</f>
        <v>46.14777747682939</v>
      </c>
      <c r="AB66" s="21">
        <f>EXP(-LN(2)/2)*AB65+(1-EXP(-LN(2)/2))/(LN(2)/2)*V66*Y66*VLOOKUP('Données projet'!$B$9,Paramètres!$A$1:$I$89,3,0)*0.475*44/12</f>
        <v>2.1350815002570296</v>
      </c>
      <c r="AC66" s="22">
        <f t="shared" si="3"/>
        <v>241.73005411390039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179.44051550872138</v>
      </c>
      <c r="AO66" s="59">
        <f t="shared" si="36"/>
        <v>272.9500808380069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78.50368270272476</v>
      </c>
      <c r="AV66" s="21">
        <f>EXP(-LN(2)/25)*AV65+(1-EXP(-LN(2)/25))/(LN(2)/25)*Calculateur!AQ66*Calculateur!AS66*VLOOKUP('Données projet'!$B$10,Paramètres!$A$1:$I$89,3,0)*0.475*44/12</f>
        <v>133.07185362939333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211.57553633211808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195.87671999999989</v>
      </c>
      <c r="BF66" s="13">
        <f t="shared" si="37"/>
        <v>48.836899853879942</v>
      </c>
      <c r="BG66" s="20">
        <f t="shared" si="7"/>
        <v>426.20955457884071</v>
      </c>
      <c r="BH66" s="59">
        <f t="shared" si="8"/>
        <v>719.54288791217402</v>
      </c>
      <c r="BI66" s="59">
        <f ca="1">AVERAGE(OFFSET($BH$3,0,0,'Données projet'!$E$11+1,1))-AVERAGE(OFFSET($H$3,0,0,'Données projet'!$E$11+1,1))</f>
        <v>225.2323446080772</v>
      </c>
      <c r="BJ66" s="59">
        <f t="shared" si="38"/>
        <v>222.29030402759292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21.791655493158551</v>
      </c>
      <c r="BQ66" s="21">
        <f>EXP(-LN(2)/25)*BQ65+(1-EXP(-LN(2)/25))/(LN(2)/25)*Calculateur!BL66*Calculateur!BN66*VLOOKUP('Données projet'!$B$11,Paramètres!$A$1:$I$89,3,0)*0.475*44/12</f>
        <v>10.879713234511174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32.671368727669723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278.5296012747549</v>
      </c>
      <c r="T67" s="59">
        <f t="shared" si="34"/>
        <v>370.55343097937077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189.65381363131942</v>
      </c>
      <c r="AA67" s="21">
        <f>EXP(-LN(2)/25)*AA66+(1-EXP(-LN(2)/25))/(LN(2)/25)*Calculateur!V67*Calculateur!X67*VLOOKUP('Données projet'!$B$9,Paramètres!$A$1:$I$89,3,0)*0.475*44/12</f>
        <v>44.885864074919347</v>
      </c>
      <c r="AB67" s="21">
        <f>EXP(-LN(2)/2)*AB66+(1-EXP(-LN(2)/2))/(LN(2)/2)*V67*Y67*VLOOKUP('Données projet'!$B$9,Paramètres!$A$1:$I$89,3,0)*0.475*44/12</f>
        <v>1.509730607217693</v>
      </c>
      <c r="AC67" s="22">
        <f t="shared" si="3"/>
        <v>236.04940831345647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179.44051550872138</v>
      </c>
      <c r="AO67" s="59">
        <f t="shared" si="36"/>
        <v>272.9500808380069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76.964273367442772</v>
      </c>
      <c r="AV67" s="21">
        <f>EXP(-LN(2)/25)*AV66+(1-EXP(-LN(2)/25))/(LN(2)/25)*Calculateur!AQ67*Calculateur!AS67*VLOOKUP('Données projet'!$B$10,Paramètres!$A$1:$I$89,3,0)*0.475*44/12</f>
        <v>129.43299679395292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206.39727016139568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199.3773599999999</v>
      </c>
      <c r="BF67" s="13">
        <f t="shared" si="37"/>
        <v>49.607305476717762</v>
      </c>
      <c r="BG67" s="20">
        <f t="shared" si="7"/>
        <v>433.64829237194994</v>
      </c>
      <c r="BH67" s="59">
        <f t="shared" si="8"/>
        <v>726.98162570528325</v>
      </c>
      <c r="BI67" s="59">
        <f ca="1">AVERAGE(OFFSET($BH$3,0,0,'Données projet'!$E$11+1,1))-AVERAGE(OFFSET($H$3,0,0,'Données projet'!$E$11+1,1))</f>
        <v>225.2323446080772</v>
      </c>
      <c r="BJ67" s="59">
        <f t="shared" si="38"/>
        <v>222.29030402759292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21.364334420535126</v>
      </c>
      <c r="BQ67" s="21">
        <f>EXP(-LN(2)/25)*BQ66+(1-EXP(-LN(2)/25))/(LN(2)/25)*Calculateur!BL67*Calculateur!BN67*VLOOKUP('Données projet'!$B$11,Paramètres!$A$1:$I$89,3,0)*0.475*44/12</f>
        <v>10.582206903974212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31.94654132450934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278.5296012747549</v>
      </c>
      <c r="T68" s="59">
        <f t="shared" si="34"/>
        <v>370.55343097937077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185.93481802341336</v>
      </c>
      <c r="AA68" s="21">
        <f>EXP(-LN(2)/25)*AA67+(1-EXP(-LN(2)/25))/(LN(2)/25)*Calculateur!V68*Calculateur!X68*VLOOKUP('Données projet'!$B$9,Paramètres!$A$1:$I$89,3,0)*0.475*44/12</f>
        <v>43.658457761345673</v>
      </c>
      <c r="AB68" s="21">
        <f>EXP(-LN(2)/2)*AB67+(1-EXP(-LN(2)/2))/(LN(2)/2)*V68*Y68*VLOOKUP('Données projet'!$B$9,Paramètres!$A$1:$I$89,3,0)*0.475*44/12</f>
        <v>1.0675407501285148</v>
      </c>
      <c r="AC68" s="22">
        <f t="shared" ref="AC68:AC131" si="57">SUM(Z68:AB68)</f>
        <v>230.66081653488754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179.44051550872138</v>
      </c>
      <c r="AO68" s="59">
        <f t="shared" si="36"/>
        <v>272.9500808380069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75.455050910278686</v>
      </c>
      <c r="AV68" s="21">
        <f>EXP(-LN(2)/25)*AV67+(1-EXP(-LN(2)/25))/(LN(2)/25)*Calculateur!AQ68*Calculateur!AS68*VLOOKUP('Données projet'!$B$10,Paramètres!$A$1:$I$89,3,0)*0.475*44/12</f>
        <v>125.89364469003681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201.34869560031549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202.8779999999999</v>
      </c>
      <c r="BF68" s="13">
        <f t="shared" si="37"/>
        <v>50.376138116990084</v>
      </c>
      <c r="BG68" s="20">
        <f t="shared" ref="BG68:BG131" si="61">(BE68+BF68)*0.475*44/12</f>
        <v>441.08429055375751</v>
      </c>
      <c r="BH68" s="59">
        <f t="shared" ref="BH68:BH131" si="62">BG68+(AY68+AZ68)*44/12</f>
        <v>734.41762388709083</v>
      </c>
      <c r="BI68" s="59">
        <f ca="1">AVERAGE(OFFSET($BH$3,0,0,'Données projet'!$E$11+1,1))-AVERAGE(OFFSET($H$3,0,0,'Données projet'!$E$11+1,1))</f>
        <v>225.2323446080772</v>
      </c>
      <c r="BJ68" s="59">
        <f t="shared" si="38"/>
        <v>222.29030402759292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0.43459999999999999</v>
      </c>
      <c r="BN68" s="16">
        <f>IF(ISNA(VLOOKUP(A68,'Données projet'!$A$87:$I$107,6,0)),0%,VLOOKUP(A68,'Données projet'!$A$87:$I$107,6,0)*VLOOKUP('Données projet'!$B$11,Paramètres!$A$1:$I$89,7,0))</f>
        <v>4.7699999999999999E-2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25.149989039157767</v>
      </c>
      <c r="BQ68" s="21">
        <f>EXP(-LN(2)/25)*BQ67+(1-EXP(-LN(2)/25))/(LN(2)/25)*Calculateur!BL68*Calculateur!BN68*VLOOKUP('Données projet'!$B$11,Paramètres!$A$1:$I$89,3,0)*0.475*44/12</f>
        <v>10.75249894597793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35.902487985135693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278.5296012747549</v>
      </c>
      <c r="T69" s="59">
        <f t="shared" ref="T69:T132" si="88">$T$3</f>
        <v>370.55343097937077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182.288749651015</v>
      </c>
      <c r="AA69" s="21">
        <f>EXP(-LN(2)/25)*AA68+(1-EXP(-LN(2)/25))/(LN(2)/25)*Calculateur!V69*Calculateur!X69*VLOOKUP('Données projet'!$B$9,Paramètres!$A$1:$I$89,3,0)*0.475*44/12</f>
        <v>42.464614937963162</v>
      </c>
      <c r="AB69" s="21">
        <f>EXP(-LN(2)/2)*AB68+(1-EXP(-LN(2)/2))/(LN(2)/2)*V69*Y69*VLOOKUP('Données projet'!$B$9,Paramètres!$A$1:$I$89,3,0)*0.475*44/12</f>
        <v>0.75486530360884652</v>
      </c>
      <c r="AC69" s="22">
        <f t="shared" si="57"/>
        <v>225.50822989258702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179.44051550872138</v>
      </c>
      <c r="AO69" s="59">
        <f t="shared" ref="AO69:AO132" si="90">$AO$3</f>
        <v>272.9500808380069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73.975423384964785</v>
      </c>
      <c r="AV69" s="21">
        <f>EXP(-LN(2)/25)*AV68+(1-EXP(-LN(2)/25))/(LN(2)/25)*Calculateur!AQ69*Calculateur!AS69*VLOOKUP('Données projet'!$B$10,Paramètres!$A$1:$I$89,3,0)*0.475*44/12</f>
        <v>122.45107635552871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196.42649974049351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197.14967999999988</v>
      </c>
      <c r="BF69" s="13">
        <f t="shared" ref="BF69:BF132" si="91">EXP(-1.0587+0.8836*LN(BE69)+0.284)</f>
        <v>49.11723130862363</v>
      </c>
      <c r="BG69" s="20">
        <f t="shared" si="61"/>
        <v>428.91487052918592</v>
      </c>
      <c r="BH69" s="59">
        <f t="shared" si="62"/>
        <v>722.24820386251918</v>
      </c>
      <c r="BI69" s="59">
        <f ca="1">AVERAGE(OFFSET($BH$3,0,0,'Données projet'!$E$11+1,1))-AVERAGE(OFFSET($H$3,0,0,'Données projet'!$E$11+1,1))</f>
        <v>225.2323446080772</v>
      </c>
      <c r="BJ69" s="59">
        <f t="shared" ref="BJ69:BJ132" si="92">$BJ$3</f>
        <v>222.29030402759292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24.656813094078501</v>
      </c>
      <c r="BQ69" s="21">
        <f>EXP(-LN(2)/25)*BQ68+(1-EXP(-LN(2)/25))/(LN(2)/25)*Calculateur!BL69*Calculateur!BN69*VLOOKUP('Données projet'!$B$11,Paramètres!$A$1:$I$89,3,0)*0.475*44/12</f>
        <v>10.458471296850819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35.115284390929318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278.5296012747549</v>
      </c>
      <c r="T70" s="59">
        <f t="shared" si="88"/>
        <v>370.55343097937077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178.71417845551724</v>
      </c>
      <c r="AA70" s="21">
        <f>EXP(-LN(2)/25)*AA69+(1-EXP(-LN(2)/25))/(LN(2)/25)*Calculateur!V70*Calculateur!X70*VLOOKUP('Données projet'!$B$9,Paramètres!$A$1:$I$89,3,0)*0.475*44/12</f>
        <v>41.303417809367517</v>
      </c>
      <c r="AB70" s="21">
        <f>EXP(-LN(2)/2)*AB69+(1-EXP(-LN(2)/2))/(LN(2)/2)*V70*Y70*VLOOKUP('Données projet'!$B$9,Paramètres!$A$1:$I$89,3,0)*0.475*44/12</f>
        <v>0.5337703750642574</v>
      </c>
      <c r="AC70" s="22">
        <f t="shared" si="57"/>
        <v>220.55136663994901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179.44051550872138</v>
      </c>
      <c r="AO70" s="59">
        <f t="shared" si="90"/>
        <v>272.9500808380069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72.52481045293861</v>
      </c>
      <c r="AV70" s="21">
        <f>EXP(-LN(2)/25)*AV69+(1-EXP(-LN(2)/25))/(LN(2)/25)*Calculateur!AQ70*Calculateur!AS70*VLOOKUP('Données projet'!$B$10,Paramètres!$A$1:$I$89,3,0)*0.475*44/12</f>
        <v>119.10264523316454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191.62745568610313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200.17295999999988</v>
      </c>
      <c r="BF70" s="13">
        <f t="shared" si="91"/>
        <v>49.782177185855986</v>
      </c>
      <c r="BG70" s="20">
        <f t="shared" si="61"/>
        <v>435.33853059869892</v>
      </c>
      <c r="BH70" s="59">
        <f t="shared" si="62"/>
        <v>728.67186393203224</v>
      </c>
      <c r="BI70" s="59">
        <f ca="1">AVERAGE(OFFSET($BH$3,0,0,'Données projet'!$E$11+1,1))-AVERAGE(OFFSET($H$3,0,0,'Données projet'!$E$11+1,1))</f>
        <v>225.2323446080772</v>
      </c>
      <c r="BJ70" s="59">
        <f t="shared" si="92"/>
        <v>222.29030402759292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24.173308028474615</v>
      </c>
      <c r="BQ70" s="21">
        <f>EXP(-LN(2)/25)*BQ69+(1-EXP(-LN(2)/25))/(LN(2)/25)*Calculateur!BL70*Calculateur!BN70*VLOOKUP('Données projet'!$B$11,Paramètres!$A$1:$I$89,3,0)*0.475*44/12</f>
        <v>10.17248384925133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34.345791877725944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278.5296012747549</v>
      </c>
      <c r="T71" s="59">
        <f t="shared" si="88"/>
        <v>370.55343097937077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175.20970242089007</v>
      </c>
      <c r="AA71" s="21">
        <f>EXP(-LN(2)/25)*AA70+(1-EXP(-LN(2)/25))/(LN(2)/25)*Calculateur!V71*Calculateur!X71*VLOOKUP('Données projet'!$B$9,Paramètres!$A$1:$I$89,3,0)*0.475*44/12</f>
        <v>40.173973677318017</v>
      </c>
      <c r="AB71" s="21">
        <f>EXP(-LN(2)/2)*AB70+(1-EXP(-LN(2)/2))/(LN(2)/2)*V71*Y71*VLOOKUP('Données projet'!$B$9,Paramètres!$A$1:$I$89,3,0)*0.475*44/12</f>
        <v>0.37743265180442326</v>
      </c>
      <c r="AC71" s="22">
        <f t="shared" si="57"/>
        <v>215.76110875001248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179.44051550872138</v>
      </c>
      <c r="AO71" s="59">
        <f t="shared" si="90"/>
        <v>272.9500808380069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71.102643155722944</v>
      </c>
      <c r="AV71" s="21">
        <f>EXP(-LN(2)/25)*AV70+(1-EXP(-LN(2)/25))/(LN(2)/25)*Calculateur!AQ71*Calculateur!AS71*VLOOKUP('Données projet'!$B$10,Paramètres!$A$1:$I$89,3,0)*0.475*44/12</f>
        <v>115.84577713592775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186.94842029165068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203.1962399999999</v>
      </c>
      <c r="BF71" s="13">
        <f t="shared" si="91"/>
        <v>50.445955049216174</v>
      </c>
      <c r="BG71" s="20">
        <f t="shared" si="61"/>
        <v>441.76015637738465</v>
      </c>
      <c r="BH71" s="59">
        <f t="shared" si="62"/>
        <v>735.0934897107179</v>
      </c>
      <c r="BI71" s="59">
        <f ca="1">AVERAGE(OFFSET($BH$3,0,0,'Données projet'!$E$11+1,1))-AVERAGE(OFFSET($H$3,0,0,'Données projet'!$E$11+1,1))</f>
        <v>225.2323446080772</v>
      </c>
      <c r="BJ71" s="59">
        <f t="shared" si="92"/>
        <v>222.29030402759292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23.699284202298252</v>
      </c>
      <c r="BQ71" s="21">
        <f>EXP(-LN(2)/25)*BQ70+(1-EXP(-LN(2)/25))/(LN(2)/25)*Calculateur!BL71*Calculateur!BN71*VLOOKUP('Données projet'!$B$11,Paramètres!$A$1:$I$89,3,0)*0.475*44/12</f>
        <v>9.8943167434458772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33.593600945744129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278.5296012747549</v>
      </c>
      <c r="T72" s="59">
        <f t="shared" si="88"/>
        <v>370.55343097937077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171.77394702378263</v>
      </c>
      <c r="AA72" s="21">
        <f>EXP(-LN(2)/25)*AA71+(1-EXP(-LN(2)/25))/(LN(2)/25)*Calculateur!V72*Calculateur!X72*VLOOKUP('Données projet'!$B$9,Paramètres!$A$1:$I$89,3,0)*0.475*44/12</f>
        <v>39.075414254454301</v>
      </c>
      <c r="AB72" s="21">
        <f>EXP(-LN(2)/2)*AB71+(1-EXP(-LN(2)/2))/(LN(2)/2)*V72*Y72*VLOOKUP('Données projet'!$B$9,Paramètres!$A$1:$I$89,3,0)*0.475*44/12</f>
        <v>0.2668851875321287</v>
      </c>
      <c r="AC72" s="22">
        <f t="shared" si="57"/>
        <v>211.11624646576905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179.44051550872138</v>
      </c>
      <c r="AO72" s="59">
        <f t="shared" si="90"/>
        <v>272.9500808380069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69.708363691769279</v>
      </c>
      <c r="AV72" s="21">
        <f>EXP(-LN(2)/25)*AV71+(1-EXP(-LN(2)/25))/(LN(2)/25)*Calculateur!AQ72*Calculateur!AS72*VLOOKUP('Données projet'!$B$10,Paramètres!$A$1:$I$89,3,0)*0.475*44/12</f>
        <v>112.67796826808116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182.38633195985045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206.21951999999993</v>
      </c>
      <c r="BF72" s="13">
        <f t="shared" si="91"/>
        <v>51.10858428464028</v>
      </c>
      <c r="BG72" s="20">
        <f t="shared" si="61"/>
        <v>448.17978162908167</v>
      </c>
      <c r="BH72" s="59">
        <f t="shared" si="62"/>
        <v>741.51311496241499</v>
      </c>
      <c r="BI72" s="59">
        <f ca="1">AVERAGE(OFFSET($BH$3,0,0,'Données projet'!$E$11+1,1))-AVERAGE(OFFSET($H$3,0,0,'Données projet'!$E$11+1,1))</f>
        <v>225.2323446080772</v>
      </c>
      <c r="BJ72" s="59">
        <f t="shared" si="92"/>
        <v>222.29030402759292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23.234555694227222</v>
      </c>
      <c r="BQ72" s="21">
        <f>EXP(-LN(2)/25)*BQ71+(1-EXP(-LN(2)/25))/(LN(2)/25)*Calculateur!BL72*Calculateur!BN72*VLOOKUP('Données projet'!$B$11,Paramètres!$A$1:$I$89,3,0)*0.475*44/12</f>
        <v>9.6237561317768456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32.858311826004069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278.5296012747549</v>
      </c>
      <c r="T73" s="59">
        <f t="shared" si="88"/>
        <v>370.55343097937077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168.40556469440858</v>
      </c>
      <c r="AA73" s="21">
        <f>EXP(-LN(2)/25)*AA72+(1-EXP(-LN(2)/25))/(LN(2)/25)*Calculateur!V73*Calculateur!X73*VLOOKUP('Données projet'!$B$9,Paramètres!$A$1:$I$89,3,0)*0.475*44/12</f>
        <v>38.006894996779522</v>
      </c>
      <c r="AB73" s="21">
        <f>EXP(-LN(2)/2)*AB72+(1-EXP(-LN(2)/2))/(LN(2)/2)*V73*Y73*VLOOKUP('Données projet'!$B$9,Paramètres!$A$1:$I$89,3,0)*0.475*44/12</f>
        <v>0.18871632590221163</v>
      </c>
      <c r="AC73" s="22">
        <f t="shared" si="57"/>
        <v>206.60117601709032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179.44051550872138</v>
      </c>
      <c r="AO73" s="59">
        <f t="shared" si="90"/>
        <v>272.9500808380069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68.341425197677239</v>
      </c>
      <c r="AV73" s="21">
        <f>EXP(-LN(2)/25)*AV72+(1-EXP(-LN(2)/25))/(LN(2)/25)*Calculateur!AQ73*Calculateur!AS73*VLOOKUP('Données projet'!$B$10,Paramètres!$A$1:$I$89,3,0)*0.475*44/12</f>
        <v>109.59678330031366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177.9382084979909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209.2427999999999</v>
      </c>
      <c r="BF73" s="13">
        <f t="shared" si="91"/>
        <v>51.770083677016814</v>
      </c>
      <c r="BG73" s="20">
        <f t="shared" si="61"/>
        <v>454.59743907080406</v>
      </c>
      <c r="BH73" s="59">
        <f t="shared" si="62"/>
        <v>747.93077240413731</v>
      </c>
      <c r="BI73" s="59">
        <f ca="1">AVERAGE(OFFSET($BH$3,0,0,'Données projet'!$E$11+1,1))-AVERAGE(OFFSET($H$3,0,0,'Données projet'!$E$11+1,1))</f>
        <v>225.2323446080772</v>
      </c>
      <c r="BJ73" s="59">
        <f t="shared" si="92"/>
        <v>222.29030402759292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0.47700000000000004</v>
      </c>
      <c r="BN73" s="16">
        <f>IF(ISNA(VLOOKUP(A73,'Données projet'!$A$87:$I$107,6,0)),0%,VLOOKUP(A73,'Données projet'!$A$87:$I$107,6,0)*VLOOKUP('Données projet'!$B$11,Paramètres!$A$1:$I$89,7,0))</f>
        <v>5.3000000000000005E-2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26.974213584715166</v>
      </c>
      <c r="BQ73" s="21">
        <f>EXP(-LN(2)/25)*BQ72+(1-EXP(-LN(2)/25))/(LN(2)/25)*Calculateur!BL73*Calculateur!BN73*VLOOKUP('Données projet'!$B$11,Paramètres!$A$1:$I$89,3,0)*0.475*44/12</f>
        <v>9.8249001216226421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36.799113706337806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278.5296012747549</v>
      </c>
      <c r="T74" s="59">
        <f t="shared" si="88"/>
        <v>370.55343097937077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165.10323428800319</v>
      </c>
      <c r="AA74" s="21">
        <f>EXP(-LN(2)/25)*AA73+(1-EXP(-LN(2)/25))/(LN(2)/25)*Calculateur!V74*Calculateur!X74*VLOOKUP('Données projet'!$B$9,Paramètres!$A$1:$I$89,3,0)*0.475*44/12</f>
        <v>36.967594454396846</v>
      </c>
      <c r="AB74" s="21">
        <f>EXP(-LN(2)/2)*AB73+(1-EXP(-LN(2)/2))/(LN(2)/2)*V74*Y74*VLOOKUP('Données projet'!$B$9,Paramètres!$A$1:$I$89,3,0)*0.475*44/12</f>
        <v>0.13344259376606435</v>
      </c>
      <c r="AC74" s="22">
        <f t="shared" si="57"/>
        <v>202.2042713361661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179.44051550872138</v>
      </c>
      <c r="AO74" s="59">
        <f t="shared" si="90"/>
        <v>272.9500808380069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67.00129153370419</v>
      </c>
      <c r="AV74" s="21">
        <f>EXP(-LN(2)/25)*AV73+(1-EXP(-LN(2)/25))/(LN(2)/25)*Calculateur!AQ74*Calculateur!AS74*VLOOKUP('Données projet'!$B$10,Paramètres!$A$1:$I$89,3,0)*0.475*44/12</f>
        <v>106.59985349752223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173.60114503122642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203.99183999999988</v>
      </c>
      <c r="BF74" s="13">
        <f t="shared" si="91"/>
        <v>50.620441749347997</v>
      </c>
      <c r="BG74" s="20">
        <f t="shared" si="61"/>
        <v>443.44972404678083</v>
      </c>
      <c r="BH74" s="59">
        <f t="shared" si="62"/>
        <v>736.78305738011409</v>
      </c>
      <c r="BI74" s="59">
        <f ca="1">AVERAGE(OFFSET($BH$3,0,0,'Données projet'!$E$11+1,1))-AVERAGE(OFFSET($H$3,0,0,'Données projet'!$E$11+1,1))</f>
        <v>225.2323446080772</v>
      </c>
      <c r="BJ74" s="59">
        <f t="shared" si="92"/>
        <v>222.29030402759292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26.445265708964623</v>
      </c>
      <c r="BQ74" s="21">
        <f>EXP(-LN(2)/25)*BQ73+(1-EXP(-LN(2)/25))/(LN(2)/25)*Calculateur!BL74*Calculateur!BN74*VLOOKUP('Données projet'!$B$11,Paramètres!$A$1:$I$89,3,0)*0.475*44/12</f>
        <v>9.556237711127828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36.001503420092448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278.5296012747549</v>
      </c>
      <c r="T75" s="59">
        <f t="shared" si="88"/>
        <v>370.55343097937077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161.86566056664478</v>
      </c>
      <c r="AA75" s="21">
        <f>EXP(-LN(2)/25)*AA74+(1-EXP(-LN(2)/25))/(LN(2)/25)*Calculateur!V75*Calculateur!X75*VLOOKUP('Données projet'!$B$9,Paramètres!$A$1:$I$89,3,0)*0.475*44/12</f>
        <v>35.956713640000061</v>
      </c>
      <c r="AB75" s="21">
        <f>EXP(-LN(2)/2)*AB74+(1-EXP(-LN(2)/2))/(LN(2)/2)*V75*Y75*VLOOKUP('Données projet'!$B$9,Paramètres!$A$1:$I$89,3,0)*0.475*44/12</f>
        <v>9.4358162951105815E-2</v>
      </c>
      <c r="AC75" s="22">
        <f t="shared" si="57"/>
        <v>197.91673236959593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179.44051550872138</v>
      </c>
      <c r="AO75" s="59">
        <f t="shared" si="90"/>
        <v>272.9500808380069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65.687437073480837</v>
      </c>
      <c r="AV75" s="21">
        <f>EXP(-LN(2)/25)*AV74+(1-EXP(-LN(2)/25))/(LN(2)/25)*Calculateur!AQ75*Calculateur!AS75*VLOOKUP('Données projet'!$B$10,Paramètres!$A$1:$I$89,3,0)*0.475*44/12</f>
        <v>103.68487489778983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169.37231197127068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206.69687999999991</v>
      </c>
      <c r="BF75" s="13">
        <f t="shared" si="91"/>
        <v>51.213106197404436</v>
      </c>
      <c r="BG75" s="20">
        <f t="shared" si="61"/>
        <v>449.1932259604792</v>
      </c>
      <c r="BH75" s="59">
        <f t="shared" si="62"/>
        <v>742.52655929381251</v>
      </c>
      <c r="BI75" s="59">
        <f ca="1">AVERAGE(OFFSET($BH$3,0,0,'Données projet'!$E$11+1,1))-AVERAGE(OFFSET($H$3,0,0,'Données projet'!$E$11+1,1))</f>
        <v>225.2323446080772</v>
      </c>
      <c r="BJ75" s="59">
        <f t="shared" si="92"/>
        <v>222.29030402759292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25.926690178431201</v>
      </c>
      <c r="BQ75" s="21">
        <f>EXP(-LN(2)/25)*BQ74+(1-EXP(-LN(2)/25))/(LN(2)/25)*Calculateur!BL75*Calculateur!BN75*VLOOKUP('Données projet'!$B$11,Paramètres!$A$1:$I$89,3,0)*0.475*44/12</f>
        <v>9.2949218883763383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35.221612066807538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278.5296012747549</v>
      </c>
      <c r="T76" s="59">
        <f t="shared" si="88"/>
        <v>370.55343097937077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158.69157369123721</v>
      </c>
      <c r="AA76" s="21">
        <f>EXP(-LN(2)/25)*AA75+(1-EXP(-LN(2)/25))/(LN(2)/25)*Calculateur!V76*Calculateur!X76*VLOOKUP('Données projet'!$B$9,Paramètres!$A$1:$I$89,3,0)*0.475*44/12</f>
        <v>34.973475414632865</v>
      </c>
      <c r="AB76" s="21">
        <f>EXP(-LN(2)/2)*AB75+(1-EXP(-LN(2)/2))/(LN(2)/2)*V76*Y76*VLOOKUP('Données projet'!$B$9,Paramètres!$A$1:$I$89,3,0)*0.475*44/12</f>
        <v>6.6721296883032175E-2</v>
      </c>
      <c r="AC76" s="22">
        <f t="shared" si="57"/>
        <v>193.73177040275311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179.44051550872138</v>
      </c>
      <c r="AO76" s="59">
        <f t="shared" si="90"/>
        <v>272.9500808380069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64.39934649785036</v>
      </c>
      <c r="AV76" s="21">
        <f>EXP(-LN(2)/25)*AV75+(1-EXP(-LN(2)/25))/(LN(2)/25)*Calculateur!AQ76*Calculateur!AS76*VLOOKUP('Données projet'!$B$10,Paramètres!$A$1:$I$89,3,0)*0.475*44/12</f>
        <v>100.84960654115916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165.24895303900951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209.40191999999988</v>
      </c>
      <c r="BF76" s="13">
        <f t="shared" si="91"/>
        <v>51.804868484579039</v>
      </c>
      <c r="BG76" s="20">
        <f t="shared" si="61"/>
        <v>454.93515661064157</v>
      </c>
      <c r="BH76" s="59">
        <f t="shared" si="62"/>
        <v>748.26848994397483</v>
      </c>
      <c r="BI76" s="59">
        <f ca="1">AVERAGE(OFFSET($BH$3,0,0,'Données projet'!$E$11+1,1))-AVERAGE(OFFSET($H$3,0,0,'Données projet'!$E$11+1,1))</f>
        <v>225.2323446080772</v>
      </c>
      <c r="BJ76" s="59">
        <f t="shared" si="92"/>
        <v>222.29030402759292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25.418283597751699</v>
      </c>
      <c r="BQ76" s="21">
        <f>EXP(-LN(2)/25)*BQ75+(1-EXP(-LN(2)/25))/(LN(2)/25)*Calculateur!BL76*Calculateur!BN76*VLOOKUP('Données projet'!$B$11,Paramètres!$A$1:$I$89,3,0)*0.475*44/12</f>
        <v>9.0407517605399885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34.459035358291686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278.5296012747549</v>
      </c>
      <c r="T77" s="59">
        <f t="shared" si="88"/>
        <v>370.55343097937077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155.57972872345456</v>
      </c>
      <c r="AA77" s="21">
        <f>EXP(-LN(2)/25)*AA76+(1-EXP(-LN(2)/25))/(LN(2)/25)*Calculateur!V77*Calculateur!X77*VLOOKUP('Données projet'!$B$9,Paramètres!$A$1:$I$89,3,0)*0.475*44/12</f>
        <v>34.017123890244591</v>
      </c>
      <c r="AB77" s="21">
        <f>EXP(-LN(2)/2)*AB76+(1-EXP(-LN(2)/2))/(LN(2)/2)*V77*Y77*VLOOKUP('Données projet'!$B$9,Paramètres!$A$1:$I$89,3,0)*0.475*44/12</f>
        <v>4.7179081475552907E-2</v>
      </c>
      <c r="AC77" s="22">
        <f t="shared" si="57"/>
        <v>189.6440316951747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179.44051550872138</v>
      </c>
      <c r="AO77" s="59">
        <f t="shared" si="90"/>
        <v>272.9500808380069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63.136514592750331</v>
      </c>
      <c r="AV77" s="21">
        <f>EXP(-LN(2)/25)*AV76+(1-EXP(-LN(2)/25))/(LN(2)/25)*Calculateur!AQ77*Calculateur!AS77*VLOOKUP('Données projet'!$B$10,Paramètres!$A$1:$I$89,3,0)*0.475*44/12</f>
        <v>98.091868746840845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161.22838333959118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212.10695999999984</v>
      </c>
      <c r="BF77" s="13">
        <f t="shared" si="91"/>
        <v>52.395741612408194</v>
      </c>
      <c r="BG77" s="20">
        <f t="shared" si="61"/>
        <v>460.67553864161067</v>
      </c>
      <c r="BH77" s="59">
        <f t="shared" si="62"/>
        <v>754.00887197494399</v>
      </c>
      <c r="BI77" s="59">
        <f ca="1">AVERAGE(OFFSET($BH$3,0,0,'Données projet'!$E$11+1,1))-AVERAGE(OFFSET($H$3,0,0,'Données projet'!$E$11+1,1))</f>
        <v>225.2323446080772</v>
      </c>
      <c r="BJ77" s="59">
        <f t="shared" si="92"/>
        <v>222.29030402759292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24.919846560021927</v>
      </c>
      <c r="BQ77" s="21">
        <f>EXP(-LN(2)/25)*BQ76+(1-EXP(-LN(2)/25))/(LN(2)/25)*Calculateur!BL77*Calculateur!BN77*VLOOKUP('Données projet'!$B$11,Paramètres!$A$1:$I$89,3,0)*0.475*44/12</f>
        <v>8.7935319282155504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33.713378488237481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278.5296012747549</v>
      </c>
      <c r="T78" s="59">
        <f t="shared" si="88"/>
        <v>370.55343097937077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152.52890513745211</v>
      </c>
      <c r="AA78" s="21">
        <f>EXP(-LN(2)/25)*AA77+(1-EXP(-LN(2)/25))/(LN(2)/25)*Calculateur!V78*Calculateur!X78*VLOOKUP('Données projet'!$B$9,Paramètres!$A$1:$I$89,3,0)*0.475*44/12</f>
        <v>33.086923848583055</v>
      </c>
      <c r="AB78" s="21">
        <f>EXP(-LN(2)/2)*AB77+(1-EXP(-LN(2)/2))/(LN(2)/2)*V78*Y78*VLOOKUP('Données projet'!$B$9,Paramètres!$A$1:$I$89,3,0)*0.475*44/12</f>
        <v>3.3360648441516087E-2</v>
      </c>
      <c r="AC78" s="22">
        <f t="shared" si="57"/>
        <v>185.6491896344767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179.44051550872138</v>
      </c>
      <c r="AO78" s="59">
        <f t="shared" si="90"/>
        <v>272.9500808380069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61.898446051057903</v>
      </c>
      <c r="AV78" s="21">
        <f>EXP(-LN(2)/25)*AV77+(1-EXP(-LN(2)/25))/(LN(2)/25)*Calculateur!AQ78*Calculateur!AS78*VLOOKUP('Données projet'!$B$10,Paramètres!$A$1:$I$89,3,0)*0.475*44/12</f>
        <v>95.409541437531303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157.30798748858922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214.81199999999981</v>
      </c>
      <c r="BF78" s="13">
        <f t="shared" si="91"/>
        <v>52.985738231738011</v>
      </c>
      <c r="BG78" s="20">
        <f t="shared" si="61"/>
        <v>466.41439408694333</v>
      </c>
      <c r="BH78" s="59">
        <f t="shared" si="62"/>
        <v>759.74772742027665</v>
      </c>
      <c r="BI78" s="59">
        <f ca="1">AVERAGE(OFFSET($BH$3,0,0,'Données projet'!$E$11+1,1))-AVERAGE(OFFSET($H$3,0,0,'Données projet'!$E$11+1,1))</f>
        <v>225.2323446080772</v>
      </c>
      <c r="BJ78" s="59">
        <f t="shared" si="92"/>
        <v>222.29030402759292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0.47170000000000001</v>
      </c>
      <c r="BN78" s="16">
        <f>IF(ISNA(VLOOKUP(A78,'Données projet'!$A$87:$I$107,6,0)),0%,VLOOKUP(A78,'Données projet'!$A$87:$I$107,6,0)*VLOOKUP('Données projet'!$B$11,Paramètres!$A$1:$I$89,7,0))</f>
        <v>5.8300000000000005E-2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28.164976855400631</v>
      </c>
      <c r="BQ78" s="21">
        <f>EXP(-LN(2)/25)*BQ77+(1-EXP(-LN(2)/25))/(LN(2)/25)*Calculateur!BL78*Calculateur!BN78*VLOOKUP('Données projet'!$B$11,Paramètres!$A$1:$I$89,3,0)*0.475*44/12</f>
        <v>9.0127353814937177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37.177712236894351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278.5296012747549</v>
      </c>
      <c r="T79" s="59">
        <f t="shared" si="88"/>
        <v>370.55343097937077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149.53790634115254</v>
      </c>
      <c r="AA79" s="21">
        <f>EXP(-LN(2)/25)*AA78+(1-EXP(-LN(2)/25))/(LN(2)/25)*Calculateur!V79*Calculateur!X79*VLOOKUP('Données projet'!$B$9,Paramètres!$A$1:$I$89,3,0)*0.475*44/12</f>
        <v>32.182160175977849</v>
      </c>
      <c r="AB79" s="21">
        <f>EXP(-LN(2)/2)*AB78+(1-EXP(-LN(2)/2))/(LN(2)/2)*V79*Y79*VLOOKUP('Données projet'!$B$9,Paramètres!$A$1:$I$89,3,0)*0.475*44/12</f>
        <v>2.3589540737776454E-2</v>
      </c>
      <c r="AC79" s="22">
        <f t="shared" si="57"/>
        <v>181.74365605786818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179.44051550872138</v>
      </c>
      <c r="AO79" s="59">
        <f t="shared" si="90"/>
        <v>272.9500808380069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60.684655278320818</v>
      </c>
      <c r="AV79" s="21">
        <f>EXP(-LN(2)/25)*AV78+(1-EXP(-LN(2)/25))/(LN(2)/25)*Calculateur!AQ79*Calculateur!AS79*VLOOKUP('Données projet'!$B$10,Paramètres!$A$1:$I$89,3,0)*0.475*44/12</f>
        <v>92.800562509552293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153.48521778787313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209.87927999999985</v>
      </c>
      <c r="BF79" s="13">
        <f t="shared" si="91"/>
        <v>51.909204458241767</v>
      </c>
      <c r="BG79" s="20">
        <f t="shared" si="61"/>
        <v>455.94827709810414</v>
      </c>
      <c r="BH79" s="59">
        <f t="shared" si="62"/>
        <v>749.28161043143746</v>
      </c>
      <c r="BI79" s="59">
        <f ca="1">AVERAGE(OFFSET($BH$3,0,0,'Données projet'!$E$11+1,1))-AVERAGE(OFFSET($H$3,0,0,'Données projet'!$E$11+1,1))</f>
        <v>225.2323446080772</v>
      </c>
      <c r="BJ79" s="59">
        <f t="shared" si="92"/>
        <v>222.29030402759292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27.612678838205827</v>
      </c>
      <c r="BQ79" s="21">
        <f>EXP(-LN(2)/25)*BQ78+(1-EXP(-LN(2)/25))/(LN(2)/25)*Calculateur!BL79*Calculateur!BN79*VLOOKUP('Données projet'!$B$11,Paramètres!$A$1:$I$89,3,0)*0.475*44/12</f>
        <v>8.7662816585276175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36.378960496733441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278.5296012747549</v>
      </c>
      <c r="T80" s="59">
        <f t="shared" si="88"/>
        <v>370.55343097937077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146.60555920691925</v>
      </c>
      <c r="AA80" s="21">
        <f>EXP(-LN(2)/25)*AA79+(1-EXP(-LN(2)/25))/(LN(2)/25)*Calculateur!V80*Calculateur!X80*VLOOKUP('Données projet'!$B$9,Paramètres!$A$1:$I$89,3,0)*0.475*44/12</f>
        <v>31.302137313579482</v>
      </c>
      <c r="AB80" s="21">
        <f>EXP(-LN(2)/2)*AB79+(1-EXP(-LN(2)/2))/(LN(2)/2)*V80*Y80*VLOOKUP('Données projet'!$B$9,Paramètres!$A$1:$I$89,3,0)*0.475*44/12</f>
        <v>1.6680324220758044E-2</v>
      </c>
      <c r="AC80" s="22">
        <f t="shared" si="57"/>
        <v>177.92437684471952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179.44051550872138</v>
      </c>
      <c r="AO80" s="59">
        <f t="shared" si="90"/>
        <v>272.9500808380069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59.494666202297836</v>
      </c>
      <c r="AV80" s="21">
        <f>EXP(-LN(2)/25)*AV79+(1-EXP(-LN(2)/25))/(LN(2)/25)*Calculateur!AQ80*Calculateur!AS80*VLOOKUP('Données projet'!$B$10,Paramètres!$A$1:$I$89,3,0)*0.475*44/12</f>
        <v>90.262926247559108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149.75759244985693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212.10695999999984</v>
      </c>
      <c r="BF80" s="13">
        <f t="shared" si="91"/>
        <v>52.395741612408194</v>
      </c>
      <c r="BG80" s="20">
        <f t="shared" si="61"/>
        <v>460.67553864161067</v>
      </c>
      <c r="BH80" s="59">
        <f t="shared" si="62"/>
        <v>754.00887197494399</v>
      </c>
      <c r="BI80" s="59">
        <f ca="1">AVERAGE(OFFSET($BH$3,0,0,'Données projet'!$E$11+1,1))-AVERAGE(OFFSET($H$3,0,0,'Données projet'!$E$11+1,1))</f>
        <v>225.2323446080772</v>
      </c>
      <c r="BJ80" s="59">
        <f t="shared" si="92"/>
        <v>222.29030402759292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27.071211048259684</v>
      </c>
      <c r="BQ80" s="21">
        <f>EXP(-LN(2)/25)*BQ79+(1-EXP(-LN(2)/25))/(LN(2)/25)*Calculateur!BL80*Calculateur!BN80*VLOOKUP('Données projet'!$B$11,Paramètres!$A$1:$I$89,3,0)*0.475*44/12</f>
        <v>8.5265672255764624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35.597778273836148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278.5296012747549</v>
      </c>
      <c r="T81" s="59">
        <f t="shared" si="88"/>
        <v>370.55343097937077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143.73071361143315</v>
      </c>
      <c r="AA81" s="21">
        <f>EXP(-LN(2)/25)*AA80+(1-EXP(-LN(2)/25))/(LN(2)/25)*Calculateur!V81*Calculateur!X81*VLOOKUP('Données projet'!$B$9,Paramètres!$A$1:$I$89,3,0)*0.475*44/12</f>
        <v>30.446178722631792</v>
      </c>
      <c r="AB81" s="21">
        <f>EXP(-LN(2)/2)*AB80+(1-EXP(-LN(2)/2))/(LN(2)/2)*V81*Y81*VLOOKUP('Données projet'!$B$9,Paramètres!$A$1:$I$89,3,0)*0.475*44/12</f>
        <v>1.1794770368888227E-2</v>
      </c>
      <c r="AC81" s="22">
        <f t="shared" si="57"/>
        <v>174.18868710443382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179.44051550872138</v>
      </c>
      <c r="AO81" s="59">
        <f t="shared" si="90"/>
        <v>272.9500808380069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58.328012086233997</v>
      </c>
      <c r="AV81" s="21">
        <f>EXP(-LN(2)/25)*AV80+(1-EXP(-LN(2)/25))/(LN(2)/25)*Calculateur!AQ81*Calculateur!AS81*VLOOKUP('Données projet'!$B$10,Paramètres!$A$1:$I$89,3,0)*0.475*44/12</f>
        <v>87.794681782598616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146.12269386883261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214.33463999999984</v>
      </c>
      <c r="BF81" s="13">
        <f t="shared" si="91"/>
        <v>52.881684324030282</v>
      </c>
      <c r="BG81" s="20">
        <f t="shared" si="61"/>
        <v>465.40176486435234</v>
      </c>
      <c r="BH81" s="59">
        <f t="shared" si="62"/>
        <v>758.7350981976856</v>
      </c>
      <c r="BI81" s="59">
        <f ca="1">AVERAGE(OFFSET($BH$3,0,0,'Données projet'!$E$11+1,1))-AVERAGE(OFFSET($H$3,0,0,'Données projet'!$E$11+1,1))</f>
        <v>225.2323446080772</v>
      </c>
      <c r="BJ81" s="59">
        <f t="shared" si="92"/>
        <v>222.29030402759292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26.540361111411645</v>
      </c>
      <c r="BQ81" s="21">
        <f>EXP(-LN(2)/25)*BQ80+(1-EXP(-LN(2)/25))/(LN(2)/25)*Calculateur!BL81*Calculateur!BN81*VLOOKUP('Données projet'!$B$11,Paramètres!$A$1:$I$89,3,0)*0.475*44/12</f>
        <v>8.2934077964003912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34.833768907812036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278.5296012747549</v>
      </c>
      <c r="T82" s="59">
        <f t="shared" si="88"/>
        <v>370.55343097937077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140.91224198459184</v>
      </c>
      <c r="AA82" s="21">
        <f>EXP(-LN(2)/25)*AA81+(1-EXP(-LN(2)/25))/(LN(2)/25)*Calculateur!V82*Calculateur!X82*VLOOKUP('Données projet'!$B$9,Paramètres!$A$1:$I$89,3,0)*0.475*44/12</f>
        <v>29.613626364366471</v>
      </c>
      <c r="AB82" s="21">
        <f>EXP(-LN(2)/2)*AB81+(1-EXP(-LN(2)/2))/(LN(2)/2)*V82*Y82*VLOOKUP('Données projet'!$B$9,Paramètres!$A$1:$I$89,3,0)*0.475*44/12</f>
        <v>8.3401621103790218E-3</v>
      </c>
      <c r="AC82" s="22">
        <f t="shared" si="57"/>
        <v>170.5342085110687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179.44051550872138</v>
      </c>
      <c r="AO82" s="59">
        <f t="shared" si="90"/>
        <v>272.9500808380069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57.184235345797426</v>
      </c>
      <c r="AV82" s="21">
        <f>EXP(-LN(2)/25)*AV81+(1-EXP(-LN(2)/25))/(LN(2)/25)*Calculateur!AQ82*Calculateur!AS82*VLOOKUP('Données projet'!$B$10,Paramètres!$A$1:$I$89,3,0)*0.475*44/12</f>
        <v>85.393931592331796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142.57816693812921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216.56231999999989</v>
      </c>
      <c r="BF82" s="13">
        <f t="shared" si="91"/>
        <v>53.367039486661959</v>
      </c>
      <c r="BG82" s="20">
        <f t="shared" si="61"/>
        <v>470.12696777260271</v>
      </c>
      <c r="BH82" s="59">
        <f t="shared" si="62"/>
        <v>763.46030110593597</v>
      </c>
      <c r="BI82" s="59">
        <f ca="1">AVERAGE(OFFSET($BH$3,0,0,'Données projet'!$E$11+1,1))-AVERAGE(OFFSET($H$3,0,0,'Données projet'!$E$11+1,1))</f>
        <v>225.2323446080772</v>
      </c>
      <c r="BJ82" s="59">
        <f t="shared" si="92"/>
        <v>222.29030402759292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26.019920818038706</v>
      </c>
      <c r="BQ82" s="21">
        <f>EXP(-LN(2)/25)*BQ81+(1-EXP(-LN(2)/25))/(LN(2)/25)*Calculateur!BL82*Calculateur!BN82*VLOOKUP('Données projet'!$B$11,Paramètres!$A$1:$I$89,3,0)*0.475*44/12</f>
        <v>8.066624124076462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34.086544942115168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278.5296012747549</v>
      </c>
      <c r="T83" s="59">
        <f t="shared" si="88"/>
        <v>370.55343097937077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138.14903886725494</v>
      </c>
      <c r="AA83" s="21">
        <f>EXP(-LN(2)/25)*AA82+(1-EXP(-LN(2)/25))/(LN(2)/25)*Calculateur!V83*Calculateur!X83*VLOOKUP('Données projet'!$B$9,Paramètres!$A$1:$I$89,3,0)*0.475*44/12</f>
        <v>28.803840194119942</v>
      </c>
      <c r="AB83" s="21">
        <f>EXP(-LN(2)/2)*AB82+(1-EXP(-LN(2)/2))/(LN(2)/2)*V83*Y83*VLOOKUP('Données projet'!$B$9,Paramètres!$A$1:$I$89,3,0)*0.475*44/12</f>
        <v>5.8973851844441134E-3</v>
      </c>
      <c r="AC83" s="22">
        <f t="shared" si="57"/>
        <v>166.95877644655934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179.44051550872138</v>
      </c>
      <c r="AO83" s="59">
        <f t="shared" si="90"/>
        <v>272.9500808380069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56.062887369605889</v>
      </c>
      <c r="AV83" s="21">
        <f>EXP(-LN(2)/25)*AV82+(1-EXP(-LN(2)/25))/(LN(2)/25)*Calculateur!AQ83*Calculateur!AS83*VLOOKUP('Données projet'!$B$10,Paramètres!$A$1:$I$89,3,0)*0.475*44/12</f>
        <v>83.058830042267786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139.12171741187368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218.78999999999988</v>
      </c>
      <c r="BF83" s="13">
        <f t="shared" si="91"/>
        <v>53.851813843863468</v>
      </c>
      <c r="BG83" s="20">
        <f t="shared" si="61"/>
        <v>474.85115911139536</v>
      </c>
      <c r="BH83" s="59">
        <f t="shared" si="62"/>
        <v>768.18449244472868</v>
      </c>
      <c r="BI83" s="59">
        <f ca="1">AVERAGE(OFFSET($BH$3,0,0,'Données projet'!$E$11+1,1))-AVERAGE(OFFSET($H$3,0,0,'Données projet'!$E$11+1,1))</f>
        <v>225.2323446080772</v>
      </c>
      <c r="BJ83" s="59">
        <f t="shared" si="92"/>
        <v>222.29030402759292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8</v>
      </c>
      <c r="BM83" s="16">
        <f>IF(ISNA(VLOOKUP(A83,'Données projet'!$A$87:$I$107,5,0)),0%,VLOOKUP(A83,'Données projet'!$A$87:$I$107,5,0)*VLOOKUP('Données projet'!$B$11,Paramètres!$A$1:$I$89,7,0))</f>
        <v>0.46640000000000004</v>
      </c>
      <c r="BN83" s="16">
        <f>IF(ISNA(VLOOKUP(A83,'Données projet'!$A$87:$I$107,6,0)),0%,VLOOKUP(A83,'Données projet'!$A$87:$I$107,6,0)*VLOOKUP('Données projet'!$B$11,Paramètres!$A$1:$I$89,7,0))</f>
        <v>6.8900000000000003E-2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28.791322088719753</v>
      </c>
      <c r="BQ83" s="21">
        <f>EXP(-LN(2)/25)*BQ82+(1-EXP(-LN(2)/25))/(LN(2)/25)*Calculateur!BL83*Calculateur!BN83*VLOOKUP('Données projet'!$B$11,Paramètres!$A$1:$I$89,3,0)*0.475*44/12</f>
        <v>8.3289202148532624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37.120242303573015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278.5296012747549</v>
      </c>
      <c r="T84" s="59">
        <f t="shared" si="88"/>
        <v>370.55343097937077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135.44002047766153</v>
      </c>
      <c r="AA84" s="21">
        <f>EXP(-LN(2)/25)*AA83+(1-EXP(-LN(2)/25))/(LN(2)/25)*Calculateur!V84*Calculateur!X84*VLOOKUP('Données projet'!$B$9,Paramètres!$A$1:$I$89,3,0)*0.475*44/12</f>
        <v>28.01619766928361</v>
      </c>
      <c r="AB84" s="21">
        <f>EXP(-LN(2)/2)*AB83+(1-EXP(-LN(2)/2))/(LN(2)/2)*V84*Y84*VLOOKUP('Données projet'!$B$9,Paramètres!$A$1:$I$89,3,0)*0.475*44/12</f>
        <v>4.1700810551895109E-3</v>
      </c>
      <c r="AC84" s="22">
        <f t="shared" si="57"/>
        <v>163.46038822800031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179.44051550872138</v>
      </c>
      <c r="AO84" s="59">
        <f t="shared" si="90"/>
        <v>272.9500808380069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54.963528343272742</v>
      </c>
      <c r="AV84" s="21">
        <f>EXP(-LN(2)/25)*AV83+(1-EXP(-LN(2)/25))/(LN(2)/25)*Calculateur!AQ84*Calculateur!AS84*VLOOKUP('Données projet'!$B$10,Paramètres!$A$1:$I$89,3,0)*0.475*44/12</f>
        <v>80.787581966887942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135.7511103101607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266.99999999999983</v>
      </c>
      <c r="BE84" s="13">
        <f>BD84*VLOOKUP('Données projet'!$B$11,Paramètres!$A$1:$I$89,3,0)*VLOOKUP('Données projet'!$B$11,Paramètres!$A$1:$I$89,5,0)</f>
        <v>212.42519999999985</v>
      </c>
      <c r="BF84" s="13">
        <f t="shared" si="91"/>
        <v>52.465198231787184</v>
      </c>
      <c r="BG84" s="20">
        <f t="shared" si="61"/>
        <v>461.35077692036231</v>
      </c>
      <c r="BH84" s="59">
        <f t="shared" si="62"/>
        <v>754.68411025369562</v>
      </c>
      <c r="BI84" s="59">
        <f ca="1">AVERAGE(OFFSET($BH$3,0,0,'Données projet'!$E$11+1,1))-AVERAGE(OFFSET($H$3,0,0,'Données projet'!$E$11+1,1))</f>
        <v>225.2323446080772</v>
      </c>
      <c r="BJ84" s="59">
        <f t="shared" si="92"/>
        <v>222.29030402759292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28.226741823532429</v>
      </c>
      <c r="BQ84" s="21">
        <f>EXP(-LN(2)/25)*BQ83+(1-EXP(-LN(2)/25))/(LN(2)/25)*Calculateur!BL84*Calculateur!BN84*VLOOKUP('Données projet'!$B$11,Paramètres!$A$1:$I$89,3,0)*0.475*44/12</f>
        <v>8.1011654535792221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36.327907277111649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278.5296012747549</v>
      </c>
      <c r="T85" s="59">
        <f t="shared" si="88"/>
        <v>370.55343097937077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132.78412428634999</v>
      </c>
      <c r="AA85" s="21">
        <f>EXP(-LN(2)/25)*AA84+(1-EXP(-LN(2)/25))/(LN(2)/25)*Calculateur!V85*Calculateur!X85*VLOOKUP('Données projet'!$B$9,Paramètres!$A$1:$I$89,3,0)*0.475*44/12</f>
        <v>27.250093270709247</v>
      </c>
      <c r="AB85" s="21">
        <f>EXP(-LN(2)/2)*AB84+(1-EXP(-LN(2)/2))/(LN(2)/2)*V85*Y85*VLOOKUP('Données projet'!$B$9,Paramètres!$A$1:$I$89,3,0)*0.475*44/12</f>
        <v>2.9486925922220567E-3</v>
      </c>
      <c r="AC85" s="22">
        <f t="shared" si="57"/>
        <v>160.03716624965145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179.44051550872138</v>
      </c>
      <c r="AO85" s="59">
        <f t="shared" si="90"/>
        <v>272.9500808380069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53.885727076903187</v>
      </c>
      <c r="AV85" s="21">
        <f>EXP(-LN(2)/25)*AV84+(1-EXP(-LN(2)/25))/(LN(2)/25)*Calculateur!AQ85*Calculateur!AS85*VLOOKUP('Données projet'!$B$10,Paramètres!$A$1:$I$89,3,0)*0.475*44/12</f>
        <v>78.578441289569099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132.46416836647228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266.99999999999983</v>
      </c>
      <c r="BE85" s="13">
        <f>BD85*VLOOKUP('Données projet'!$B$11,Paramètres!$A$1:$I$89,3,0)*VLOOKUP('Données projet'!$B$11,Paramètres!$A$1:$I$89,5,0)</f>
        <v>212.42519999999985</v>
      </c>
      <c r="BF85" s="13">
        <f t="shared" si="91"/>
        <v>52.465198231787184</v>
      </c>
      <c r="BG85" s="20">
        <f t="shared" si="61"/>
        <v>461.35077692036231</v>
      </c>
      <c r="BH85" s="59">
        <f t="shared" si="62"/>
        <v>754.68411025369562</v>
      </c>
      <c r="BI85" s="59">
        <f ca="1">AVERAGE(OFFSET($BH$3,0,0,'Données projet'!$E$11+1,1))-AVERAGE(OFFSET($H$3,0,0,'Données projet'!$E$11+1,1))</f>
        <v>225.2323446080772</v>
      </c>
      <c r="BJ85" s="59">
        <f t="shared" si="92"/>
        <v>222.29030402759292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27.673232632985471</v>
      </c>
      <c r="BQ85" s="21">
        <f>EXP(-LN(2)/25)*BQ84+(1-EXP(-LN(2)/25))/(LN(2)/25)*Calculateur!BL85*Calculateur!BN85*VLOOKUP('Données projet'!$B$11,Paramètres!$A$1:$I$89,3,0)*0.475*44/12</f>
        <v>7.8796386582293225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35.552871291214792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278.5296012747549</v>
      </c>
      <c r="T86" s="59">
        <f t="shared" si="88"/>
        <v>370.55343097937077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130.18030859941337</v>
      </c>
      <c r="AA86" s="21">
        <f>EXP(-LN(2)/25)*AA85+(1-EXP(-LN(2)/25))/(LN(2)/25)*Calculateur!V86*Calculateur!X86*VLOOKUP('Données projet'!$B$9,Paramètres!$A$1:$I$89,3,0)*0.475*44/12</f>
        <v>26.50493803720158</v>
      </c>
      <c r="AB86" s="21">
        <f>EXP(-LN(2)/2)*AB85+(1-EXP(-LN(2)/2))/(LN(2)/2)*V86*Y86*VLOOKUP('Données projet'!$B$9,Paramètres!$A$1:$I$89,3,0)*0.475*44/12</f>
        <v>2.0850405275947555E-3</v>
      </c>
      <c r="AC86" s="22">
        <f t="shared" si="57"/>
        <v>156.68733167714254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179.44051550872138</v>
      </c>
      <c r="AO86" s="59">
        <f t="shared" si="90"/>
        <v>272.9500808380069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52.82906083597328</v>
      </c>
      <c r="AV86" s="21">
        <f>EXP(-LN(2)/25)*AV85+(1-EXP(-LN(2)/25))/(LN(2)/25)*Calculateur!AQ86*Calculateur!AS86*VLOOKUP('Données projet'!$B$10,Paramètres!$A$1:$I$89,3,0)*0.475*44/12</f>
        <v>76.429709680245196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129.25877051621848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266.99999999999983</v>
      </c>
      <c r="BE86" s="13">
        <f>BD86*VLOOKUP('Données projet'!$B$11,Paramètres!$A$1:$I$89,3,0)*VLOOKUP('Données projet'!$B$11,Paramètres!$A$1:$I$89,5,0)</f>
        <v>212.42519999999985</v>
      </c>
      <c r="BF86" s="13">
        <f t="shared" si="91"/>
        <v>52.465198231787184</v>
      </c>
      <c r="BG86" s="20">
        <f t="shared" si="61"/>
        <v>461.35077692036231</v>
      </c>
      <c r="BH86" s="59">
        <f t="shared" si="62"/>
        <v>754.68411025369562</v>
      </c>
      <c r="BI86" s="59">
        <f ca="1">AVERAGE(OFFSET($BH$3,0,0,'Données projet'!$E$11+1,1))-AVERAGE(OFFSET($H$3,0,0,'Données projet'!$E$11+1,1))</f>
        <v>225.2323446080772</v>
      </c>
      <c r="BJ86" s="59">
        <f t="shared" si="92"/>
        <v>222.29030402759292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27.130577420057868</v>
      </c>
      <c r="BQ86" s="21">
        <f>EXP(-LN(2)/25)*BQ85+(1-EXP(-LN(2)/25))/(LN(2)/25)*Calculateur!BL86*Calculateur!BN86*VLOOKUP('Données projet'!$B$11,Paramètres!$A$1:$I$89,3,0)*0.475*44/12</f>
        <v>7.6641695247478534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34.794746944805723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278.5296012747549</v>
      </c>
      <c r="T87" s="59">
        <f t="shared" si="88"/>
        <v>370.55343097937077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127.6275521499268</v>
      </c>
      <c r="AA87" s="21">
        <f>EXP(-LN(2)/25)*AA86+(1-EXP(-LN(2)/25))/(LN(2)/25)*Calculateur!V87*Calculateur!X87*VLOOKUP('Données projet'!$B$9,Paramètres!$A$1:$I$89,3,0)*0.475*44/12</f>
        <v>25.78015911274019</v>
      </c>
      <c r="AB87" s="21">
        <f>EXP(-LN(2)/2)*AB86+(1-EXP(-LN(2)/2))/(LN(2)/2)*V87*Y87*VLOOKUP('Données projet'!$B$9,Paramètres!$A$1:$I$89,3,0)*0.475*44/12</f>
        <v>1.4743462961110284E-3</v>
      </c>
      <c r="AC87" s="22">
        <f t="shared" si="57"/>
        <v>153.4091856089631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179.44051550872138</v>
      </c>
      <c r="AO87" s="59">
        <f t="shared" si="90"/>
        <v>272.9500808380069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51.793115175525244</v>
      </c>
      <c r="AV87" s="21">
        <f>EXP(-LN(2)/25)*AV86+(1-EXP(-LN(2)/25))/(LN(2)/25)*Calculateur!AQ87*Calculateur!AS87*VLOOKUP('Données projet'!$B$10,Paramètres!$A$1:$I$89,3,0)*0.475*44/12</f>
        <v>74.339735249775146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126.13285042530039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266.99999999999983</v>
      </c>
      <c r="BE87" s="13">
        <f>BD87*VLOOKUP('Données projet'!$B$11,Paramètres!$A$1:$I$89,3,0)*VLOOKUP('Données projet'!$B$11,Paramètres!$A$1:$I$89,5,0)</f>
        <v>212.42519999999985</v>
      </c>
      <c r="BF87" s="13">
        <f t="shared" si="91"/>
        <v>52.465198231787184</v>
      </c>
      <c r="BG87" s="20">
        <f t="shared" si="61"/>
        <v>461.35077692036231</v>
      </c>
      <c r="BH87" s="59">
        <f t="shared" si="62"/>
        <v>754.68411025369562</v>
      </c>
      <c r="BI87" s="59">
        <f ca="1">AVERAGE(OFFSET($BH$3,0,0,'Données projet'!$E$11+1,1))-AVERAGE(OFFSET($H$3,0,0,'Données projet'!$E$11+1,1))</f>
        <v>225.2323446080772</v>
      </c>
      <c r="BJ87" s="59">
        <f t="shared" si="92"/>
        <v>222.29030402759292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26.598563344868779</v>
      </c>
      <c r="BQ87" s="21">
        <f>EXP(-LN(2)/25)*BQ86+(1-EXP(-LN(2)/25))/(LN(2)/25)*Calculateur!BL87*Calculateur!BN87*VLOOKUP('Données projet'!$B$11,Paramètres!$A$1:$I$89,3,0)*0.475*44/12</f>
        <v>7.4545924060524644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34.053155750921242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278.5296012747549</v>
      </c>
      <c r="T88" s="59">
        <f t="shared" si="88"/>
        <v>370.55343097937077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125.12485369738698</v>
      </c>
      <c r="AA88" s="21">
        <f>EXP(-LN(2)/25)*AA87+(1-EXP(-LN(2)/25))/(LN(2)/25)*Calculateur!V88*Calculateur!X88*VLOOKUP('Données projet'!$B$9,Paramètres!$A$1:$I$89,3,0)*0.475*44/12</f>
        <v>25.075199306082663</v>
      </c>
      <c r="AB88" s="21">
        <f>EXP(-LN(2)/2)*AB87+(1-EXP(-LN(2)/2))/(LN(2)/2)*V88*Y88*VLOOKUP('Données projet'!$B$9,Paramètres!$A$1:$I$89,3,0)*0.475*44/12</f>
        <v>1.0425202637973777E-3</v>
      </c>
      <c r="AC88" s="22">
        <f t="shared" si="57"/>
        <v>150.20109552373344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179.44051550872138</v>
      </c>
      <c r="AO88" s="59">
        <f t="shared" si="90"/>
        <v>272.9500808380069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50.77748377761413</v>
      </c>
      <c r="AV88" s="21">
        <f>EXP(-LN(2)/25)*AV87+(1-EXP(-LN(2)/25))/(LN(2)/25)*Calculateur!AQ88*Calculateur!AS88*VLOOKUP('Données projet'!$B$10,Paramètres!$A$1:$I$89,3,0)*0.475*44/12</f>
        <v>72.306911280013267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123.0843950576274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266.99999999999983</v>
      </c>
      <c r="BE88" s="13">
        <f>BD88*VLOOKUP('Données projet'!$B$11,Paramètres!$A$1:$I$89,3,0)*VLOOKUP('Données projet'!$B$11,Paramètres!$A$1:$I$89,5,0)</f>
        <v>212.42519999999985</v>
      </c>
      <c r="BF88" s="13">
        <f t="shared" si="91"/>
        <v>52.465198231787184</v>
      </c>
      <c r="BG88" s="20">
        <f t="shared" si="61"/>
        <v>461.35077692036231</v>
      </c>
      <c r="BH88" s="59">
        <f t="shared" si="62"/>
        <v>754.68411025369562</v>
      </c>
      <c r="BI88" s="59">
        <f ca="1">AVERAGE(OFFSET($BH$3,0,0,'Données projet'!$E$11+1,1))-AVERAGE(OFFSET($H$3,0,0,'Données projet'!$E$11+1,1))</f>
        <v>225.2323446080772</v>
      </c>
      <c r="BJ88" s="59">
        <f t="shared" si="92"/>
        <v>222.29030402759292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26.076981741197603</v>
      </c>
      <c r="BQ88" s="21">
        <f>EXP(-LN(2)/25)*BQ87+(1-EXP(-LN(2)/25))/(LN(2)/25)*Calculateur!BL88*Calculateur!BN88*VLOOKUP('Données projet'!$B$11,Paramètres!$A$1:$I$89,3,0)*0.475*44/12</f>
        <v>7.2507461846889827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33.327727925886585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278.5296012747549</v>
      </c>
      <c r="T89" s="59">
        <f t="shared" si="88"/>
        <v>370.55343097937077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122.67123163500614</v>
      </c>
      <c r="AA89" s="21">
        <f>EXP(-LN(2)/25)*AA88+(1-EXP(-LN(2)/25))/(LN(2)/25)*Calculateur!V89*Calculateur!X89*VLOOKUP('Données projet'!$B$9,Paramètres!$A$1:$I$89,3,0)*0.475*44/12</f>
        <v>24.389516662410411</v>
      </c>
      <c r="AB89" s="21">
        <f>EXP(-LN(2)/2)*AB88+(1-EXP(-LN(2)/2))/(LN(2)/2)*V89*Y89*VLOOKUP('Données projet'!$B$9,Paramètres!$A$1:$I$89,3,0)*0.475*44/12</f>
        <v>7.3717314805551418E-4</v>
      </c>
      <c r="AC89" s="22">
        <f t="shared" si="57"/>
        <v>147.06148547056461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179.44051550872138</v>
      </c>
      <c r="AO89" s="59">
        <f t="shared" si="90"/>
        <v>272.9500808380069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49.781768291942065</v>
      </c>
      <c r="AV89" s="21">
        <f>EXP(-LN(2)/25)*AV88+(1-EXP(-LN(2)/25))/(LN(2)/25)*Calculateur!AQ89*Calculateur!AS89*VLOOKUP('Données projet'!$B$10,Paramètres!$A$1:$I$89,3,0)*0.475*44/12</f>
        <v>70.329674988606101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120.11144328054817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266.99999999999983</v>
      </c>
      <c r="BE89" s="13">
        <f>BD89*VLOOKUP('Données projet'!$B$11,Paramètres!$A$1:$I$89,3,0)*VLOOKUP('Données projet'!$B$11,Paramètres!$A$1:$I$89,5,0)</f>
        <v>212.42519999999985</v>
      </c>
      <c r="BF89" s="13">
        <f t="shared" si="91"/>
        <v>52.465198231787184</v>
      </c>
      <c r="BG89" s="20">
        <f t="shared" si="61"/>
        <v>461.35077692036231</v>
      </c>
      <c r="BH89" s="59">
        <f t="shared" si="62"/>
        <v>754.68411025369562</v>
      </c>
      <c r="BI89" s="59">
        <f ca="1">AVERAGE(OFFSET($BH$3,0,0,'Données projet'!$E$11+1,1))-AVERAGE(OFFSET($H$3,0,0,'Données projet'!$E$11+1,1))</f>
        <v>225.2323446080772</v>
      </c>
      <c r="BJ89" s="59">
        <f t="shared" si="92"/>
        <v>222.29030402759292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25.565628034641055</v>
      </c>
      <c r="BQ89" s="21">
        <f>EXP(-LN(2)/25)*BQ88+(1-EXP(-LN(2)/25))/(LN(2)/25)*Calculateur!BL89*Calculateur!BN89*VLOOKUP('Données projet'!$B$11,Paramètres!$A$1:$I$89,3,0)*0.475*44/12</f>
        <v>7.0524741489684928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32.618102183609551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278.5296012747549</v>
      </c>
      <c r="T90" s="59">
        <f t="shared" si="88"/>
        <v>370.55343097937077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120.26572360470689</v>
      </c>
      <c r="AA90" s="21">
        <f>EXP(-LN(2)/25)*AA89+(1-EXP(-LN(2)/25))/(LN(2)/25)*Calculateur!V90*Calculateur!X90*VLOOKUP('Données projet'!$B$9,Paramètres!$A$1:$I$89,3,0)*0.475*44/12</f>
        <v>23.72258404668786</v>
      </c>
      <c r="AB90" s="21">
        <f>EXP(-LN(2)/2)*AB89+(1-EXP(-LN(2)/2))/(LN(2)/2)*V90*Y90*VLOOKUP('Données projet'!$B$9,Paramètres!$A$1:$I$89,3,0)*0.475*44/12</f>
        <v>5.2126013189868886E-4</v>
      </c>
      <c r="AC90" s="22">
        <f t="shared" si="57"/>
        <v>143.98882891152667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179.44051550872138</v>
      </c>
      <c r="AO90" s="59">
        <f t="shared" si="90"/>
        <v>272.9500808380069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48.805578179617555</v>
      </c>
      <c r="AV90" s="21">
        <f>EXP(-LN(2)/25)*AV89+(1-EXP(-LN(2)/25))/(LN(2)/25)*Calculateur!AQ90*Calculateur!AS90*VLOOKUP('Données projet'!$B$10,Paramètres!$A$1:$I$89,3,0)*0.475*44/12</f>
        <v>68.406506327565793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117.21208450718335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266.99999999999983</v>
      </c>
      <c r="BE90" s="13">
        <f>BD90*VLOOKUP('Données projet'!$B$11,Paramètres!$A$1:$I$89,3,0)*VLOOKUP('Données projet'!$B$11,Paramètres!$A$1:$I$89,5,0)</f>
        <v>212.42519999999985</v>
      </c>
      <c r="BF90" s="13">
        <f t="shared" si="91"/>
        <v>52.465198231787184</v>
      </c>
      <c r="BG90" s="20">
        <f t="shared" si="61"/>
        <v>461.35077692036231</v>
      </c>
      <c r="BH90" s="59">
        <f t="shared" si="62"/>
        <v>754.68411025369562</v>
      </c>
      <c r="BI90" s="59">
        <f ca="1">AVERAGE(OFFSET($BH$3,0,0,'Données projet'!$E$11+1,1))-AVERAGE(OFFSET($H$3,0,0,'Données projet'!$E$11+1,1))</f>
        <v>225.2323446080772</v>
      </c>
      <c r="BJ90" s="59">
        <f t="shared" si="92"/>
        <v>222.29030402759292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25.064301662375115</v>
      </c>
      <c r="BQ90" s="21">
        <f>EXP(-LN(2)/25)*BQ89+(1-EXP(-LN(2)/25))/(LN(2)/25)*Calculateur!BL90*Calculateur!BN90*VLOOKUP('Données projet'!$B$11,Paramètres!$A$1:$I$89,3,0)*0.475*44/12</f>
        <v>6.8596238724914524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31.923925534866569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278.5296012747549</v>
      </c>
      <c r="T91" s="59">
        <f t="shared" si="88"/>
        <v>370.55343097937077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117.9073861196668</v>
      </c>
      <c r="AA91" s="21">
        <f>EXP(-LN(2)/25)*AA90+(1-EXP(-LN(2)/25))/(LN(2)/25)*Calculateur!V91*Calculateur!X91*VLOOKUP('Données projet'!$B$9,Paramètres!$A$1:$I$89,3,0)*0.475*44/12</f>
        <v>23.073888738414706</v>
      </c>
      <c r="AB91" s="21">
        <f>EXP(-LN(2)/2)*AB90+(1-EXP(-LN(2)/2))/(LN(2)/2)*V91*Y91*VLOOKUP('Données projet'!$B$9,Paramètres!$A$1:$I$89,3,0)*0.475*44/12</f>
        <v>3.6858657402775709E-4</v>
      </c>
      <c r="AC91" s="22">
        <f t="shared" si="57"/>
        <v>140.98164344465553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179.44051550872138</v>
      </c>
      <c r="AO91" s="59">
        <f t="shared" si="90"/>
        <v>272.9500808380069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47.848530559978556</v>
      </c>
      <c r="AV91" s="21">
        <f>EXP(-LN(2)/25)*AV90+(1-EXP(-LN(2)/25))/(LN(2)/25)*Calculateur!AQ91*Calculateur!AS91*VLOOKUP('Données projet'!$B$10,Paramètres!$A$1:$I$89,3,0)*0.475*44/12</f>
        <v>66.53592681469668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114.38445737467524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266.99999999999983</v>
      </c>
      <c r="BE91" s="13">
        <f>BD91*VLOOKUP('Données projet'!$B$11,Paramètres!$A$1:$I$89,3,0)*VLOOKUP('Données projet'!$B$11,Paramètres!$A$1:$I$89,5,0)</f>
        <v>212.42519999999985</v>
      </c>
      <c r="BF91" s="13">
        <f t="shared" si="91"/>
        <v>52.465198231787184</v>
      </c>
      <c r="BG91" s="20">
        <f t="shared" si="61"/>
        <v>461.35077692036231</v>
      </c>
      <c r="BH91" s="59">
        <f t="shared" si="62"/>
        <v>754.68411025369562</v>
      </c>
      <c r="BI91" s="59">
        <f ca="1">AVERAGE(OFFSET($BH$3,0,0,'Données projet'!$E$11+1,1))-AVERAGE(OFFSET($H$3,0,0,'Données projet'!$E$11+1,1))</f>
        <v>225.2323446080772</v>
      </c>
      <c r="BJ91" s="59">
        <f t="shared" si="92"/>
        <v>222.29030402759292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24.572805994490416</v>
      </c>
      <c r="BQ91" s="21">
        <f>EXP(-LN(2)/25)*BQ90+(1-EXP(-LN(2)/25))/(LN(2)/25)*Calculateur!BL91*Calculateur!BN91*VLOOKUP('Données projet'!$B$11,Paramètres!$A$1:$I$89,3,0)*0.475*44/12</f>
        <v>6.6720470969662324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31.244853091456648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278.5296012747549</v>
      </c>
      <c r="T92" s="59">
        <f t="shared" si="88"/>
        <v>370.55343097937077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115.59529419426451</v>
      </c>
      <c r="AA92" s="21">
        <f>EXP(-LN(2)/25)*AA91+(1-EXP(-LN(2)/25))/(LN(2)/25)*Calculateur!V92*Calculateur!X92*VLOOKUP('Données projet'!$B$9,Paramètres!$A$1:$I$89,3,0)*0.475*44/12</f>
        <v>22.442932037459684</v>
      </c>
      <c r="AB92" s="21">
        <f>EXP(-LN(2)/2)*AB91+(1-EXP(-LN(2)/2))/(LN(2)/2)*V92*Y92*VLOOKUP('Données projet'!$B$9,Paramètres!$A$1:$I$89,3,0)*0.475*44/12</f>
        <v>2.6063006594934443E-4</v>
      </c>
      <c r="AC92" s="22">
        <f t="shared" si="57"/>
        <v>138.03848686179015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179.44051550872138</v>
      </c>
      <c r="AO92" s="59">
        <f t="shared" si="90"/>
        <v>272.9500808380069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46.910250060419266</v>
      </c>
      <c r="AV92" s="21">
        <f>EXP(-LN(2)/25)*AV91+(1-EXP(-LN(2)/25))/(LN(2)/25)*Calculateur!AQ92*Calculateur!AS92*VLOOKUP('Données projet'!$B$10,Paramètres!$A$1:$I$89,3,0)*0.475*44/12</f>
        <v>64.716498396976476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111.62674845739573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266.99999999999983</v>
      </c>
      <c r="BE92" s="13">
        <f>BD92*VLOOKUP('Données projet'!$B$11,Paramètres!$A$1:$I$89,3,0)*VLOOKUP('Données projet'!$B$11,Paramètres!$A$1:$I$89,5,0)</f>
        <v>212.42519999999985</v>
      </c>
      <c r="BF92" s="13">
        <f t="shared" si="91"/>
        <v>52.465198231787184</v>
      </c>
      <c r="BG92" s="20">
        <f t="shared" si="61"/>
        <v>461.35077692036231</v>
      </c>
      <c r="BH92" s="59">
        <f t="shared" si="62"/>
        <v>754.68411025369562</v>
      </c>
      <c r="BI92" s="59">
        <f ca="1">AVERAGE(OFFSET($BH$3,0,0,'Données projet'!$E$11+1,1))-AVERAGE(OFFSET($H$3,0,0,'Données projet'!$E$11+1,1))</f>
        <v>225.2323446080772</v>
      </c>
      <c r="BJ92" s="59">
        <f t="shared" si="92"/>
        <v>222.29030402759292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24.090948256870181</v>
      </c>
      <c r="BQ92" s="21">
        <f>EXP(-LN(2)/25)*BQ91+(1-EXP(-LN(2)/25))/(LN(2)/25)*Calculateur!BL92*Calculateur!BN92*VLOOKUP('Données projet'!$B$11,Paramètres!$A$1:$I$89,3,0)*0.475*44/12</f>
        <v>6.4895996182319831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30.580547875102162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278.5296012747549</v>
      </c>
      <c r="T93" s="59">
        <f t="shared" si="88"/>
        <v>370.55343097937077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113.32854098128254</v>
      </c>
      <c r="AA93" s="21">
        <f>EXP(-LN(2)/25)*AA92+(1-EXP(-LN(2)/25))/(LN(2)/25)*Calculateur!V93*Calculateur!X93*VLOOKUP('Données projet'!$B$9,Paramètres!$A$1:$I$89,3,0)*0.475*44/12</f>
        <v>21.829228880672847</v>
      </c>
      <c r="AB93" s="21">
        <f>EXP(-LN(2)/2)*AB92+(1-EXP(-LN(2)/2))/(LN(2)/2)*V93*Y93*VLOOKUP('Données projet'!$B$9,Paramètres!$A$1:$I$89,3,0)*0.475*44/12</f>
        <v>1.8429328701387854E-4</v>
      </c>
      <c r="AC93" s="22">
        <f t="shared" si="57"/>
        <v>135.15795415524241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179.44051550872138</v>
      </c>
      <c r="AO93" s="59">
        <f t="shared" si="90"/>
        <v>272.9500808380069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45.990368669161739</v>
      </c>
      <c r="AV93" s="21">
        <f>EXP(-LN(2)/25)*AV92+(1-EXP(-LN(2)/25))/(LN(2)/25)*Calculateur!AQ93*Calculateur!AS93*VLOOKUP('Données projet'!$B$10,Paramètres!$A$1:$I$89,3,0)*0.475*44/12</f>
        <v>62.946822345018418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108.93719101418016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266.99999999999983</v>
      </c>
      <c r="BE93" s="13">
        <f>BD93*VLOOKUP('Données projet'!$B$11,Paramètres!$A$1:$I$89,3,0)*VLOOKUP('Données projet'!$B$11,Paramètres!$A$1:$I$89,5,0)</f>
        <v>212.42519999999985</v>
      </c>
      <c r="BF93" s="13">
        <f t="shared" si="91"/>
        <v>52.465198231787184</v>
      </c>
      <c r="BG93" s="20">
        <f t="shared" si="61"/>
        <v>461.35077692036231</v>
      </c>
      <c r="BH93" s="59">
        <f t="shared" si="62"/>
        <v>754.68411025369562</v>
      </c>
      <c r="BI93" s="59">
        <f ca="1">AVERAGE(OFFSET($BH$3,0,0,'Données projet'!$E$11+1,1))-AVERAGE(OFFSET($H$3,0,0,'Données projet'!$E$11+1,1))</f>
        <v>225.2323446080772</v>
      </c>
      <c r="BJ93" s="59">
        <f t="shared" si="92"/>
        <v>222.29030402759292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23.618539455580478</v>
      </c>
      <c r="BQ93" s="21">
        <f>EXP(-LN(2)/25)*BQ92+(1-EXP(-LN(2)/25))/(LN(2)/25)*Calculateur!BL93*Calculateur!BN93*VLOOKUP('Données projet'!$B$11,Paramètres!$A$1:$I$89,3,0)*0.475*44/12</f>
        <v>6.3121411753982182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29.930680630978696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278.5296012747549</v>
      </c>
      <c r="T94" s="59">
        <f t="shared" si="88"/>
        <v>370.55343097937077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111.1062374162242</v>
      </c>
      <c r="AA94" s="21">
        <f>EXP(-LN(2)/25)*AA93+(1-EXP(-LN(2)/25))/(LN(2)/25)*Calculateur!V94*Calculateur!X94*VLOOKUP('Données projet'!$B$9,Paramètres!$A$1:$I$89,3,0)*0.475*44/12</f>
        <v>21.232307468981592</v>
      </c>
      <c r="AB94" s="21">
        <f>EXP(-LN(2)/2)*AB93+(1-EXP(-LN(2)/2))/(LN(2)/2)*V94*Y94*VLOOKUP('Données projet'!$B$9,Paramètres!$A$1:$I$89,3,0)*0.475*44/12</f>
        <v>1.3031503297467222E-4</v>
      </c>
      <c r="AC94" s="22">
        <f t="shared" si="57"/>
        <v>132.33867520023878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179.44051550872138</v>
      </c>
      <c r="AO94" s="59">
        <f t="shared" si="90"/>
        <v>272.9500808380069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45.088525590914522</v>
      </c>
      <c r="AV94" s="21">
        <f>EXP(-LN(2)/25)*AV93+(1-EXP(-LN(2)/25))/(LN(2)/25)*Calculateur!AQ94*Calculateur!AS94*VLOOKUP('Données projet'!$B$10,Paramètres!$A$1:$I$89,3,0)*0.475*44/12</f>
        <v>61.225538177764371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106.31406376867889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266.99999999999983</v>
      </c>
      <c r="BE94" s="13">
        <f>BD94*VLOOKUP('Données projet'!$B$11,Paramètres!$A$1:$I$89,3,0)*VLOOKUP('Données projet'!$B$11,Paramètres!$A$1:$I$89,5,0)</f>
        <v>212.42519999999985</v>
      </c>
      <c r="BF94" s="13">
        <f t="shared" si="91"/>
        <v>52.465198231787184</v>
      </c>
      <c r="BG94" s="20">
        <f t="shared" si="61"/>
        <v>461.35077692036231</v>
      </c>
      <c r="BH94" s="59">
        <f t="shared" si="62"/>
        <v>754.68411025369562</v>
      </c>
      <c r="BI94" s="59">
        <f ca="1">AVERAGE(OFFSET($BH$3,0,0,'Données projet'!$E$11+1,1))-AVERAGE(OFFSET($H$3,0,0,'Données projet'!$E$11+1,1))</f>
        <v>225.2323446080772</v>
      </c>
      <c r="BJ94" s="59">
        <f t="shared" si="92"/>
        <v>222.29030402759292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23.155394302743151</v>
      </c>
      <c r="BQ94" s="21">
        <f>EXP(-LN(2)/25)*BQ93+(1-EXP(-LN(2)/25))/(LN(2)/25)*Calculateur!BL94*Calculateur!BN94*VLOOKUP('Données projet'!$B$11,Paramètres!$A$1:$I$89,3,0)*0.475*44/12</f>
        <v>6.1395353430158757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29.294929645759026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278.5296012747549</v>
      </c>
      <c r="T95" s="59">
        <f t="shared" si="88"/>
        <v>370.55343097937077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108.92751186860532</v>
      </c>
      <c r="AA95" s="21">
        <f>EXP(-LN(2)/25)*AA94+(1-EXP(-LN(2)/25))/(LN(2)/25)*Calculateur!V95*Calculateur!X95*VLOOKUP('Données projet'!$B$9,Paramètres!$A$1:$I$89,3,0)*0.475*44/12</f>
        <v>20.651708904683769</v>
      </c>
      <c r="AB95" s="21">
        <f>EXP(-LN(2)/2)*AB94+(1-EXP(-LN(2)/2))/(LN(2)/2)*V95*Y95*VLOOKUP('Données projet'!$B$9,Paramètres!$A$1:$I$89,3,0)*0.475*44/12</f>
        <v>9.2146643506939272E-5</v>
      </c>
      <c r="AC95" s="22">
        <f t="shared" si="57"/>
        <v>129.57931291993259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179.44051550872138</v>
      </c>
      <c r="AO95" s="59">
        <f t="shared" si="90"/>
        <v>272.9500808380069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44.204367105361769</v>
      </c>
      <c r="AV95" s="21">
        <f>EXP(-LN(2)/25)*AV94+(1-EXP(-LN(2)/25))/(LN(2)/25)*Calculateur!AQ95*Calculateur!AS95*VLOOKUP('Données projet'!$B$10,Paramètres!$A$1:$I$89,3,0)*0.475*44/12</f>
        <v>59.551322616582283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103.75568972194405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266.99999999999983</v>
      </c>
      <c r="BE95" s="13">
        <f>BD95*VLOOKUP('Données projet'!$B$11,Paramètres!$A$1:$I$89,3,0)*VLOOKUP('Données projet'!$B$11,Paramètres!$A$1:$I$89,5,0)</f>
        <v>212.42519999999985</v>
      </c>
      <c r="BF95" s="13">
        <f t="shared" si="91"/>
        <v>52.465198231787184</v>
      </c>
      <c r="BG95" s="20">
        <f t="shared" si="61"/>
        <v>461.35077692036231</v>
      </c>
      <c r="BH95" s="59">
        <f t="shared" si="62"/>
        <v>754.68411025369562</v>
      </c>
      <c r="BI95" s="59">
        <f ca="1">AVERAGE(OFFSET($BH$3,0,0,'Données projet'!$E$11+1,1))-AVERAGE(OFFSET($H$3,0,0,'Données projet'!$E$11+1,1))</f>
        <v>225.2323446080772</v>
      </c>
      <c r="BJ95" s="59">
        <f t="shared" si="92"/>
        <v>222.29030402759292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22.701331143862312</v>
      </c>
      <c r="BQ95" s="21">
        <f>EXP(-LN(2)/25)*BQ94+(1-EXP(-LN(2)/25))/(LN(2)/25)*Calculateur!BL95*Calculateur!BN95*VLOOKUP('Données projet'!$B$11,Paramètres!$A$1:$I$89,3,0)*0.475*44/12</f>
        <v>5.9716494261969748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28.672980570059288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278.5296012747549</v>
      </c>
      <c r="T96" s="59">
        <f t="shared" si="88"/>
        <v>370.55343097937077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106.79150980008389</v>
      </c>
      <c r="AA96" s="21">
        <f>EXP(-LN(2)/25)*AA95+(1-EXP(-LN(2)/25))/(LN(2)/25)*Calculateur!V96*Calculateur!X96*VLOOKUP('Données projet'!$B$9,Paramètres!$A$1:$I$89,3,0)*0.475*44/12</f>
        <v>20.086986838659019</v>
      </c>
      <c r="AB96" s="21">
        <f>EXP(-LN(2)/2)*AB95+(1-EXP(-LN(2)/2))/(LN(2)/2)*V96*Y96*VLOOKUP('Données projet'!$B$9,Paramètres!$A$1:$I$89,3,0)*0.475*44/12</f>
        <v>6.5157516487336108E-5</v>
      </c>
      <c r="AC96" s="22">
        <f t="shared" si="57"/>
        <v>126.87856179625939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179.44051550872138</v>
      </c>
      <c r="AO96" s="59">
        <f t="shared" si="90"/>
        <v>272.9500808380069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43.337546428427281</v>
      </c>
      <c r="AV96" s="21">
        <f>EXP(-LN(2)/25)*AV95+(1-EXP(-LN(2)/25))/(LN(2)/25)*Calculateur!AQ96*Calculateur!AS96*VLOOKUP('Données projet'!$B$10,Paramètres!$A$1:$I$89,3,0)*0.475*44/12</f>
        <v>57.922888567963888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101.26043499639117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266.99999999999983</v>
      </c>
      <c r="BE96" s="13">
        <f>BD96*VLOOKUP('Données projet'!$B$11,Paramètres!$A$1:$I$89,3,0)*VLOOKUP('Données projet'!$B$11,Paramètres!$A$1:$I$89,5,0)</f>
        <v>212.42519999999985</v>
      </c>
      <c r="BF96" s="13">
        <f t="shared" si="91"/>
        <v>52.465198231787184</v>
      </c>
      <c r="BG96" s="20">
        <f t="shared" si="61"/>
        <v>461.35077692036231</v>
      </c>
      <c r="BH96" s="59">
        <f t="shared" si="62"/>
        <v>754.68411025369562</v>
      </c>
      <c r="BI96" s="59">
        <f ca="1">AVERAGE(OFFSET($BH$3,0,0,'Données projet'!$E$11+1,1))-AVERAGE(OFFSET($H$3,0,0,'Données projet'!$E$11+1,1))</f>
        <v>225.2323446080772</v>
      </c>
      <c r="BJ96" s="59">
        <f t="shared" si="92"/>
        <v>222.29030402759292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22.256171886575945</v>
      </c>
      <c r="BQ96" s="21">
        <f>EXP(-LN(2)/25)*BQ95+(1-EXP(-LN(2)/25))/(LN(2)/25)*Calculateur!BL96*Calculateur!BN96*VLOOKUP('Données projet'!$B$11,Paramètres!$A$1:$I$89,3,0)*0.475*44/12</f>
        <v>5.8083543586022239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28.064526245178168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278.5296012747549</v>
      </c>
      <c r="T97" s="59">
        <f t="shared" si="88"/>
        <v>370.55343097937077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104.69739342929354</v>
      </c>
      <c r="AA97" s="21">
        <f>EXP(-LN(2)/25)*AA96+(1-EXP(-LN(2)/25))/(LN(2)/25)*Calculateur!V97*Calculateur!X97*VLOOKUP('Données projet'!$B$9,Paramètres!$A$1:$I$89,3,0)*0.475*44/12</f>
        <v>19.537707127227161</v>
      </c>
      <c r="AB97" s="21">
        <f>EXP(-LN(2)/2)*AB96+(1-EXP(-LN(2)/2))/(LN(2)/2)*V97*Y97*VLOOKUP('Données projet'!$B$9,Paramètres!$A$1:$I$89,3,0)*0.475*44/12</f>
        <v>4.6073321753469636E-5</v>
      </c>
      <c r="AC97" s="22">
        <f t="shared" si="57"/>
        <v>124.23514662984246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179.44051550872138</v>
      </c>
      <c r="AO97" s="59">
        <f t="shared" si="90"/>
        <v>272.9500808380069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42.487723576259071</v>
      </c>
      <c r="AV97" s="21">
        <f>EXP(-LN(2)/25)*AV96+(1-EXP(-LN(2)/25))/(LN(2)/25)*Calculateur!AQ97*Calculateur!AS97*VLOOKUP('Données projet'!$B$10,Paramètres!$A$1:$I$89,3,0)*0.475*44/12</f>
        <v>56.338984134040587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98.826707710299658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266.99999999999983</v>
      </c>
      <c r="BE97" s="13">
        <f>BD97*VLOOKUP('Données projet'!$B$11,Paramètres!$A$1:$I$89,3,0)*VLOOKUP('Données projet'!$B$11,Paramètres!$A$1:$I$89,5,0)</f>
        <v>212.42519999999985</v>
      </c>
      <c r="BF97" s="13">
        <f t="shared" si="91"/>
        <v>52.465198231787184</v>
      </c>
      <c r="BG97" s="20">
        <f t="shared" si="61"/>
        <v>461.35077692036231</v>
      </c>
      <c r="BH97" s="59">
        <f t="shared" si="62"/>
        <v>754.68411025369562</v>
      </c>
      <c r="BI97" s="59">
        <f ca="1">AVERAGE(OFFSET($BH$3,0,0,'Données projet'!$E$11+1,1))-AVERAGE(OFFSET($H$3,0,0,'Données projet'!$E$11+1,1))</f>
        <v>225.2323446080772</v>
      </c>
      <c r="BJ97" s="59">
        <f t="shared" si="92"/>
        <v>222.29030402759292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21.819741930804629</v>
      </c>
      <c r="BQ97" s="21">
        <f>EXP(-LN(2)/25)*BQ96+(1-EXP(-LN(2)/25))/(LN(2)/25)*Calculateur!BL97*Calculateur!BN97*VLOOKUP('Données projet'!$B$11,Paramètres!$A$1:$I$89,3,0)*0.475*44/12</f>
        <v>5.6495246032181656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27.469266534022793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278.5296012747549</v>
      </c>
      <c r="T98" s="59">
        <f t="shared" si="88"/>
        <v>370.55343097937077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102.64434140324953</v>
      </c>
      <c r="AA98" s="21">
        <f>EXP(-LN(2)/25)*AA97+(1-EXP(-LN(2)/25))/(LN(2)/25)*Calculateur!V98*Calculateur!X98*VLOOKUP('Données projet'!$B$9,Paramètres!$A$1:$I$89,3,0)*0.475*44/12</f>
        <v>19.003447498389772</v>
      </c>
      <c r="AB98" s="21">
        <f>EXP(-LN(2)/2)*AB97+(1-EXP(-LN(2)/2))/(LN(2)/2)*V98*Y98*VLOOKUP('Données projet'!$B$9,Paramètres!$A$1:$I$89,3,0)*0.475*44/12</f>
        <v>3.2578758243668054E-5</v>
      </c>
      <c r="AC98" s="22">
        <f t="shared" si="57"/>
        <v>121.64782148039754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179.44051550872138</v>
      </c>
      <c r="AO98" s="59">
        <f t="shared" si="90"/>
        <v>272.9500808380069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41.654565231881122</v>
      </c>
      <c r="AV98" s="21">
        <f>EXP(-LN(2)/25)*AV97+(1-EXP(-LN(2)/25))/(LN(2)/25)*Calculateur!AQ98*Calculateur!AS98*VLOOKUP('Données projet'!$B$10,Paramètres!$A$1:$I$89,3,0)*0.475*44/12</f>
        <v>54.798391650156837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96.452956882037967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266.99999999999983</v>
      </c>
      <c r="BE98" s="13">
        <f>BD98*VLOOKUP('Données projet'!$B$11,Paramètres!$A$1:$I$89,3,0)*VLOOKUP('Données projet'!$B$11,Paramètres!$A$1:$I$89,5,0)</f>
        <v>212.42519999999985</v>
      </c>
      <c r="BF98" s="13">
        <f t="shared" si="91"/>
        <v>52.465198231787184</v>
      </c>
      <c r="BG98" s="20">
        <f t="shared" si="61"/>
        <v>461.35077692036231</v>
      </c>
      <c r="BH98" s="59">
        <f t="shared" si="62"/>
        <v>754.68411025369562</v>
      </c>
      <c r="BI98" s="59">
        <f ca="1">AVERAGE(OFFSET($BH$3,0,0,'Données projet'!$E$11+1,1))-AVERAGE(OFFSET($H$3,0,0,'Données projet'!$E$11+1,1))</f>
        <v>225.2323446080772</v>
      </c>
      <c r="BJ98" s="59">
        <f t="shared" si="92"/>
        <v>222.29030402759292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21.391870100270001</v>
      </c>
      <c r="BQ98" s="21">
        <f>EXP(-LN(2)/25)*BQ97+(1-EXP(-LN(2)/25))/(LN(2)/25)*Calculateur!BL98*Calculateur!BN98*VLOOKUP('Données projet'!$B$11,Paramètres!$A$1:$I$89,3,0)*0.475*44/12</f>
        <v>5.4950380558475782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26.886908156117578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278.5296012747549</v>
      </c>
      <c r="T99" s="59">
        <f t="shared" si="88"/>
        <v>370.55343097937077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100.63154847519814</v>
      </c>
      <c r="AA99" s="21">
        <f>EXP(-LN(2)/25)*AA98+(1-EXP(-LN(2)/25))/(LN(2)/25)*Calculateur!V99*Calculateur!X99*VLOOKUP('Données projet'!$B$9,Paramètres!$A$1:$I$89,3,0)*0.475*44/12</f>
        <v>18.483797227198433</v>
      </c>
      <c r="AB99" s="21">
        <f>EXP(-LN(2)/2)*AB98+(1-EXP(-LN(2)/2))/(LN(2)/2)*V99*Y99*VLOOKUP('Données projet'!$B$9,Paramètres!$A$1:$I$89,3,0)*0.475*44/12</f>
        <v>2.3036660876734818E-5</v>
      </c>
      <c r="AC99" s="22">
        <f t="shared" si="57"/>
        <v>119.11536873905746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179.44051550872138</v>
      </c>
      <c r="AO99" s="59">
        <f t="shared" si="90"/>
        <v>272.9500808380069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40.837744614460014</v>
      </c>
      <c r="AV99" s="21">
        <f>EXP(-LN(2)/25)*AV98+(1-EXP(-LN(2)/25))/(LN(2)/25)*Calculateur!AQ99*Calculateur!AS99*VLOOKUP('Données projet'!$B$10,Paramètres!$A$1:$I$89,3,0)*0.475*44/12</f>
        <v>53.299926748761123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94.137671363221131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266.99999999999983</v>
      </c>
      <c r="BE99" s="13">
        <f>BD99*VLOOKUP('Données projet'!$B$11,Paramètres!$A$1:$I$89,3,0)*VLOOKUP('Données projet'!$B$11,Paramètres!$A$1:$I$89,5,0)</f>
        <v>212.42519999999985</v>
      </c>
      <c r="BF99" s="13">
        <f t="shared" si="91"/>
        <v>52.465198231787184</v>
      </c>
      <c r="BG99" s="20">
        <f t="shared" si="61"/>
        <v>461.35077692036231</v>
      </c>
      <c r="BH99" s="59">
        <f t="shared" si="62"/>
        <v>754.68411025369562</v>
      </c>
      <c r="BI99" s="59">
        <f ca="1">AVERAGE(OFFSET($BH$3,0,0,'Données projet'!$E$11+1,1))-AVERAGE(OFFSET($H$3,0,0,'Données projet'!$E$11+1,1))</f>
        <v>225.2323446080772</v>
      </c>
      <c r="BJ99" s="59">
        <f t="shared" si="92"/>
        <v>222.29030402759292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20.97238857535611</v>
      </c>
      <c r="BQ99" s="21">
        <f>EXP(-LN(2)/25)*BQ98+(1-EXP(-LN(2)/25))/(LN(2)/25)*Calculateur!BL99*Calculateur!BN99*VLOOKUP('Données projet'!$B$11,Paramètres!$A$1:$I$89,3,0)*0.475*44/12</f>
        <v>5.3447759512389341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26.317164526595043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278.5296012747549</v>
      </c>
      <c r="T100" s="59">
        <f t="shared" si="88"/>
        <v>370.55343097937077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98.658225188783391</v>
      </c>
      <c r="AA100" s="21">
        <f>EXP(-LN(2)/25)*AA99+(1-EXP(-LN(2)/25))/(LN(2)/25)*Calculateur!V100*Calculateur!X100*VLOOKUP('Données projet'!$B$9,Paramètres!$A$1:$I$89,3,0)*0.475*44/12</f>
        <v>17.978356820000041</v>
      </c>
      <c r="AB100" s="21">
        <f>EXP(-LN(2)/2)*AB99+(1-EXP(-LN(2)/2))/(LN(2)/2)*V100*Y100*VLOOKUP('Données projet'!$B$9,Paramètres!$A$1:$I$89,3,0)*0.475*44/12</f>
        <v>1.6289379121834027E-5</v>
      </c>
      <c r="AC100" s="22">
        <f t="shared" si="57"/>
        <v>116.63659829816255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179.44051550872138</v>
      </c>
      <c r="AO100" s="59">
        <f t="shared" si="90"/>
        <v>272.9500808380069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40.036941351135148</v>
      </c>
      <c r="AV100" s="21">
        <f>EXP(-LN(2)/25)*AV99+(1-EXP(-LN(2)/25))/(LN(2)/25)*Calculateur!AQ100*Calculateur!AS100*VLOOKUP('Données projet'!$B$10,Paramètres!$A$1:$I$89,3,0)*0.475*44/12</f>
        <v>51.84243744889492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91.879378800030068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266.99999999999983</v>
      </c>
      <c r="BE100" s="13">
        <f>BD100*VLOOKUP('Données projet'!$B$11,Paramètres!$A$1:$I$89,3,0)*VLOOKUP('Données projet'!$B$11,Paramètres!$A$1:$I$89,5,0)</f>
        <v>212.42519999999985</v>
      </c>
      <c r="BF100" s="13">
        <f t="shared" si="91"/>
        <v>52.465198231787184</v>
      </c>
      <c r="BG100" s="20">
        <f t="shared" si="61"/>
        <v>461.35077692036231</v>
      </c>
      <c r="BH100" s="59">
        <f t="shared" si="62"/>
        <v>754.68411025369562</v>
      </c>
      <c r="BI100" s="59">
        <f ca="1">AVERAGE(OFFSET($BH$3,0,0,'Données projet'!$E$11+1,1))-AVERAGE(OFFSET($H$3,0,0,'Données projet'!$E$11+1,1))</f>
        <v>225.2323446080772</v>
      </c>
      <c r="BJ100" s="59">
        <f t="shared" si="92"/>
        <v>222.29030402759292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20.561132827287313</v>
      </c>
      <c r="BQ100" s="21">
        <f>EXP(-LN(2)/25)*BQ99+(1-EXP(-LN(2)/25))/(LN(2)/25)*Calculateur!BL100*Calculateur!BN100*VLOOKUP('Données projet'!$B$11,Paramètres!$A$1:$I$89,3,0)*0.475*44/12</f>
        <v>5.1986227717827536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25.759755599070068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278.5296012747549</v>
      </c>
      <c r="T101" s="59">
        <f t="shared" si="88"/>
        <v>370.55343097937077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96.723597568406873</v>
      </c>
      <c r="AA101" s="21">
        <f>EXP(-LN(2)/25)*AA100+(1-EXP(-LN(2)/25))/(LN(2)/25)*Calculateur!V101*Calculateur!X101*VLOOKUP('Données projet'!$B$9,Paramètres!$A$1:$I$89,3,0)*0.475*44/12</f>
        <v>17.486737707316443</v>
      </c>
      <c r="AB101" s="21">
        <f>EXP(-LN(2)/2)*AB100+(1-EXP(-LN(2)/2))/(LN(2)/2)*V101*Y101*VLOOKUP('Données projet'!$B$9,Paramètres!$A$1:$I$89,3,0)*0.475*44/12</f>
        <v>1.1518330438367409E-5</v>
      </c>
      <c r="AC101" s="22">
        <f t="shared" si="57"/>
        <v>114.21034679405375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179.44051550872138</v>
      </c>
      <c r="AO101" s="59">
        <f t="shared" si="90"/>
        <v>272.9500808380069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39.251841351362323</v>
      </c>
      <c r="AV101" s="21">
        <f>EXP(-LN(2)/25)*AV100+(1-EXP(-LN(2)/25))/(LN(2)/25)*Calculateur!AQ101*Calculateur!AS101*VLOOKUP('Données projet'!$B$10,Paramètres!$A$1:$I$89,3,0)*0.475*44/12</f>
        <v>50.424803270579588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89.676644621941904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266.99999999999983</v>
      </c>
      <c r="BE101" s="13">
        <f>BD101*VLOOKUP('Données projet'!$B$11,Paramètres!$A$1:$I$89,3,0)*VLOOKUP('Données projet'!$B$11,Paramètres!$A$1:$I$89,5,0)</f>
        <v>212.42519999999985</v>
      </c>
      <c r="BF101" s="13">
        <f t="shared" si="91"/>
        <v>52.465198231787184</v>
      </c>
      <c r="BG101" s="20">
        <f t="shared" si="61"/>
        <v>461.35077692036231</v>
      </c>
      <c r="BH101" s="59">
        <f t="shared" si="62"/>
        <v>754.68411025369562</v>
      </c>
      <c r="BI101" s="59">
        <f ca="1">AVERAGE(OFFSET($BH$3,0,0,'Données projet'!$E$11+1,1))-AVERAGE(OFFSET($H$3,0,0,'Données projet'!$E$11+1,1))</f>
        <v>225.2323446080772</v>
      </c>
      <c r="BJ101" s="59">
        <f t="shared" si="92"/>
        <v>222.29030402759292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20.157941553596906</v>
      </c>
      <c r="BQ101" s="21">
        <f>EXP(-LN(2)/25)*BQ100+(1-EXP(-LN(2)/25))/(LN(2)/25)*Calculateur!BL101*Calculateur!BN101*VLOOKUP('Données projet'!$B$11,Paramètres!$A$1:$I$89,3,0)*0.475*44/12</f>
        <v>5.056466158704664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25.214407712301572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278.5296012747549</v>
      </c>
      <c r="T102" s="59">
        <f t="shared" si="88"/>
        <v>370.55343097937077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94.826906815659598</v>
      </c>
      <c r="AA102" s="21">
        <f>EXP(-LN(2)/25)*AA101+(1-EXP(-LN(2)/25))/(LN(2)/25)*Calculateur!V102*Calculateur!X102*VLOOKUP('Données projet'!$B$9,Paramètres!$A$1:$I$89,3,0)*0.475*44/12</f>
        <v>17.008561945122306</v>
      </c>
      <c r="AB102" s="21">
        <f>EXP(-LN(2)/2)*AB101+(1-EXP(-LN(2)/2))/(LN(2)/2)*V102*Y102*VLOOKUP('Données projet'!$B$9,Paramètres!$A$1:$I$89,3,0)*0.475*44/12</f>
        <v>8.1446895609170135E-6</v>
      </c>
      <c r="AC102" s="22">
        <f t="shared" si="57"/>
        <v>111.83547690547147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179.44051550872138</v>
      </c>
      <c r="AO102" s="59">
        <f t="shared" si="90"/>
        <v>272.9500808380069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38.482136683721329</v>
      </c>
      <c r="AV102" s="21">
        <f>EXP(-LN(2)/25)*AV101+(1-EXP(-LN(2)/25))/(LN(2)/25)*Calculateur!AQ102*Calculateur!AS102*VLOOKUP('Données projet'!$B$10,Paramètres!$A$1:$I$89,3,0)*0.475*44/12</f>
        <v>49.04593437342043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87.528071057141759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266.99999999999983</v>
      </c>
      <c r="BE102" s="13">
        <f>BD102*VLOOKUP('Données projet'!$B$11,Paramètres!$A$1:$I$89,3,0)*VLOOKUP('Données projet'!$B$11,Paramètres!$A$1:$I$89,5,0)</f>
        <v>212.42519999999985</v>
      </c>
      <c r="BF102" s="13">
        <f t="shared" si="91"/>
        <v>52.465198231787184</v>
      </c>
      <c r="BG102" s="20">
        <f t="shared" si="61"/>
        <v>461.35077692036231</v>
      </c>
      <c r="BH102" s="59">
        <f t="shared" si="62"/>
        <v>754.68411025369562</v>
      </c>
      <c r="BI102" s="59">
        <f ca="1">AVERAGE(OFFSET($BH$3,0,0,'Données projet'!$E$11+1,1))-AVERAGE(OFFSET($H$3,0,0,'Données projet'!$E$11+1,1))</f>
        <v>225.2323446080772</v>
      </c>
      <c r="BJ102" s="59">
        <f t="shared" si="92"/>
        <v>222.29030402759292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19.762656614861175</v>
      </c>
      <c r="BQ102" s="21">
        <f>EXP(-LN(2)/25)*BQ101+(1-EXP(-LN(2)/25))/(LN(2)/25)*Calculateur!BL102*Calculateur!BN102*VLOOKUP('Données projet'!$B$11,Paramètres!$A$1:$I$89,3,0)*0.475*44/12</f>
        <v>4.918196825686886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24.680853440548063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278.5296012747549</v>
      </c>
      <c r="T103" s="59">
        <f t="shared" si="88"/>
        <v>370.55343097937077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92.967409011706579</v>
      </c>
      <c r="AA103" s="21">
        <f>EXP(-LN(2)/25)*AA102+(1-EXP(-LN(2)/25))/(LN(2)/25)*Calculateur!V103*Calculateur!X103*VLOOKUP('Données projet'!$B$9,Paramètres!$A$1:$I$89,3,0)*0.475*44/12</f>
        <v>16.543461924291538</v>
      </c>
      <c r="AB103" s="21">
        <f>EXP(-LN(2)/2)*AB102+(1-EXP(-LN(2)/2))/(LN(2)/2)*V103*Y103*VLOOKUP('Données projet'!$B$9,Paramètres!$A$1:$I$89,3,0)*0.475*44/12</f>
        <v>5.7591652191837045E-6</v>
      </c>
      <c r="AC103" s="22">
        <f t="shared" si="57"/>
        <v>109.51087669516333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179.44051550872138</v>
      </c>
      <c r="AO103" s="59">
        <f t="shared" si="90"/>
        <v>272.9500808380069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37.727525455139286</v>
      </c>
      <c r="AV103" s="21">
        <f>EXP(-LN(2)/25)*AV102+(1-EXP(-LN(2)/25))/(LN(2)/25)*Calculateur!AQ103*Calculateur!AS103*VLOOKUP('Données projet'!$B$10,Paramètres!$A$1:$I$89,3,0)*0.475*44/12</f>
        <v>47.704770718765658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85.432296173904945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266.99999999999983</v>
      </c>
      <c r="BE103" s="13">
        <f>BD103*VLOOKUP('Données projet'!$B$11,Paramètres!$A$1:$I$89,3,0)*VLOOKUP('Données projet'!$B$11,Paramètres!$A$1:$I$89,5,0)</f>
        <v>212.42519999999985</v>
      </c>
      <c r="BF103" s="13">
        <f t="shared" si="91"/>
        <v>52.465198231787184</v>
      </c>
      <c r="BG103" s="20">
        <f t="shared" si="61"/>
        <v>461.35077692036231</v>
      </c>
      <c r="BH103" s="59">
        <f t="shared" si="62"/>
        <v>754.68411025369562</v>
      </c>
      <c r="BI103" s="59">
        <f ca="1">AVERAGE(OFFSET($BH$3,0,0,'Données projet'!$E$11+1,1))-AVERAGE(OFFSET($H$3,0,0,'Données projet'!$E$11+1,1))</f>
        <v>225.2323446080772</v>
      </c>
      <c r="BJ103" s="59">
        <f t="shared" si="92"/>
        <v>222.29030402759292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19.375122972674045</v>
      </c>
      <c r="BQ103" s="21">
        <f>EXP(-LN(2)/25)*BQ102+(1-EXP(-LN(2)/25))/(LN(2)/25)*Calculateur!BL103*Calculateur!BN103*VLOOKUP('Données projet'!$B$11,Paramètres!$A$1:$I$89,3,0)*0.475*44/12</f>
        <v>4.783708474851748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24.158831447525792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278.5296012747549</v>
      </c>
      <c r="T104" s="59">
        <f t="shared" si="88"/>
        <v>370.55343097937077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91.144374825507398</v>
      </c>
      <c r="AA104" s="21">
        <f>EXP(-LN(2)/25)*AA103+(1-EXP(-LN(2)/25))/(LN(2)/25)*Calculateur!V104*Calculateur!X104*VLOOKUP('Données projet'!$B$9,Paramètres!$A$1:$I$89,3,0)*0.475*44/12</f>
        <v>16.091080087988935</v>
      </c>
      <c r="AB104" s="21">
        <f>EXP(-LN(2)/2)*AB103+(1-EXP(-LN(2)/2))/(LN(2)/2)*V104*Y104*VLOOKUP('Données projet'!$B$9,Paramètres!$A$1:$I$89,3,0)*0.475*44/12</f>
        <v>4.0723447804585067E-6</v>
      </c>
      <c r="AC104" s="22">
        <f t="shared" si="57"/>
        <v>107.23545898584112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179.44051550872138</v>
      </c>
      <c r="AO104" s="59">
        <f t="shared" si="90"/>
        <v>272.9500808380069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36.987711692482335</v>
      </c>
      <c r="AV104" s="21">
        <f>EXP(-LN(2)/25)*AV103+(1-EXP(-LN(2)/25))/(LN(2)/25)*Calculateur!AQ104*Calculateur!AS104*VLOOKUP('Données projet'!$B$10,Paramètres!$A$1:$I$89,3,0)*0.475*44/12</f>
        <v>46.400281254776154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83.387992947258482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266.99999999999983</v>
      </c>
      <c r="BE104" s="13">
        <f>BD104*VLOOKUP('Données projet'!$B$11,Paramètres!$A$1:$I$89,3,0)*VLOOKUP('Données projet'!$B$11,Paramètres!$A$1:$I$89,5,0)</f>
        <v>212.42519999999985</v>
      </c>
      <c r="BF104" s="13">
        <f t="shared" si="91"/>
        <v>52.465198231787184</v>
      </c>
      <c r="BG104" s="20">
        <f t="shared" si="61"/>
        <v>461.35077692036231</v>
      </c>
      <c r="BH104" s="59">
        <f t="shared" si="62"/>
        <v>754.68411025369562</v>
      </c>
      <c r="BI104" s="59">
        <f ca="1">AVERAGE(OFFSET($BH$3,0,0,'Données projet'!$E$11+1,1))-AVERAGE(OFFSET($H$3,0,0,'Données projet'!$E$11+1,1))</f>
        <v>225.2323446080772</v>
      </c>
      <c r="BJ104" s="59">
        <f t="shared" si="92"/>
        <v>222.29030402759292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18.995188628838022</v>
      </c>
      <c r="BQ104" s="21">
        <f>EXP(-LN(2)/25)*BQ103+(1-EXP(-LN(2)/25))/(LN(2)/25)*Calculateur!BL104*Calculateur!BN104*VLOOKUP('Données projet'!$B$11,Paramètres!$A$1:$I$89,3,0)*0.475*44/12</f>
        <v>4.6528977150426316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23.648086343880653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278.5296012747549</v>
      </c>
      <c r="T105" s="59">
        <f t="shared" si="88"/>
        <v>370.55343097937077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89.357089227758536</v>
      </c>
      <c r="AA105" s="21">
        <f>EXP(-LN(2)/25)*AA104+(1-EXP(-LN(2)/25))/(LN(2)/25)*Calculateur!V105*Calculateur!X105*VLOOKUP('Données projet'!$B$9,Paramètres!$A$1:$I$89,3,0)*0.475*44/12</f>
        <v>15.651068656789752</v>
      </c>
      <c r="AB105" s="21">
        <f>EXP(-LN(2)/2)*AB104+(1-EXP(-LN(2)/2))/(LN(2)/2)*V105*Y105*VLOOKUP('Données projet'!$B$9,Paramètres!$A$1:$I$89,3,0)*0.475*44/12</f>
        <v>2.8795826095918523E-6</v>
      </c>
      <c r="AC105" s="22">
        <f t="shared" si="57"/>
        <v>105.00816076413089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179.44051550872138</v>
      </c>
      <c r="AO105" s="59">
        <f t="shared" si="90"/>
        <v>272.9500808380069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36.262405226469248</v>
      </c>
      <c r="AV105" s="21">
        <f>EXP(-LN(2)/25)*AV104+(1-EXP(-LN(2)/25))/(LN(2)/25)*Calculateur!AQ105*Calculateur!AS105*VLOOKUP('Données projet'!$B$10,Paramètres!$A$1:$I$89,3,0)*0.475*44/12</f>
        <v>45.131463123779561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81.393868350248809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266.99999999999983</v>
      </c>
      <c r="BE105" s="13">
        <f>BD105*VLOOKUP('Données projet'!$B$11,Paramètres!$A$1:$I$89,3,0)*VLOOKUP('Données projet'!$B$11,Paramètres!$A$1:$I$89,5,0)</f>
        <v>212.42519999999985</v>
      </c>
      <c r="BF105" s="13">
        <f t="shared" si="91"/>
        <v>52.465198231787184</v>
      </c>
      <c r="BG105" s="20">
        <f t="shared" si="61"/>
        <v>461.35077692036231</v>
      </c>
      <c r="BH105" s="59">
        <f t="shared" si="62"/>
        <v>754.68411025369562</v>
      </c>
      <c r="BI105" s="59">
        <f ca="1">AVERAGE(OFFSET($BH$3,0,0,'Données projet'!$E$11+1,1))-AVERAGE(OFFSET($H$3,0,0,'Données projet'!$E$11+1,1))</f>
        <v>225.2323446080772</v>
      </c>
      <c r="BJ105" s="59">
        <f t="shared" si="92"/>
        <v>222.29030402759292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18.622704565747558</v>
      </c>
      <c r="BQ105" s="21">
        <f>EXP(-LN(2)/25)*BQ104+(1-EXP(-LN(2)/25))/(LN(2)/25)*Calculateur!BL105*Calculateur!BN105*VLOOKUP('Données projet'!$B$11,Paramètres!$A$1:$I$89,3,0)*0.475*44/12</f>
        <v>4.5256639823395339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23.148368548087092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278.5296012747549</v>
      </c>
      <c r="T106" s="59">
        <f t="shared" si="88"/>
        <v>370.55343097937077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87.604851210444949</v>
      </c>
      <c r="AA106" s="21">
        <f>EXP(-LN(2)/25)*AA105+(1-EXP(-LN(2)/25))/(LN(2)/25)*Calculateur!V106*Calculateur!X106*VLOOKUP('Données projet'!$B$9,Paramètres!$A$1:$I$89,3,0)*0.475*44/12</f>
        <v>15.223089361315907</v>
      </c>
      <c r="AB106" s="21">
        <f>EXP(-LN(2)/2)*AB105+(1-EXP(-LN(2)/2))/(LN(2)/2)*V106*Y106*VLOOKUP('Données projet'!$B$9,Paramètres!$A$1:$I$89,3,0)*0.475*44/12</f>
        <v>2.0361723902292534E-6</v>
      </c>
      <c r="AC106" s="22">
        <f t="shared" si="57"/>
        <v>102.82794260793324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179.44051550872138</v>
      </c>
      <c r="AO106" s="59">
        <f t="shared" si="90"/>
        <v>272.9500808380069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35.551321577861415</v>
      </c>
      <c r="AV106" s="21">
        <f>EXP(-LN(2)/25)*AV105+(1-EXP(-LN(2)/25))/(LN(2)/25)*Calculateur!AQ106*Calculateur!AS106*VLOOKUP('Données projet'!$B$10,Paramètres!$A$1:$I$89,3,0)*0.475*44/12</f>
        <v>43.897340891299315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79.448662469160723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266.99999999999983</v>
      </c>
      <c r="BE106" s="13">
        <f>BD106*VLOOKUP('Données projet'!$B$11,Paramètres!$A$1:$I$89,3,0)*VLOOKUP('Données projet'!$B$11,Paramètres!$A$1:$I$89,5,0)</f>
        <v>212.42519999999985</v>
      </c>
      <c r="BF106" s="13">
        <f t="shared" si="91"/>
        <v>52.465198231787184</v>
      </c>
      <c r="BG106" s="20">
        <f t="shared" si="61"/>
        <v>461.35077692036231</v>
      </c>
      <c r="BH106" s="59">
        <f t="shared" si="62"/>
        <v>754.68411025369562</v>
      </c>
      <c r="BI106" s="59">
        <f ca="1">AVERAGE(OFFSET($BH$3,0,0,'Données projet'!$E$11+1,1))-AVERAGE(OFFSET($H$3,0,0,'Données projet'!$E$11+1,1))</f>
        <v>225.2323446080772</v>
      </c>
      <c r="BJ106" s="59">
        <f t="shared" si="92"/>
        <v>222.29030402759292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18.257524687941451</v>
      </c>
      <c r="BQ106" s="21">
        <f>EXP(-LN(2)/25)*BQ105+(1-EXP(-LN(2)/25))/(LN(2)/25)*Calculateur!BL106*Calculateur!BN106*VLOOKUP('Données projet'!$B$11,Paramètres!$A$1:$I$89,3,0)*0.475*44/12</f>
        <v>4.4019094627481339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22.659434150689584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278.5296012747549</v>
      </c>
      <c r="T107" s="59">
        <f t="shared" si="88"/>
        <v>370.55343097937077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85.886973511891227</v>
      </c>
      <c r="AA107" s="21">
        <f>EXP(-LN(2)/25)*AA106+(1-EXP(-LN(2)/25))/(LN(2)/25)*Calculateur!V107*Calculateur!X107*VLOOKUP('Données projet'!$B$9,Paramètres!$A$1:$I$89,3,0)*0.475*44/12</f>
        <v>14.806813182183246</v>
      </c>
      <c r="AB107" s="21">
        <f>EXP(-LN(2)/2)*AB106+(1-EXP(-LN(2)/2))/(LN(2)/2)*V107*Y107*VLOOKUP('Données projet'!$B$9,Paramètres!$A$1:$I$89,3,0)*0.475*44/12</f>
        <v>1.4397913047959261E-6</v>
      </c>
      <c r="AC107" s="22">
        <f t="shared" si="57"/>
        <v>100.69378813386578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179.44051550872138</v>
      </c>
      <c r="AO107" s="59">
        <f t="shared" si="90"/>
        <v>272.9500808380069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34.854181845884582</v>
      </c>
      <c r="AV107" s="21">
        <f>EXP(-LN(2)/25)*AV106+(1-EXP(-LN(2)/25))/(LN(2)/25)*Calculateur!AQ107*Calculateur!AS107*VLOOKUP('Données projet'!$B$10,Paramètres!$A$1:$I$89,3,0)*0.475*44/12</f>
        <v>42.696965796165905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77.551147642050495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266.99999999999983</v>
      </c>
      <c r="BE107" s="13">
        <f>BD107*VLOOKUP('Données projet'!$B$11,Paramètres!$A$1:$I$89,3,0)*VLOOKUP('Données projet'!$B$11,Paramètres!$A$1:$I$89,5,0)</f>
        <v>212.42519999999985</v>
      </c>
      <c r="BF107" s="13">
        <f t="shared" si="91"/>
        <v>52.465198231787184</v>
      </c>
      <c r="BG107" s="20">
        <f t="shared" si="61"/>
        <v>461.35077692036231</v>
      </c>
      <c r="BH107" s="59">
        <f t="shared" si="62"/>
        <v>754.68411025369562</v>
      </c>
      <c r="BI107" s="59">
        <f ca="1">AVERAGE(OFFSET($BH$3,0,0,'Données projet'!$E$11+1,1))-AVERAGE(OFFSET($H$3,0,0,'Données projet'!$E$11+1,1))</f>
        <v>225.2323446080772</v>
      </c>
      <c r="BJ107" s="59">
        <f t="shared" si="92"/>
        <v>222.29030402759292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17.89950576480139</v>
      </c>
      <c r="BQ107" s="21">
        <f>EXP(-LN(2)/25)*BQ106+(1-EXP(-LN(2)/25))/(LN(2)/25)*Calculateur!BL107*Calculateur!BN107*VLOOKUP('Données projet'!$B$11,Paramètres!$A$1:$I$89,3,0)*0.475*44/12</f>
        <v>4.2815390170029284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22.181044781804317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278.5296012747549</v>
      </c>
      <c r="T108" s="59">
        <f t="shared" si="88"/>
        <v>370.55343097937077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84.202782347204206</v>
      </c>
      <c r="AA108" s="21">
        <f>EXP(-LN(2)/25)*AA107+(1-EXP(-LN(2)/25))/(LN(2)/25)*Calculateur!V108*Calculateur!X108*VLOOKUP('Données projet'!$B$9,Paramètres!$A$1:$I$89,3,0)*0.475*44/12</f>
        <v>14.401920097059982</v>
      </c>
      <c r="AB108" s="21">
        <f>EXP(-LN(2)/2)*AB107+(1-EXP(-LN(2)/2))/(LN(2)/2)*V108*Y108*VLOOKUP('Données projet'!$B$9,Paramètres!$A$1:$I$89,3,0)*0.475*44/12</f>
        <v>1.0180861951146267E-6</v>
      </c>
      <c r="AC108" s="22">
        <f t="shared" si="57"/>
        <v>98.604703462350386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179.44051550872138</v>
      </c>
      <c r="AO108" s="59">
        <f t="shared" si="90"/>
        <v>272.9500808380069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34.170712598838563</v>
      </c>
      <c r="AV108" s="21">
        <f>EXP(-LN(2)/25)*AV107+(1-EXP(-LN(2)/25))/(LN(2)/25)*Calculateur!AQ108*Calculateur!AS108*VLOOKUP('Données projet'!$B$10,Paramètres!$A$1:$I$89,3,0)*0.475*44/12</f>
        <v>41.5294150211339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75.700127619972463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266.99999999999983</v>
      </c>
      <c r="BE108" s="13">
        <f>BD108*VLOOKUP('Données projet'!$B$11,Paramètres!$A$1:$I$89,3,0)*VLOOKUP('Données projet'!$B$11,Paramètres!$A$1:$I$89,5,0)</f>
        <v>212.42519999999985</v>
      </c>
      <c r="BF108" s="13">
        <f t="shared" si="91"/>
        <v>52.465198231787184</v>
      </c>
      <c r="BG108" s="20">
        <f t="shared" si="61"/>
        <v>461.35077692036231</v>
      </c>
      <c r="BH108" s="59">
        <f t="shared" si="62"/>
        <v>754.68411025369562</v>
      </c>
      <c r="BI108" s="59">
        <f ca="1">AVERAGE(OFFSET($BH$3,0,0,'Données projet'!$E$11+1,1))-AVERAGE(OFFSET($H$3,0,0,'Données projet'!$E$11+1,1))</f>
        <v>225.2323446080772</v>
      </c>
      <c r="BJ108" s="59">
        <f t="shared" si="92"/>
        <v>222.29030402759292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17.548507374374125</v>
      </c>
      <c r="BQ108" s="21">
        <f>EXP(-LN(2)/25)*BQ107+(1-EXP(-LN(2)/25))/(LN(2)/25)*Calculateur!BL108*Calculateur!BN108*VLOOKUP('Données projet'!$B$11,Paramètres!$A$1:$I$89,3,0)*0.475*44/12</f>
        <v>4.1644601074266321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21.712967481800757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278.5296012747549</v>
      </c>
      <c r="T109" s="59">
        <f t="shared" si="88"/>
        <v>370.55343097937077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82.551617144001526</v>
      </c>
      <c r="AA109" s="21">
        <f>EXP(-LN(2)/25)*AA108+(1-EXP(-LN(2)/25))/(LN(2)/25)*Calculateur!V109*Calculateur!X109*VLOOKUP('Données projet'!$B$9,Paramètres!$A$1:$I$89,3,0)*0.475*44/12</f>
        <v>14.008098834641816</v>
      </c>
      <c r="AB109" s="21">
        <f>EXP(-LN(2)/2)*AB108+(1-EXP(-LN(2)/2))/(LN(2)/2)*V109*Y109*VLOOKUP('Données projet'!$B$9,Paramètres!$A$1:$I$89,3,0)*0.475*44/12</f>
        <v>7.1989565239796306E-7</v>
      </c>
      <c r="AC109" s="22">
        <f t="shared" si="57"/>
        <v>96.559716698538992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179.44051550872138</v>
      </c>
      <c r="AO109" s="59">
        <f t="shared" si="90"/>
        <v>272.9500808380069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33.500645766852038</v>
      </c>
      <c r="AV109" s="21">
        <f>EXP(-LN(2)/25)*AV108+(1-EXP(-LN(2)/25))/(LN(2)/25)*Calculateur!AQ109*Calculateur!AS109*VLOOKUP('Données projet'!$B$10,Paramètres!$A$1:$I$89,3,0)*0.475*44/12</f>
        <v>40.393790983443978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73.894436750296023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266.99999999999983</v>
      </c>
      <c r="BE109" s="13">
        <f>BD109*VLOOKUP('Données projet'!$B$11,Paramètres!$A$1:$I$89,3,0)*VLOOKUP('Données projet'!$B$11,Paramètres!$A$1:$I$89,5,0)</f>
        <v>212.42519999999985</v>
      </c>
      <c r="BF109" s="13">
        <f t="shared" si="91"/>
        <v>52.465198231787184</v>
      </c>
      <c r="BG109" s="20">
        <f t="shared" si="61"/>
        <v>461.35077692036231</v>
      </c>
      <c r="BH109" s="59">
        <f t="shared" si="62"/>
        <v>754.68411025369562</v>
      </c>
      <c r="BI109" s="59">
        <f ca="1">AVERAGE(OFFSET($BH$3,0,0,'Données projet'!$E$11+1,1))-AVERAGE(OFFSET($H$3,0,0,'Données projet'!$E$11+1,1))</f>
        <v>225.2323446080772</v>
      </c>
      <c r="BJ109" s="59">
        <f t="shared" si="92"/>
        <v>222.29030402759292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17.204391848295263</v>
      </c>
      <c r="BQ109" s="21">
        <f>EXP(-LN(2)/25)*BQ108+(1-EXP(-LN(2)/25))/(LN(2)/25)*Calculateur!BL109*Calculateur!BN109*VLOOKUP('Données projet'!$B$11,Paramètres!$A$1:$I$89,3,0)*0.475*44/12</f>
        <v>4.050582726789612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21.254974575084873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278.5296012747549</v>
      </c>
      <c r="T110" s="59">
        <f t="shared" si="88"/>
        <v>370.55343097937077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80.932830283322318</v>
      </c>
      <c r="AA110" s="21">
        <f>EXP(-LN(2)/25)*AA109+(1-EXP(-LN(2)/25))/(LN(2)/25)*Calculateur!V110*Calculateur!X110*VLOOKUP('Données projet'!$B$9,Paramètres!$A$1:$I$89,3,0)*0.475*44/12</f>
        <v>13.625046635354634</v>
      </c>
      <c r="AB110" s="21">
        <f>EXP(-LN(2)/2)*AB109+(1-EXP(-LN(2)/2))/(LN(2)/2)*V110*Y110*VLOOKUP('Données projet'!$B$9,Paramètres!$A$1:$I$89,3,0)*0.475*44/12</f>
        <v>5.0904309755731334E-7</v>
      </c>
      <c r="AC110" s="22">
        <f t="shared" si="57"/>
        <v>94.557877427720058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179.44051550872138</v>
      </c>
      <c r="AO110" s="59">
        <f t="shared" si="90"/>
        <v>272.9500808380069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32.843718536740361</v>
      </c>
      <c r="AV110" s="21">
        <f>EXP(-LN(2)/25)*AV109+(1-EXP(-LN(2)/25))/(LN(2)/25)*Calculateur!AQ110*Calculateur!AS110*VLOOKUP('Données projet'!$B$10,Paramètres!$A$1:$I$89,3,0)*0.475*44/12</f>
        <v>39.289220644784557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72.132939181524918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266.99999999999983</v>
      </c>
      <c r="BE110" s="13">
        <f>BD110*VLOOKUP('Données projet'!$B$11,Paramètres!$A$1:$I$89,3,0)*VLOOKUP('Données projet'!$B$11,Paramètres!$A$1:$I$89,5,0)</f>
        <v>212.42519999999985</v>
      </c>
      <c r="BF110" s="13">
        <f t="shared" si="91"/>
        <v>52.465198231787184</v>
      </c>
      <c r="BG110" s="20">
        <f t="shared" si="61"/>
        <v>461.35077692036231</v>
      </c>
      <c r="BH110" s="59">
        <f t="shared" si="62"/>
        <v>754.68411025369562</v>
      </c>
      <c r="BI110" s="59">
        <f ca="1">AVERAGE(OFFSET($BH$3,0,0,'Données projet'!$E$11+1,1))-AVERAGE(OFFSET($H$3,0,0,'Données projet'!$E$11+1,1))</f>
        <v>225.2323446080772</v>
      </c>
      <c r="BJ110" s="59">
        <f t="shared" si="92"/>
        <v>222.29030402759292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16.867024217793059</v>
      </c>
      <c r="BQ110" s="21">
        <f>EXP(-LN(2)/25)*BQ109+(1-EXP(-LN(2)/25))/(LN(2)/25)*Calculateur!BL110*Calculateur!BN110*VLOOKUP('Données projet'!$B$11,Paramètres!$A$1:$I$89,3,0)*0.475*44/12</f>
        <v>3.9398193291146621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20.806843546907722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278.5296012747549</v>
      </c>
      <c r="T111" s="59">
        <f t="shared" si="88"/>
        <v>370.55343097937077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79.345786845618534</v>
      </c>
      <c r="AA111" s="21">
        <f>EXP(-LN(2)/25)*AA110+(1-EXP(-LN(2)/25))/(LN(2)/25)*Calculateur!V111*Calculateur!X111*VLOOKUP('Données projet'!$B$9,Paramètres!$A$1:$I$89,3,0)*0.475*44/12</f>
        <v>13.252469018600799</v>
      </c>
      <c r="AB111" s="21">
        <f>EXP(-LN(2)/2)*AB110+(1-EXP(-LN(2)/2))/(LN(2)/2)*V111*Y111*VLOOKUP('Données projet'!$B$9,Paramètres!$A$1:$I$89,3,0)*0.475*44/12</f>
        <v>3.5994782619898153E-7</v>
      </c>
      <c r="AC111" s="22">
        <f t="shared" si="57"/>
        <v>92.598256224167159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179.44051550872138</v>
      </c>
      <c r="AO111" s="59">
        <f t="shared" si="90"/>
        <v>272.9500808380069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32.19967324892513</v>
      </c>
      <c r="AV111" s="21">
        <f>EXP(-LN(2)/25)*AV110+(1-EXP(-LN(2)/25))/(LN(2)/25)*Calculateur!AQ111*Calculateur!AS111*VLOOKUP('Données projet'!$B$10,Paramètres!$A$1:$I$89,3,0)*0.475*44/12</f>
        <v>38.214854840122605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70.414528089047735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266.99999999999983</v>
      </c>
      <c r="BE111" s="13">
        <f>BD111*VLOOKUP('Données projet'!$B$11,Paramètres!$A$1:$I$89,3,0)*VLOOKUP('Données projet'!$B$11,Paramètres!$A$1:$I$89,5,0)</f>
        <v>212.42519999999985</v>
      </c>
      <c r="BF111" s="13">
        <f t="shared" si="91"/>
        <v>52.465198231787184</v>
      </c>
      <c r="BG111" s="20">
        <f t="shared" si="61"/>
        <v>461.35077692036231</v>
      </c>
      <c r="BH111" s="59">
        <f t="shared" si="62"/>
        <v>754.68411025369562</v>
      </c>
      <c r="BI111" s="59">
        <f ca="1">AVERAGE(OFFSET($BH$3,0,0,'Données projet'!$E$11+1,1))-AVERAGE(OFFSET($H$3,0,0,'Données projet'!$E$11+1,1))</f>
        <v>225.2323446080772</v>
      </c>
      <c r="BJ111" s="59">
        <f t="shared" si="92"/>
        <v>222.29030402759292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16.536272160751068</v>
      </c>
      <c r="BQ111" s="21">
        <f>EXP(-LN(2)/25)*BQ110+(1-EXP(-LN(2)/25))/(LN(2)/25)*Calculateur!BL111*Calculateur!BN111*VLOOKUP('Données projet'!$B$11,Paramètres!$A$1:$I$89,3,0)*0.475*44/12</f>
        <v>3.8320847623739276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20.368356923124995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278.5296012747549</v>
      </c>
      <c r="T112" s="59">
        <f t="shared" si="88"/>
        <v>370.55343097937077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77.789864361727211</v>
      </c>
      <c r="AA112" s="21">
        <f>EXP(-LN(2)/25)*AA111+(1-EXP(-LN(2)/25))/(LN(2)/25)*Calculateur!V112*Calculateur!X112*VLOOKUP('Données projet'!$B$9,Paramètres!$A$1:$I$89,3,0)*0.475*44/12</f>
        <v>12.890079556370104</v>
      </c>
      <c r="AB112" s="21">
        <f>EXP(-LN(2)/2)*AB111+(1-EXP(-LN(2)/2))/(LN(2)/2)*V112*Y112*VLOOKUP('Données projet'!$B$9,Paramètres!$A$1:$I$89,3,0)*0.475*44/12</f>
        <v>2.5452154877865667E-7</v>
      </c>
      <c r="AC112" s="22">
        <f t="shared" si="57"/>
        <v>90.67994417261886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179.44051550872138</v>
      </c>
      <c r="AO112" s="59">
        <f t="shared" si="90"/>
        <v>272.9500808380069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31.568257296375116</v>
      </c>
      <c r="AV112" s="21">
        <f>EXP(-LN(2)/25)*AV111+(1-EXP(-LN(2)/25))/(LN(2)/25)*Calculateur!AQ112*Calculateur!AS112*VLOOKUP('Données projet'!$B$10,Paramètres!$A$1:$I$89,3,0)*0.475*44/12</f>
        <v>37.16986762488758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68.738124921262695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266.99999999999983</v>
      </c>
      <c r="BE112" s="13">
        <f>BD112*VLOOKUP('Données projet'!$B$11,Paramètres!$A$1:$I$89,3,0)*VLOOKUP('Données projet'!$B$11,Paramètres!$A$1:$I$89,5,0)</f>
        <v>212.42519999999985</v>
      </c>
      <c r="BF112" s="13">
        <f t="shared" si="91"/>
        <v>52.465198231787184</v>
      </c>
      <c r="BG112" s="20">
        <f t="shared" si="61"/>
        <v>461.35077692036231</v>
      </c>
      <c r="BH112" s="59">
        <f t="shared" si="62"/>
        <v>754.68411025369562</v>
      </c>
      <c r="BI112" s="59">
        <f ca="1">AVERAGE(OFFSET($BH$3,0,0,'Données projet'!$E$11+1,1))-AVERAGE(OFFSET($H$3,0,0,'Données projet'!$E$11+1,1))</f>
        <v>225.2323446080772</v>
      </c>
      <c r="BJ112" s="59">
        <f t="shared" si="92"/>
        <v>222.29030402759292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16.212005949808834</v>
      </c>
      <c r="BQ112" s="21">
        <f>EXP(-LN(2)/25)*BQ111+(1-EXP(-LN(2)/25))/(LN(2)/25)*Calculateur!BL112*Calculateur!BN112*VLOOKUP('Données projet'!$B$11,Paramètres!$A$1:$I$89,3,0)*0.475*44/12</f>
        <v>3.7272962030262331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19.939302152835069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278.5296012747549</v>
      </c>
      <c r="T113" s="59">
        <f t="shared" si="88"/>
        <v>370.55343097937077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76.264452568725986</v>
      </c>
      <c r="AA113" s="21">
        <f>EXP(-LN(2)/25)*AA112+(1-EXP(-LN(2)/25))/(LN(2)/25)*Calculateur!V113*Calculateur!X113*VLOOKUP('Données projet'!$B$9,Paramètres!$A$1:$I$89,3,0)*0.475*44/12</f>
        <v>12.53759965304134</v>
      </c>
      <c r="AB113" s="21">
        <f>EXP(-LN(2)/2)*AB112+(1-EXP(-LN(2)/2))/(LN(2)/2)*V113*Y113*VLOOKUP('Données projet'!$B$9,Paramètres!$A$1:$I$89,3,0)*0.475*44/12</f>
        <v>1.7997391309949077E-7</v>
      </c>
      <c r="AC113" s="22">
        <f t="shared" si="57"/>
        <v>88.802052401741236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179.44051550872138</v>
      </c>
      <c r="AO113" s="59">
        <f t="shared" si="90"/>
        <v>272.9500808380069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30.949223025528902</v>
      </c>
      <c r="AV113" s="21">
        <f>EXP(-LN(2)/25)*AV112+(1-EXP(-LN(2)/25))/(LN(2)/25)*Calculateur!AQ113*Calculateur!AS113*VLOOKUP('Données projet'!$B$10,Paramètres!$A$1:$I$89,3,0)*0.475*44/12</f>
        <v>36.153455640006641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67.102678665535535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266.99999999999983</v>
      </c>
      <c r="BE113" s="13">
        <f>BD113*VLOOKUP('Données projet'!$B$11,Paramètres!$A$1:$I$89,3,0)*VLOOKUP('Données projet'!$B$11,Paramètres!$A$1:$I$89,5,0)</f>
        <v>212.42519999999985</v>
      </c>
      <c r="BF113" s="13">
        <f t="shared" si="91"/>
        <v>52.465198231787184</v>
      </c>
      <c r="BG113" s="20">
        <f t="shared" si="61"/>
        <v>461.35077692036231</v>
      </c>
      <c r="BH113" s="59">
        <f t="shared" si="62"/>
        <v>754.68411025369562</v>
      </c>
      <c r="BI113" s="59">
        <f ca="1">AVERAGE(OFFSET($BH$3,0,0,'Données projet'!$E$11+1,1))-AVERAGE(OFFSET($H$3,0,0,'Données projet'!$E$11+1,1))</f>
        <v>225.2323446080772</v>
      </c>
      <c r="BJ113" s="59">
        <f t="shared" si="92"/>
        <v>222.29030402759292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15.894098401480319</v>
      </c>
      <c r="BQ113" s="21">
        <f>EXP(-LN(2)/25)*BQ112+(1-EXP(-LN(2)/25))/(LN(2)/25)*Calculateur!BL113*Calculateur!BN113*VLOOKUP('Données projet'!$B$11,Paramètres!$A$1:$I$89,3,0)*0.475*44/12</f>
        <v>3.6253730923444922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19.51947149382481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278.5296012747549</v>
      </c>
      <c r="T114" s="59">
        <f t="shared" si="88"/>
        <v>370.55343097937077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74.768953170576196</v>
      </c>
      <c r="AA114" s="21">
        <f>EXP(-LN(2)/25)*AA113+(1-EXP(-LN(2)/25))/(LN(2)/25)*Calculateur!V114*Calculateur!X114*VLOOKUP('Données projet'!$B$9,Paramètres!$A$1:$I$89,3,0)*0.475*44/12</f>
        <v>12.194758331205215</v>
      </c>
      <c r="AB114" s="21">
        <f>EXP(-LN(2)/2)*AB113+(1-EXP(-LN(2)/2))/(LN(2)/2)*V114*Y114*VLOOKUP('Données projet'!$B$9,Paramètres!$A$1:$I$89,3,0)*0.475*44/12</f>
        <v>1.2726077438932834E-7</v>
      </c>
      <c r="AC114" s="22">
        <f t="shared" si="57"/>
        <v>86.96371162904218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179.44051550872138</v>
      </c>
      <c r="AO114" s="59">
        <f t="shared" si="90"/>
        <v>272.9500808380069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30.342327639160359</v>
      </c>
      <c r="AV114" s="21">
        <f>EXP(-LN(2)/25)*AV113+(1-EXP(-LN(2)/25))/(LN(2)/25)*Calculateur!AQ114*Calculateur!AS114*VLOOKUP('Données projet'!$B$10,Paramètres!$A$1:$I$89,3,0)*0.475*44/12</f>
        <v>35.164837494303057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65.507165133463417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266.99999999999983</v>
      </c>
      <c r="BE114" s="13">
        <f>BD114*VLOOKUP('Données projet'!$B$11,Paramètres!$A$1:$I$89,3,0)*VLOOKUP('Données projet'!$B$11,Paramètres!$A$1:$I$89,5,0)</f>
        <v>212.42519999999985</v>
      </c>
      <c r="BF114" s="13">
        <f t="shared" si="91"/>
        <v>52.465198231787184</v>
      </c>
      <c r="BG114" s="20">
        <f t="shared" si="61"/>
        <v>461.35077692036231</v>
      </c>
      <c r="BH114" s="59">
        <f t="shared" si="62"/>
        <v>754.68411025369562</v>
      </c>
      <c r="BI114" s="59">
        <f ca="1">AVERAGE(OFFSET($BH$3,0,0,'Données projet'!$E$11+1,1))-AVERAGE(OFFSET($H$3,0,0,'Données projet'!$E$11+1,1))</f>
        <v>225.2323446080772</v>
      </c>
      <c r="BJ114" s="59">
        <f t="shared" si="92"/>
        <v>222.29030402759292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15.582424826270067</v>
      </c>
      <c r="BQ114" s="21">
        <f>EXP(-LN(2)/25)*BQ113+(1-EXP(-LN(2)/25))/(LN(2)/25)*Calculateur!BL114*Calculateur!BN114*VLOOKUP('Données projet'!$B$11,Paramètres!$A$1:$I$89,3,0)*0.475*44/12</f>
        <v>3.5262370744842473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19.108661900754313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278.5296012747549</v>
      </c>
      <c r="T115" s="59">
        <f t="shared" si="88"/>
        <v>370.55343097937077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73.302779603459555</v>
      </c>
      <c r="AA115" s="21">
        <f>EXP(-LN(2)/25)*AA114+(1-EXP(-LN(2)/25))/(LN(2)/25)*Calculateur!V115*Calculateur!X115*VLOOKUP('Données projet'!$B$9,Paramètres!$A$1:$I$89,3,0)*0.475*44/12</f>
        <v>11.861292023343939</v>
      </c>
      <c r="AB115" s="21">
        <f>EXP(-LN(2)/2)*AB114+(1-EXP(-LN(2)/2))/(LN(2)/2)*V115*Y115*VLOOKUP('Données projet'!$B$9,Paramètres!$A$1:$I$89,3,0)*0.475*44/12</f>
        <v>8.9986956549745383E-8</v>
      </c>
      <c r="AC115" s="22">
        <f t="shared" si="57"/>
        <v>85.164071716790446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179.44051550872138</v>
      </c>
      <c r="AO115" s="59">
        <f t="shared" si="90"/>
        <v>272.9500808380069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29.747333101148872</v>
      </c>
      <c r="AV115" s="21">
        <f>EXP(-LN(2)/25)*AV114+(1-EXP(-LN(2)/25))/(LN(2)/25)*Calculateur!AQ115*Calculateur!AS115*VLOOKUP('Données projet'!$B$10,Paramètres!$A$1:$I$89,3,0)*0.475*44/12</f>
        <v>34.203253163782904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63.950586264931772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266.99999999999983</v>
      </c>
      <c r="BE115" s="13">
        <f>BD115*VLOOKUP('Données projet'!$B$11,Paramètres!$A$1:$I$89,3,0)*VLOOKUP('Données projet'!$B$11,Paramètres!$A$1:$I$89,5,0)</f>
        <v>212.42519999999985</v>
      </c>
      <c r="BF115" s="13">
        <f t="shared" si="91"/>
        <v>52.465198231787184</v>
      </c>
      <c r="BG115" s="20">
        <f t="shared" si="61"/>
        <v>461.35077692036231</v>
      </c>
      <c r="BH115" s="59">
        <f t="shared" si="62"/>
        <v>754.68411025369562</v>
      </c>
      <c r="BI115" s="59">
        <f ca="1">AVERAGE(OFFSET($BH$3,0,0,'Données projet'!$E$11+1,1))-AVERAGE(OFFSET($H$3,0,0,'Données projet'!$E$11+1,1))</f>
        <v>225.2323446080772</v>
      </c>
      <c r="BJ115" s="59">
        <f t="shared" si="92"/>
        <v>222.29030402759292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15.276862979767579</v>
      </c>
      <c r="BQ115" s="21">
        <f>EXP(-LN(2)/25)*BQ114+(1-EXP(-LN(2)/25))/(LN(2)/25)*Calculateur!BL115*Calculateur!BN115*VLOOKUP('Données projet'!$B$11,Paramètres!$A$1:$I$89,3,0)*0.475*44/12</f>
        <v>3.4298119362457271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18.706674916013306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278.5296012747549</v>
      </c>
      <c r="T116" s="59">
        <f t="shared" si="88"/>
        <v>370.55343097937077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71.865356805716502</v>
      </c>
      <c r="AA116" s="21">
        <f>EXP(-LN(2)/25)*AA115+(1-EXP(-LN(2)/25))/(LN(2)/25)*Calculateur!V116*Calculateur!X116*VLOOKUP('Données projet'!$B$9,Paramètres!$A$1:$I$89,3,0)*0.475*44/12</f>
        <v>11.536944369207362</v>
      </c>
      <c r="AB116" s="21">
        <f>EXP(-LN(2)/2)*AB115+(1-EXP(-LN(2)/2))/(LN(2)/2)*V116*Y116*VLOOKUP('Données projet'!$B$9,Paramètres!$A$1:$I$89,3,0)*0.475*44/12</f>
        <v>6.3630387194664168E-8</v>
      </c>
      <c r="AC116" s="22">
        <f t="shared" si="57"/>
        <v>83.402301238554244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179.44051550872138</v>
      </c>
      <c r="AO116" s="59">
        <f t="shared" si="90"/>
        <v>272.9500808380069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29.164006043116956</v>
      </c>
      <c r="AV116" s="21">
        <f>EXP(-LN(2)/25)*AV115+(1-EXP(-LN(2)/25))/(LN(2)/25)*Calculateur!AQ116*Calculateur!AS116*VLOOKUP('Données projet'!$B$10,Paramètres!$A$1:$I$89,3,0)*0.475*44/12</f>
        <v>33.267963407348347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62.431969450465303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266.99999999999983</v>
      </c>
      <c r="BE116" s="13">
        <f>BD116*VLOOKUP('Données projet'!$B$11,Paramètres!$A$1:$I$89,3,0)*VLOOKUP('Données projet'!$B$11,Paramètres!$A$1:$I$89,5,0)</f>
        <v>212.42519999999985</v>
      </c>
      <c r="BF116" s="13">
        <f t="shared" si="91"/>
        <v>52.465198231787184</v>
      </c>
      <c r="BG116" s="20">
        <f t="shared" si="61"/>
        <v>461.35077692036231</v>
      </c>
      <c r="BH116" s="59">
        <f t="shared" si="62"/>
        <v>754.68411025369562</v>
      </c>
      <c r="BI116" s="59">
        <f ca="1">AVERAGE(OFFSET($BH$3,0,0,'Données projet'!$E$11+1,1))-AVERAGE(OFFSET($H$3,0,0,'Données projet'!$E$11+1,1))</f>
        <v>225.2323446080772</v>
      </c>
      <c r="BJ116" s="59">
        <f t="shared" si="92"/>
        <v>222.29030402759292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14.977293014700681</v>
      </c>
      <c r="BQ116" s="21">
        <f>EXP(-LN(2)/25)*BQ115+(1-EXP(-LN(2)/25))/(LN(2)/25)*Calculateur!BL116*Calculateur!BN116*VLOOKUP('Données projet'!$B$11,Paramètres!$A$1:$I$89,3,0)*0.475*44/12</f>
        <v>3.3360235484831171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18.313316563183797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278.5296012747549</v>
      </c>
      <c r="T117" s="59">
        <f t="shared" si="88"/>
        <v>370.55343097937077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70.456120992295851</v>
      </c>
      <c r="AA117" s="21">
        <f>EXP(-LN(2)/25)*AA116+(1-EXP(-LN(2)/25))/(LN(2)/25)*Calculateur!V117*Calculateur!X117*VLOOKUP('Données projet'!$B$9,Paramètres!$A$1:$I$89,3,0)*0.475*44/12</f>
        <v>11.221466018729849</v>
      </c>
      <c r="AB117" s="21">
        <f>EXP(-LN(2)/2)*AB116+(1-EXP(-LN(2)/2))/(LN(2)/2)*V117*Y117*VLOOKUP('Données projet'!$B$9,Paramètres!$A$1:$I$89,3,0)*0.475*44/12</f>
        <v>4.4993478274872691E-8</v>
      </c>
      <c r="AC117" s="22">
        <f t="shared" si="57"/>
        <v>81.677587056019192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179.44051550872138</v>
      </c>
      <c r="AO117" s="59">
        <f t="shared" si="90"/>
        <v>272.9500808380069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28.59211767289867</v>
      </c>
      <c r="AV117" s="21">
        <f>EXP(-LN(2)/25)*AV116+(1-EXP(-LN(2)/25))/(LN(2)/25)*Calculateur!AQ117*Calculateur!AS117*VLOOKUP('Données projet'!$B$10,Paramètres!$A$1:$I$89,3,0)*0.475*44/12</f>
        <v>32.358249198488245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60.950366871386919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266.99999999999983</v>
      </c>
      <c r="BE117" s="13">
        <f>BD117*VLOOKUP('Données projet'!$B$11,Paramètres!$A$1:$I$89,3,0)*VLOOKUP('Données projet'!$B$11,Paramètres!$A$1:$I$89,5,0)</f>
        <v>212.42519999999985</v>
      </c>
      <c r="BF117" s="13">
        <f t="shared" si="91"/>
        <v>52.465198231787184</v>
      </c>
      <c r="BG117" s="20">
        <f t="shared" si="61"/>
        <v>461.35077692036231</v>
      </c>
      <c r="BH117" s="59">
        <f t="shared" si="62"/>
        <v>754.68411025369562</v>
      </c>
      <c r="BI117" s="59">
        <f ca="1">AVERAGE(OFFSET($BH$3,0,0,'Données projet'!$E$11+1,1))-AVERAGE(OFFSET($H$3,0,0,'Données projet'!$E$11+1,1))</f>
        <v>225.2323446080772</v>
      </c>
      <c r="BJ117" s="59">
        <f t="shared" si="92"/>
        <v>222.29030402759292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14.683597433929108</v>
      </c>
      <c r="BQ117" s="21">
        <f>EXP(-LN(2)/25)*BQ116+(1-EXP(-LN(2)/25))/(LN(2)/25)*Calculateur!BL117*Calculateur!BN117*VLOOKUP('Données projet'!$B$11,Paramètres!$A$1:$I$89,3,0)*0.475*44/12</f>
        <v>3.2447998091159924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17.928397243045101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278.5296012747549</v>
      </c>
      <c r="T118" s="59">
        <f t="shared" si="88"/>
        <v>370.55343097937077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69.074519433627401</v>
      </c>
      <c r="AA118" s="21">
        <f>EXP(-LN(2)/25)*AA117+(1-EXP(-LN(2)/25))/(LN(2)/25)*Calculateur!V118*Calculateur!X118*VLOOKUP('Données projet'!$B$9,Paramètres!$A$1:$I$89,3,0)*0.475*44/12</f>
        <v>10.914614440336431</v>
      </c>
      <c r="AB118" s="21">
        <f>EXP(-LN(2)/2)*AB117+(1-EXP(-LN(2)/2))/(LN(2)/2)*V118*Y118*VLOOKUP('Données projet'!$B$9,Paramètres!$A$1:$I$89,3,0)*0.475*44/12</f>
        <v>3.1815193597332084E-8</v>
      </c>
      <c r="AC118" s="22">
        <f t="shared" si="57"/>
        <v>79.989133905779028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179.44051550872138</v>
      </c>
      <c r="AO118" s="59">
        <f t="shared" si="90"/>
        <v>272.9500808380069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28.031443684802902</v>
      </c>
      <c r="AV118" s="21">
        <f>EXP(-LN(2)/25)*AV117+(1-EXP(-LN(2)/25))/(LN(2)/25)*Calculateur!AQ118*Calculateur!AS118*VLOOKUP('Données projet'!$B$10,Paramètres!$A$1:$I$89,3,0)*0.475*44/12</f>
        <v>31.473411172509216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59.504854857312118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266.99999999999983</v>
      </c>
      <c r="BE118" s="13">
        <f>BD118*VLOOKUP('Données projet'!$B$11,Paramètres!$A$1:$I$89,3,0)*VLOOKUP('Données projet'!$B$11,Paramètres!$A$1:$I$89,5,0)</f>
        <v>212.42519999999985</v>
      </c>
      <c r="BF118" s="13">
        <f t="shared" si="91"/>
        <v>52.465198231787184</v>
      </c>
      <c r="BG118" s="20">
        <f t="shared" si="61"/>
        <v>461.35077692036231</v>
      </c>
      <c r="BH118" s="59">
        <f t="shared" si="62"/>
        <v>754.68411025369562</v>
      </c>
      <c r="BI118" s="59">
        <f ca="1">AVERAGE(OFFSET($BH$3,0,0,'Données projet'!$E$11+1,1))-AVERAGE(OFFSET($H$3,0,0,'Données projet'!$E$11+1,1))</f>
        <v>225.2323446080772</v>
      </c>
      <c r="BJ118" s="59">
        <f t="shared" si="92"/>
        <v>222.29030402759292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14.395661044359851</v>
      </c>
      <c r="BQ118" s="21">
        <f>EXP(-LN(2)/25)*BQ117+(1-EXP(-LN(2)/25))/(LN(2)/25)*Calculateur!BL118*Calculateur!BN118*VLOOKUP('Données projet'!$B$11,Paramètres!$A$1:$I$89,3,0)*0.475*44/12</f>
        <v>3.1560705876991095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17.55173163205896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278.5296012747549</v>
      </c>
      <c r="T119" s="59">
        <f t="shared" si="88"/>
        <v>370.55343097937077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67.720010238830696</v>
      </c>
      <c r="AA119" s="21">
        <f>EXP(-LN(2)/25)*AA118+(1-EXP(-LN(2)/25))/(LN(2)/25)*Calculateur!V119*Calculateur!X119*VLOOKUP('Données projet'!$B$9,Paramètres!$A$1:$I$89,3,0)*0.475*44/12</f>
        <v>10.616153734490803</v>
      </c>
      <c r="AB119" s="21">
        <f>EXP(-LN(2)/2)*AB118+(1-EXP(-LN(2)/2))/(LN(2)/2)*V119*Y119*VLOOKUP('Données projet'!$B$9,Paramètres!$A$1:$I$89,3,0)*0.475*44/12</f>
        <v>2.2496739137436346E-8</v>
      </c>
      <c r="AC119" s="22">
        <f t="shared" si="57"/>
        <v>78.336163995818239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179.44051550872138</v>
      </c>
      <c r="AO119" s="59">
        <f t="shared" si="90"/>
        <v>272.9500808380069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27.481764171636328</v>
      </c>
      <c r="AV119" s="21">
        <f>EXP(-LN(2)/25)*AV118+(1-EXP(-LN(2)/25))/(LN(2)/25)*Calculateur!AQ119*Calculateur!AS119*VLOOKUP('Données projet'!$B$10,Paramètres!$A$1:$I$89,3,0)*0.475*44/12</f>
        <v>30.612769088882192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58.094533260518517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266.99999999999983</v>
      </c>
      <c r="BE119" s="13">
        <f>BD119*VLOOKUP('Données projet'!$B$11,Paramètres!$A$1:$I$89,3,0)*VLOOKUP('Données projet'!$B$11,Paramètres!$A$1:$I$89,5,0)</f>
        <v>212.42519999999985</v>
      </c>
      <c r="BF119" s="13">
        <f t="shared" si="91"/>
        <v>52.465198231787184</v>
      </c>
      <c r="BG119" s="20">
        <f t="shared" si="61"/>
        <v>461.35077692036231</v>
      </c>
      <c r="BH119" s="59">
        <f t="shared" si="62"/>
        <v>754.68411025369562</v>
      </c>
      <c r="BI119" s="59">
        <f ca="1">AVERAGE(OFFSET($BH$3,0,0,'Données projet'!$E$11+1,1))-AVERAGE(OFFSET($H$3,0,0,'Données projet'!$E$11+1,1))</f>
        <v>225.2323446080772</v>
      </c>
      <c r="BJ119" s="59">
        <f t="shared" si="92"/>
        <v>222.29030402759292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14.113370911766191</v>
      </c>
      <c r="BQ119" s="21">
        <f>EXP(-LN(2)/25)*BQ118+(1-EXP(-LN(2)/25))/(LN(2)/25)*Calculateur!BL119*Calculateur!BN119*VLOOKUP('Données projet'!$B$11,Paramètres!$A$1:$I$89,3,0)*0.475*44/12</f>
        <v>3.0697676715079383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17.183138583274129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278.5296012747549</v>
      </c>
      <c r="T120" s="59">
        <f t="shared" si="88"/>
        <v>370.55343097937077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66.392062143174925</v>
      </c>
      <c r="AA120" s="21">
        <f>EXP(-LN(2)/25)*AA119+(1-EXP(-LN(2)/25))/(LN(2)/25)*Calculateur!V120*Calculateur!X120*VLOOKUP('Données projet'!$B$9,Paramètres!$A$1:$I$89,3,0)*0.475*44/12</f>
        <v>10.32585445234189</v>
      </c>
      <c r="AB120" s="21">
        <f>EXP(-LN(2)/2)*AB119+(1-EXP(-LN(2)/2))/(LN(2)/2)*V120*Y120*VLOOKUP('Données projet'!$B$9,Paramètres!$A$1:$I$89,3,0)*0.475*44/12</f>
        <v>1.5907596798666042E-8</v>
      </c>
      <c r="AC120" s="22">
        <f t="shared" si="57"/>
        <v>76.717916611424414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179.44051550872138</v>
      </c>
      <c r="AO120" s="59">
        <f t="shared" si="90"/>
        <v>272.9500808380069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26.942863538451554</v>
      </c>
      <c r="AV120" s="21">
        <f>EXP(-LN(2)/25)*AV119+(1-EXP(-LN(2)/25))/(LN(2)/25)*Calculateur!AQ120*Calculateur!AS120*VLOOKUP('Données projet'!$B$10,Paramètres!$A$1:$I$89,3,0)*0.475*44/12</f>
        <v>29.775661308291149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56.718524846742703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266.99999999999983</v>
      </c>
      <c r="BE120" s="13">
        <f>BD120*VLOOKUP('Données projet'!$B$11,Paramètres!$A$1:$I$89,3,0)*VLOOKUP('Données projet'!$B$11,Paramètres!$A$1:$I$89,5,0)</f>
        <v>212.42519999999985</v>
      </c>
      <c r="BF120" s="13">
        <f t="shared" si="91"/>
        <v>52.465198231787184</v>
      </c>
      <c r="BG120" s="20">
        <f t="shared" si="61"/>
        <v>461.35077692036231</v>
      </c>
      <c r="BH120" s="59">
        <f t="shared" si="62"/>
        <v>754.68411025369562</v>
      </c>
      <c r="BI120" s="59">
        <f ca="1">AVERAGE(OFFSET($BH$3,0,0,'Données projet'!$E$11+1,1))-AVERAGE(OFFSET($H$3,0,0,'Données projet'!$E$11+1,1))</f>
        <v>225.2323446080772</v>
      </c>
      <c r="BJ120" s="59">
        <f t="shared" si="92"/>
        <v>222.29030402759292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13.836616316492712</v>
      </c>
      <c r="BQ120" s="21">
        <f>EXP(-LN(2)/25)*BQ119+(1-EXP(-LN(2)/25))/(LN(2)/25)*Calculateur!BL120*Calculateur!BN120*VLOOKUP('Données projet'!$B$11,Paramètres!$A$1:$I$89,3,0)*0.475*44/12</f>
        <v>2.9858247130984878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16.8224410295912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278.5296012747549</v>
      </c>
      <c r="T121" s="59">
        <f t="shared" si="88"/>
        <v>370.55343097937077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65.090154299706612</v>
      </c>
      <c r="AA121" s="21">
        <f>EXP(-LN(2)/25)*AA120+(1-EXP(-LN(2)/25))/(LN(2)/25)*Calculateur!V121*Calculateur!X121*VLOOKUP('Données projet'!$B$9,Paramètres!$A$1:$I$89,3,0)*0.475*44/12</f>
        <v>10.043493419329515</v>
      </c>
      <c r="AB121" s="21">
        <f>EXP(-LN(2)/2)*AB120+(1-EXP(-LN(2)/2))/(LN(2)/2)*V121*Y121*VLOOKUP('Données projet'!$B$9,Paramètres!$A$1:$I$89,3,0)*0.475*44/12</f>
        <v>1.1248369568718173E-8</v>
      </c>
      <c r="AC121" s="22">
        <f t="shared" si="57"/>
        <v>75.133647730284508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179.44051550872138</v>
      </c>
      <c r="AO121" s="59">
        <f t="shared" si="90"/>
        <v>272.9500808380069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26.414530417986601</v>
      </c>
      <c r="AV121" s="21">
        <f>EXP(-LN(2)/25)*AV120+(1-EXP(-LN(2)/25))/(LN(2)/25)*Calculateur!AQ121*Calculateur!AS121*VLOOKUP('Données projet'!$B$10,Paramètres!$A$1:$I$89,3,0)*0.475*44/12</f>
        <v>28.961444283981951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55.375974701968552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266.99999999999983</v>
      </c>
      <c r="BE121" s="13">
        <f>BD121*VLOOKUP('Données projet'!$B$11,Paramètres!$A$1:$I$89,3,0)*VLOOKUP('Données projet'!$B$11,Paramètres!$A$1:$I$89,5,0)</f>
        <v>212.42519999999985</v>
      </c>
      <c r="BF121" s="13">
        <f t="shared" si="91"/>
        <v>52.465198231787184</v>
      </c>
      <c r="BG121" s="20">
        <f t="shared" si="61"/>
        <v>461.35077692036231</v>
      </c>
      <c r="BH121" s="59">
        <f t="shared" si="62"/>
        <v>754.68411025369562</v>
      </c>
      <c r="BI121" s="59">
        <f ca="1">AVERAGE(OFFSET($BH$3,0,0,'Données projet'!$E$11+1,1))-AVERAGE(OFFSET($H$3,0,0,'Données projet'!$E$11+1,1))</f>
        <v>225.2323446080772</v>
      </c>
      <c r="BJ121" s="59">
        <f t="shared" si="92"/>
        <v>222.29030402759292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13.565288710028911</v>
      </c>
      <c r="BQ121" s="21">
        <f>EXP(-LN(2)/25)*BQ120+(1-EXP(-LN(2)/25))/(LN(2)/25)*Calculateur!BL121*Calculateur!BN121*VLOOKUP('Données projet'!$B$11,Paramètres!$A$1:$I$89,3,0)*0.475*44/12</f>
        <v>2.9041771793011124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16.469465889330024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278.5296012747549</v>
      </c>
      <c r="T122" s="59">
        <f t="shared" si="88"/>
        <v>370.55343097937077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63.813776074963336</v>
      </c>
      <c r="AA122" s="21">
        <f>EXP(-LN(2)/25)*AA121+(1-EXP(-LN(2)/25))/(LN(2)/25)*Calculateur!V122*Calculateur!X122*VLOOKUP('Données projet'!$B$9,Paramètres!$A$1:$I$89,3,0)*0.475*44/12</f>
        <v>9.7688535636135843</v>
      </c>
      <c r="AB122" s="21">
        <f>EXP(-LN(2)/2)*AB121+(1-EXP(-LN(2)/2))/(LN(2)/2)*V122*Y122*VLOOKUP('Données projet'!$B$9,Paramètres!$A$1:$I$89,3,0)*0.475*44/12</f>
        <v>7.953798399333021E-9</v>
      </c>
      <c r="AC122" s="22">
        <f t="shared" si="57"/>
        <v>73.582629646530719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179.44051550872138</v>
      </c>
      <c r="AO122" s="59">
        <f t="shared" si="90"/>
        <v>272.9500808380069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25.896557587762583</v>
      </c>
      <c r="AV122" s="21">
        <f>EXP(-LN(2)/25)*AV121+(1-EXP(-LN(2)/25))/(LN(2)/25)*Calculateur!AQ122*Calculateur!AS122*VLOOKUP('Données projet'!$B$10,Paramètres!$A$1:$I$89,3,0)*0.475*44/12</f>
        <v>28.1694920670203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54.066049654782887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266.99999999999983</v>
      </c>
      <c r="BE122" s="13">
        <f>BD122*VLOOKUP('Données projet'!$B$11,Paramètres!$A$1:$I$89,3,0)*VLOOKUP('Données projet'!$B$11,Paramètres!$A$1:$I$89,5,0)</f>
        <v>212.42519999999985</v>
      </c>
      <c r="BF122" s="13">
        <f t="shared" si="91"/>
        <v>52.465198231787184</v>
      </c>
      <c r="BG122" s="20">
        <f t="shared" si="61"/>
        <v>461.35077692036231</v>
      </c>
      <c r="BH122" s="59">
        <f t="shared" si="62"/>
        <v>754.68411025369562</v>
      </c>
      <c r="BI122" s="59">
        <f ca="1">AVERAGE(OFFSET($BH$3,0,0,'Données projet'!$E$11+1,1))-AVERAGE(OFFSET($H$3,0,0,'Données projet'!$E$11+1,1))</f>
        <v>225.2323446080772</v>
      </c>
      <c r="BJ122" s="59">
        <f t="shared" si="92"/>
        <v>222.29030402759292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13.299281672434367</v>
      </c>
      <c r="BQ122" s="21">
        <f>EXP(-LN(2)/25)*BQ121+(1-EXP(-LN(2)/25))/(LN(2)/25)*Calculateur!BL122*Calculateur!BN122*VLOOKUP('Données projet'!$B$11,Paramètres!$A$1:$I$89,3,0)*0.475*44/12</f>
        <v>2.8247623016090833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16.124043974043449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278.5296012747549</v>
      </c>
      <c r="T123" s="59">
        <f t="shared" si="88"/>
        <v>370.55343097937077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62.562426848693427</v>
      </c>
      <c r="AA123" s="21">
        <f>EXP(-LN(2)/25)*AA122+(1-EXP(-LN(2)/25))/(LN(2)/25)*Calculateur!V123*Calculateur!X123*VLOOKUP('Données projet'!$B$9,Paramètres!$A$1:$I$89,3,0)*0.475*44/12</f>
        <v>9.5017237491948894</v>
      </c>
      <c r="AB123" s="21">
        <f>EXP(-LN(2)/2)*AB122+(1-EXP(-LN(2)/2))/(LN(2)/2)*V123*Y123*VLOOKUP('Données projet'!$B$9,Paramètres!$A$1:$I$89,3,0)*0.475*44/12</f>
        <v>5.6241847843590864E-9</v>
      </c>
      <c r="AC123" s="22">
        <f t="shared" si="57"/>
        <v>72.064150603512502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179.44051550872138</v>
      </c>
      <c r="AO123" s="59">
        <f t="shared" si="90"/>
        <v>272.9500808380069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25.388741888807026</v>
      </c>
      <c r="AV123" s="21">
        <f>EXP(-LN(2)/25)*AV122+(1-EXP(-LN(2)/25))/(LN(2)/25)*Calculateur!AQ123*Calculateur!AS123*VLOOKUP('Données projet'!$B$10,Paramètres!$A$1:$I$89,3,0)*0.475*44/12</f>
        <v>27.399195825078426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52.787937713885455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266.99999999999983</v>
      </c>
      <c r="BE123" s="13">
        <f>BD123*VLOOKUP('Données projet'!$B$11,Paramètres!$A$1:$I$89,3,0)*VLOOKUP('Données projet'!$B$11,Paramètres!$A$1:$I$89,5,0)</f>
        <v>212.42519999999985</v>
      </c>
      <c r="BF123" s="13">
        <f t="shared" si="91"/>
        <v>52.465198231787184</v>
      </c>
      <c r="BG123" s="20">
        <f t="shared" si="61"/>
        <v>461.35077692036231</v>
      </c>
      <c r="BH123" s="59">
        <f t="shared" si="62"/>
        <v>754.68411025369562</v>
      </c>
      <c r="BI123" s="59">
        <f ca="1">AVERAGE(OFFSET($BH$3,0,0,'Données projet'!$E$11+1,1))-AVERAGE(OFFSET($H$3,0,0,'Données projet'!$E$11+1,1))</f>
        <v>225.2323446080772</v>
      </c>
      <c r="BJ123" s="59">
        <f t="shared" si="92"/>
        <v>222.29030402759292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13.038490870598778</v>
      </c>
      <c r="BQ123" s="21">
        <f>EXP(-LN(2)/25)*BQ122+(1-EXP(-LN(2)/25))/(LN(2)/25)*Calculateur!BL123*Calculateur!BN123*VLOOKUP('Données projet'!$B$11,Paramètres!$A$1:$I$89,3,0)*0.475*44/12</f>
        <v>2.7475190279237895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15.786009898522568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278.5296012747549</v>
      </c>
      <c r="T124" s="59">
        <f t="shared" si="88"/>
        <v>370.55343097937077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61.335615817503005</v>
      </c>
      <c r="AA124" s="21">
        <f>EXP(-LN(2)/25)*AA123+(1-EXP(-LN(2)/25))/(LN(2)/25)*Calculateur!V124*Calculateur!X124*VLOOKUP('Données projet'!$B$9,Paramètres!$A$1:$I$89,3,0)*0.475*44/12</f>
        <v>9.2418986135992203</v>
      </c>
      <c r="AB124" s="21">
        <f>EXP(-LN(2)/2)*AB123+(1-EXP(-LN(2)/2))/(LN(2)/2)*V124*Y124*VLOOKUP('Données projet'!$B$9,Paramètres!$A$1:$I$89,3,0)*0.475*44/12</f>
        <v>3.9768991996665105E-9</v>
      </c>
      <c r="AC124" s="22">
        <f t="shared" si="57"/>
        <v>70.577514435079124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179.44051550872138</v>
      </c>
      <c r="AO124" s="59">
        <f t="shared" si="90"/>
        <v>272.9500808380069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24.890884145970997</v>
      </c>
      <c r="AV124" s="21">
        <f>EXP(-LN(2)/25)*AV123+(1-EXP(-LN(2)/25))/(LN(2)/25)*Calculateur!AQ124*Calculateur!AS124*VLOOKUP('Données projet'!$B$10,Paramètres!$A$1:$I$89,3,0)*0.475*44/12</f>
        <v>26.649963374380569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51.540847520351562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266.99999999999983</v>
      </c>
      <c r="BE124" s="13">
        <f>BD124*VLOOKUP('Données projet'!$B$11,Paramètres!$A$1:$I$89,3,0)*VLOOKUP('Données projet'!$B$11,Paramètres!$A$1:$I$89,5,0)</f>
        <v>212.42519999999985</v>
      </c>
      <c r="BF124" s="13">
        <f t="shared" si="91"/>
        <v>52.465198231787184</v>
      </c>
      <c r="BG124" s="20">
        <f t="shared" si="61"/>
        <v>461.35077692036231</v>
      </c>
      <c r="BH124" s="59">
        <f t="shared" si="62"/>
        <v>754.68411025369562</v>
      </c>
      <c r="BI124" s="59">
        <f ca="1">AVERAGE(OFFSET($BH$3,0,0,'Données projet'!$E$11+1,1))-AVERAGE(OFFSET($H$3,0,0,'Données projet'!$E$11+1,1))</f>
        <v>225.2323446080772</v>
      </c>
      <c r="BJ124" s="59">
        <f t="shared" si="92"/>
        <v>222.29030402759292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12.782814017320504</v>
      </c>
      <c r="BQ124" s="21">
        <f>EXP(-LN(2)/25)*BQ123+(1-EXP(-LN(2)/25))/(LN(2)/25)*Calculateur!BL124*Calculateur!BN124*VLOOKUP('Données projet'!$B$11,Paramètres!$A$1:$I$89,3,0)*0.475*44/12</f>
        <v>2.6723879756194675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15.455201992939973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278.5296012747549</v>
      </c>
      <c r="T125" s="59">
        <f t="shared" si="88"/>
        <v>370.55343097937077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60.132861802353389</v>
      </c>
      <c r="AA125" s="21">
        <f>EXP(-LN(2)/25)*AA124+(1-EXP(-LN(2)/25))/(LN(2)/25)*Calculateur!V125*Calculateur!X125*VLOOKUP('Données projet'!$B$9,Paramètres!$A$1:$I$89,3,0)*0.475*44/12</f>
        <v>8.989178410000024</v>
      </c>
      <c r="AB125" s="21">
        <f>EXP(-LN(2)/2)*AB124+(1-EXP(-LN(2)/2))/(LN(2)/2)*V125*Y125*VLOOKUP('Données projet'!$B$9,Paramètres!$A$1:$I$89,3,0)*0.475*44/12</f>
        <v>2.8120923921795432E-9</v>
      </c>
      <c r="AC125" s="22">
        <f t="shared" si="57"/>
        <v>69.122040215165498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179.44051550872138</v>
      </c>
      <c r="AO125" s="59">
        <f t="shared" si="90"/>
        <v>272.9500808380069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24.402789089808742</v>
      </c>
      <c r="AV125" s="21">
        <f>EXP(-LN(2)/25)*AV124+(1-EXP(-LN(2)/25))/(LN(2)/25)*Calculateur!AQ125*Calculateur!AS125*VLOOKUP('Données projet'!$B$10,Paramètres!$A$1:$I$89,3,0)*0.475*44/12</f>
        <v>25.921218724447467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50.324007814256206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266.99999999999983</v>
      </c>
      <c r="BE125" s="13">
        <f>BD125*VLOOKUP('Données projet'!$B$11,Paramètres!$A$1:$I$89,3,0)*VLOOKUP('Données projet'!$B$11,Paramètres!$A$1:$I$89,5,0)</f>
        <v>212.42519999999985</v>
      </c>
      <c r="BF125" s="13">
        <f t="shared" si="91"/>
        <v>52.465198231787184</v>
      </c>
      <c r="BG125" s="20">
        <f t="shared" si="61"/>
        <v>461.35077692036231</v>
      </c>
      <c r="BH125" s="59">
        <f t="shared" si="62"/>
        <v>754.68411025369562</v>
      </c>
      <c r="BI125" s="59">
        <f ca="1">AVERAGE(OFFSET($BH$3,0,0,'Données projet'!$E$11+1,1))-AVERAGE(OFFSET($H$3,0,0,'Données projet'!$E$11+1,1))</f>
        <v>225.2323446080772</v>
      </c>
      <c r="BJ125" s="59">
        <f t="shared" si="92"/>
        <v>222.29030402759292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12.532150831187534</v>
      </c>
      <c r="BQ125" s="21">
        <f>EXP(-LN(2)/25)*BQ124+(1-EXP(-LN(2)/25))/(LN(2)/25)*Calculateur!BL125*Calculateur!BN125*VLOOKUP('Données projet'!$B$11,Paramètres!$A$1:$I$89,3,0)*0.475*44/12</f>
        <v>2.5993113858913772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15.131462217078912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278.5296012747549</v>
      </c>
      <c r="T126" s="59">
        <f t="shared" si="88"/>
        <v>370.55343097937077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58.953693059833341</v>
      </c>
      <c r="AA126" s="21">
        <f>EXP(-LN(2)/25)*AA125+(1-EXP(-LN(2)/25))/(LN(2)/25)*Calculateur!V126*Calculateur!X126*VLOOKUP('Données projet'!$B$9,Paramètres!$A$1:$I$89,3,0)*0.475*44/12</f>
        <v>8.7433688536582252</v>
      </c>
      <c r="AB126" s="21">
        <f>EXP(-LN(2)/2)*AB125+(1-EXP(-LN(2)/2))/(LN(2)/2)*V126*Y126*VLOOKUP('Données projet'!$B$9,Paramètres!$A$1:$I$89,3,0)*0.475*44/12</f>
        <v>1.9884495998332552E-9</v>
      </c>
      <c r="AC126" s="22">
        <f t="shared" si="57"/>
        <v>67.69706191548002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179.44051550872138</v>
      </c>
      <c r="AO126" s="59">
        <f t="shared" si="90"/>
        <v>272.9500808380069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23.924265279989243</v>
      </c>
      <c r="AV126" s="21">
        <f>EXP(-LN(2)/25)*AV125+(1-EXP(-LN(2)/25))/(LN(2)/25)*Calculateur!AQ126*Calculateur!AS126*VLOOKUP('Données projet'!$B$10,Paramètres!$A$1:$I$89,3,0)*0.475*44/12</f>
        <v>25.212401635289801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49.136666915279044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266.99999999999983</v>
      </c>
      <c r="BE126" s="13">
        <f>BD126*VLOOKUP('Données projet'!$B$11,Paramètres!$A$1:$I$89,3,0)*VLOOKUP('Données projet'!$B$11,Paramètres!$A$1:$I$89,5,0)</f>
        <v>212.42519999999985</v>
      </c>
      <c r="BF126" s="13">
        <f t="shared" si="91"/>
        <v>52.465198231787184</v>
      </c>
      <c r="BG126" s="20">
        <f t="shared" si="61"/>
        <v>461.35077692036231</v>
      </c>
      <c r="BH126" s="59">
        <f t="shared" si="62"/>
        <v>754.68411025369562</v>
      </c>
      <c r="BI126" s="59">
        <f ca="1">AVERAGE(OFFSET($BH$3,0,0,'Données projet'!$E$11+1,1))-AVERAGE(OFFSET($H$3,0,0,'Données projet'!$E$11+1,1))</f>
        <v>225.2323446080772</v>
      </c>
      <c r="BJ126" s="59">
        <f t="shared" si="92"/>
        <v>222.29030402759292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12.286402997245185</v>
      </c>
      <c r="BQ126" s="21">
        <f>EXP(-LN(2)/25)*BQ125+(1-EXP(-LN(2)/25))/(LN(2)/25)*Calculateur!BL126*Calculateur!BN126*VLOOKUP('Données projet'!$B$11,Paramètres!$A$1:$I$89,3,0)*0.475*44/12</f>
        <v>2.5282330793523324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14.814636076597518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278.5296012747549</v>
      </c>
      <c r="T127" s="59">
        <f t="shared" si="88"/>
        <v>370.55343097937077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57.797647097132199</v>
      </c>
      <c r="AA127" s="21">
        <f>EXP(-LN(2)/25)*AA126+(1-EXP(-LN(2)/25))/(LN(2)/25)*Calculateur!V127*Calculateur!X127*VLOOKUP('Données projet'!$B$9,Paramètres!$A$1:$I$89,3,0)*0.475*44/12</f>
        <v>8.5042809725611566</v>
      </c>
      <c r="AB127" s="21">
        <f>EXP(-LN(2)/2)*AB126+(1-EXP(-LN(2)/2))/(LN(2)/2)*V127*Y127*VLOOKUP('Données projet'!$B$9,Paramètres!$A$1:$I$89,3,0)*0.475*44/12</f>
        <v>1.4060461960897716E-9</v>
      </c>
      <c r="AC127" s="22">
        <f t="shared" si="57"/>
        <v>66.301928071099411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179.44051550872138</v>
      </c>
      <c r="AO127" s="59">
        <f t="shared" si="90"/>
        <v>272.9500808380069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23.455125030209597</v>
      </c>
      <c r="AV127" s="21">
        <f>EXP(-LN(2)/25)*AV126+(1-EXP(-LN(2)/25))/(LN(2)/25)*Calculateur!AQ127*Calculateur!AS127*VLOOKUP('Données projet'!$B$10,Paramètres!$A$1:$I$89,3,0)*0.475*44/12</f>
        <v>24.522967186710222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47.978092216919819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266.99999999999983</v>
      </c>
      <c r="BE127" s="13">
        <f>BD127*VLOOKUP('Données projet'!$B$11,Paramètres!$A$1:$I$89,3,0)*VLOOKUP('Données projet'!$B$11,Paramètres!$A$1:$I$89,5,0)</f>
        <v>212.42519999999985</v>
      </c>
      <c r="BF127" s="13">
        <f t="shared" si="91"/>
        <v>52.465198231787184</v>
      </c>
      <c r="BG127" s="20">
        <f t="shared" si="61"/>
        <v>461.35077692036231</v>
      </c>
      <c r="BH127" s="59">
        <f t="shared" si="62"/>
        <v>754.68411025369562</v>
      </c>
      <c r="BI127" s="59">
        <f ca="1">AVERAGE(OFFSET($BH$3,0,0,'Données projet'!$E$11+1,1))-AVERAGE(OFFSET($H$3,0,0,'Données projet'!$E$11+1,1))</f>
        <v>225.2323446080772</v>
      </c>
      <c r="BJ127" s="59">
        <f t="shared" si="92"/>
        <v>222.29030402759292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12.045474128435067</v>
      </c>
      <c r="BQ127" s="21">
        <f>EXP(-LN(2)/25)*BQ126+(1-EXP(-LN(2)/25))/(LN(2)/25)*Calculateur!BL127*Calculateur!BN127*VLOOKUP('Données projet'!$B$11,Paramètres!$A$1:$I$89,3,0)*0.475*44/12</f>
        <v>2.4590984128434434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14.504572541278511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278.5296012747549</v>
      </c>
      <c r="T128" s="59">
        <f t="shared" si="88"/>
        <v>370.55343097937077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56.664270490641215</v>
      </c>
      <c r="AA128" s="21">
        <f>EXP(-LN(2)/25)*AA127+(1-EXP(-LN(2)/25))/(LN(2)/25)*Calculateur!V128*Calculateur!X128*VLOOKUP('Données projet'!$B$9,Paramètres!$A$1:$I$89,3,0)*0.475*44/12</f>
        <v>8.2717309621457726</v>
      </c>
      <c r="AB128" s="21">
        <f>EXP(-LN(2)/2)*AB127+(1-EXP(-LN(2)/2))/(LN(2)/2)*V128*Y128*VLOOKUP('Données projet'!$B$9,Paramètres!$A$1:$I$89,3,0)*0.475*44/12</f>
        <v>9.9422479991662762E-10</v>
      </c>
      <c r="AC128" s="22">
        <f t="shared" si="57"/>
        <v>64.936001453781202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179.44051550872138</v>
      </c>
      <c r="AO128" s="59">
        <f t="shared" si="90"/>
        <v>272.9500808380069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22.995184334580834</v>
      </c>
      <c r="AV128" s="21">
        <f>EXP(-LN(2)/25)*AV127+(1-EXP(-LN(2)/25))/(LN(2)/25)*Calculateur!AQ128*Calculateur!AS128*VLOOKUP('Données projet'!$B$10,Paramètres!$A$1:$I$89,3,0)*0.475*44/12</f>
        <v>23.852385359382833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46.847569693963663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266.99999999999983</v>
      </c>
      <c r="BE128" s="13">
        <f>BD128*VLOOKUP('Données projet'!$B$11,Paramètres!$A$1:$I$89,3,0)*VLOOKUP('Données projet'!$B$11,Paramètres!$A$1:$I$89,5,0)</f>
        <v>212.42519999999985</v>
      </c>
      <c r="BF128" s="13">
        <f t="shared" si="91"/>
        <v>52.465198231787184</v>
      </c>
      <c r="BG128" s="20">
        <f t="shared" si="61"/>
        <v>461.35077692036231</v>
      </c>
      <c r="BH128" s="59">
        <f t="shared" si="62"/>
        <v>754.68411025369562</v>
      </c>
      <c r="BI128" s="59">
        <f ca="1">AVERAGE(OFFSET($BH$3,0,0,'Données projet'!$E$11+1,1))-AVERAGE(OFFSET($H$3,0,0,'Données projet'!$E$11+1,1))</f>
        <v>225.2323446080772</v>
      </c>
      <c r="BJ128" s="59">
        <f t="shared" si="92"/>
        <v>222.29030402759292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11.809269727790216</v>
      </c>
      <c r="BQ128" s="21">
        <f>EXP(-LN(2)/25)*BQ127+(1-EXP(-LN(2)/25))/(LN(2)/25)*Calculateur!BL128*Calculateur!BN128*VLOOKUP('Données projet'!$B$11,Paramètres!$A$1:$I$89,3,0)*0.475*44/12</f>
        <v>2.3918542374258744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14.201123965216091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278.5296012747549</v>
      </c>
      <c r="T129" s="59">
        <f t="shared" si="88"/>
        <v>370.55343097937077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55.553118708112045</v>
      </c>
      <c r="AA129" s="21">
        <f>EXP(-LN(2)/25)*AA128+(1-EXP(-LN(2)/25))/(LN(2)/25)*Calculateur!V129*Calculateur!X129*VLOOKUP('Données projet'!$B$9,Paramètres!$A$1:$I$89,3,0)*0.475*44/12</f>
        <v>8.0455400439944711</v>
      </c>
      <c r="AB129" s="21">
        <f>EXP(-LN(2)/2)*AB128+(1-EXP(-LN(2)/2))/(LN(2)/2)*V129*Y129*VLOOKUP('Données projet'!$B$9,Paramètres!$A$1:$I$89,3,0)*0.475*44/12</f>
        <v>7.030230980448858E-10</v>
      </c>
      <c r="AC129" s="22">
        <f t="shared" si="57"/>
        <v>63.598658752809541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179.44051550872138</v>
      </c>
      <c r="AO129" s="59">
        <f t="shared" si="90"/>
        <v>272.9500808380069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22.544262795457229</v>
      </c>
      <c r="AV129" s="21">
        <f>EXP(-LN(2)/25)*AV128+(1-EXP(-LN(2)/25))/(LN(2)/25)*Calculateur!AQ129*Calculateur!AS129*VLOOKUP('Données projet'!$B$10,Paramètres!$A$1:$I$89,3,0)*0.475*44/12</f>
        <v>23.200140627388077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45.744403422845309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266.99999999999983</v>
      </c>
      <c r="BE129" s="13">
        <f>BD129*VLOOKUP('Données projet'!$B$11,Paramètres!$A$1:$I$89,3,0)*VLOOKUP('Données projet'!$B$11,Paramètres!$A$1:$I$89,5,0)</f>
        <v>212.42519999999985</v>
      </c>
      <c r="BF129" s="13">
        <f t="shared" si="91"/>
        <v>52.465198231787184</v>
      </c>
      <c r="BG129" s="20">
        <f t="shared" si="61"/>
        <v>461.35077692036231</v>
      </c>
      <c r="BH129" s="59">
        <f t="shared" si="62"/>
        <v>754.68411025369562</v>
      </c>
      <c r="BI129" s="59">
        <f ca="1">AVERAGE(OFFSET($BH$3,0,0,'Données projet'!$E$11+1,1))-AVERAGE(OFFSET($H$3,0,0,'Données projet'!$E$11+1,1))</f>
        <v>225.2323446080772</v>
      </c>
      <c r="BJ129" s="59">
        <f t="shared" si="92"/>
        <v>222.29030402759292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11.577697151371552</v>
      </c>
      <c r="BQ129" s="21">
        <f>EXP(-LN(2)/25)*BQ128+(1-EXP(-LN(2)/25))/(LN(2)/25)*Calculateur!BL129*Calculateur!BN129*VLOOKUP('Données projet'!$B$11,Paramètres!$A$1:$I$89,3,0)*0.475*44/12</f>
        <v>2.3264488575213162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13.904146008892869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278.5296012747549</v>
      </c>
      <c r="T130" s="59">
        <f t="shared" si="88"/>
        <v>370.55343097937077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54.463755934302604</v>
      </c>
      <c r="AA130" s="21">
        <f>EXP(-LN(2)/25)*AA129+(1-EXP(-LN(2)/25))/(LN(2)/25)*Calculateur!V130*Calculateur!X130*VLOOKUP('Données projet'!$B$9,Paramètres!$A$1:$I$89,3,0)*0.475*44/12</f>
        <v>7.8255343283948795</v>
      </c>
      <c r="AB130" s="21">
        <f>EXP(-LN(2)/2)*AB129+(1-EXP(-LN(2)/2))/(LN(2)/2)*V130*Y130*VLOOKUP('Données projet'!$B$9,Paramètres!$A$1:$I$89,3,0)*0.475*44/12</f>
        <v>4.9711239995831381E-10</v>
      </c>
      <c r="AC130" s="22">
        <f t="shared" si="57"/>
        <v>62.289290263194594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179.44051550872138</v>
      </c>
      <c r="AO130" s="59">
        <f t="shared" si="90"/>
        <v>272.9500808380069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22.102183552680856</v>
      </c>
      <c r="AV130" s="21">
        <f>EXP(-LN(2)/25)*AV129+(1-EXP(-LN(2)/25))/(LN(2)/25)*Calculateur!AQ130*Calculateur!AS130*VLOOKUP('Données projet'!$B$10,Paramètres!$A$1:$I$89,3,0)*0.475*44/12</f>
        <v>22.56573156188978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44.667915114570633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266.99999999999983</v>
      </c>
      <c r="BE130" s="13">
        <f>BD130*VLOOKUP('Données projet'!$B$11,Paramètres!$A$1:$I$89,3,0)*VLOOKUP('Données projet'!$B$11,Paramètres!$A$1:$I$89,5,0)</f>
        <v>212.42519999999985</v>
      </c>
      <c r="BF130" s="13">
        <f t="shared" si="91"/>
        <v>52.465198231787184</v>
      </c>
      <c r="BG130" s="20">
        <f t="shared" si="61"/>
        <v>461.35077692036231</v>
      </c>
      <c r="BH130" s="59">
        <f t="shared" si="62"/>
        <v>754.68411025369562</v>
      </c>
      <c r="BI130" s="59">
        <f ca="1">AVERAGE(OFFSET($BH$3,0,0,'Données projet'!$E$11+1,1))-AVERAGE(OFFSET($H$3,0,0,'Données projet'!$E$11+1,1))</f>
        <v>225.2323446080772</v>
      </c>
      <c r="BJ130" s="59">
        <f t="shared" si="92"/>
        <v>222.29030402759292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11.350665571931133</v>
      </c>
      <c r="BQ130" s="21">
        <f>EXP(-LN(2)/25)*BQ129+(1-EXP(-LN(2)/25))/(LN(2)/25)*Calculateur!BL130*Calculateur!BN130*VLOOKUP('Données projet'!$B$11,Paramètres!$A$1:$I$89,3,0)*0.475*44/12</f>
        <v>2.2628319911697674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13.6134975631009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278.5296012747549</v>
      </c>
      <c r="T131" s="59">
        <f t="shared" si="88"/>
        <v>370.55343097937077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53.395754900041887</v>
      </c>
      <c r="AA131" s="21">
        <f>EXP(-LN(2)/25)*AA130+(1-EXP(-LN(2)/25))/(LN(2)/25)*Calculateur!V131*Calculateur!X131*VLOOKUP('Données projet'!$B$9,Paramètres!$A$1:$I$89,3,0)*0.475*44/12</f>
        <v>7.611544680657957</v>
      </c>
      <c r="AB131" s="21">
        <f>EXP(-LN(2)/2)*AB130+(1-EXP(-LN(2)/2))/(LN(2)/2)*V131*Y131*VLOOKUP('Données projet'!$B$9,Paramètres!$A$1:$I$89,3,0)*0.475*44/12</f>
        <v>3.515115490224429E-10</v>
      </c>
      <c r="AC131" s="22">
        <f t="shared" si="57"/>
        <v>61.007299581051356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179.44051550872138</v>
      </c>
      <c r="AO131" s="59">
        <f t="shared" si="90"/>
        <v>272.9500808380069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21.668773214213612</v>
      </c>
      <c r="AV131" s="21">
        <f>EXP(-LN(2)/25)*AV130+(1-EXP(-LN(2)/25))/(LN(2)/25)*Calculateur!AQ131*Calculateur!AS131*VLOOKUP('Données projet'!$B$10,Paramètres!$A$1:$I$89,3,0)*0.475*44/12</f>
        <v>21.948670445649658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43.61744365986327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266.99999999999983</v>
      </c>
      <c r="BE131" s="13">
        <f>BD131*VLOOKUP('Données projet'!$B$11,Paramètres!$A$1:$I$89,3,0)*VLOOKUP('Données projet'!$B$11,Paramètres!$A$1:$I$89,5,0)</f>
        <v>212.42519999999985</v>
      </c>
      <c r="BF131" s="13">
        <f t="shared" si="91"/>
        <v>52.465198231787184</v>
      </c>
      <c r="BG131" s="20">
        <f t="shared" si="61"/>
        <v>461.35077692036231</v>
      </c>
      <c r="BH131" s="59">
        <f t="shared" si="62"/>
        <v>754.68411025369562</v>
      </c>
      <c r="BI131" s="59">
        <f ca="1">AVERAGE(OFFSET($BH$3,0,0,'Données projet'!$E$11+1,1))-AVERAGE(OFFSET($H$3,0,0,'Données projet'!$E$11+1,1))</f>
        <v>225.2323446080772</v>
      </c>
      <c r="BJ131" s="59">
        <f t="shared" si="92"/>
        <v>222.29030402759292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11.128085943287951</v>
      </c>
      <c r="BQ131" s="21">
        <f>EXP(-LN(2)/25)*BQ130+(1-EXP(-LN(2)/25))/(LN(2)/25)*Calculateur!BL131*Calculateur!BN131*VLOOKUP('Données projet'!$B$11,Paramètres!$A$1:$I$89,3,0)*0.475*44/12</f>
        <v>2.2009547313740674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13.329040674662018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278.5296012747549</v>
      </c>
      <c r="T132" s="59">
        <f t="shared" si="88"/>
        <v>370.55343097937077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52.348696714646714</v>
      </c>
      <c r="AA132" s="21">
        <f>EXP(-LN(2)/25)*AA131+(1-EXP(-LN(2)/25))/(LN(2)/25)*Calculateur!V132*Calculateur!X132*VLOOKUP('Données projet'!$B$9,Paramètres!$A$1:$I$89,3,0)*0.475*44/12</f>
        <v>7.4034065910916267</v>
      </c>
      <c r="AB132" s="21">
        <f>EXP(-LN(2)/2)*AB131+(1-EXP(-LN(2)/2))/(LN(2)/2)*V132*Y132*VLOOKUP('Données projet'!$B$9,Paramètres!$A$1:$I$89,3,0)*0.475*44/12</f>
        <v>2.4855619997915691E-10</v>
      </c>
      <c r="AC132" s="22">
        <f t="shared" ref="AC132:AC153" si="111">SUM(Z132:AB132)</f>
        <v>59.752103305986893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179.44051550872138</v>
      </c>
      <c r="AO132" s="59">
        <f t="shared" si="90"/>
        <v>272.9500808380069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21.243861788129507</v>
      </c>
      <c r="AV132" s="21">
        <f>EXP(-LN(2)/25)*AV131+(1-EXP(-LN(2)/25))/(LN(2)/25)*Calculateur!AQ132*Calculateur!AS132*VLOOKUP('Données projet'!$B$10,Paramètres!$A$1:$I$89,3,0)*0.475*44/12</f>
        <v>21.348482898082953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42.592344686212456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266.99999999999983</v>
      </c>
      <c r="BE132" s="13">
        <f>BD132*VLOOKUP('Données projet'!$B$11,Paramètres!$A$1:$I$89,3,0)*VLOOKUP('Données projet'!$B$11,Paramètres!$A$1:$I$89,5,0)</f>
        <v>212.42519999999985</v>
      </c>
      <c r="BF132" s="13">
        <f t="shared" si="91"/>
        <v>52.465198231787184</v>
      </c>
      <c r="BG132" s="20">
        <f t="shared" ref="BG132:BG153" si="115">(BE132+BF132)*0.475*44/12</f>
        <v>461.35077692036231</v>
      </c>
      <c r="BH132" s="59">
        <f t="shared" ref="BH132:BH195" si="116">BG132+(AY132+AZ132)*44/12</f>
        <v>754.68411025369562</v>
      </c>
      <c r="BI132" s="59">
        <f ca="1">AVERAGE(OFFSET($BH$3,0,0,'Données projet'!$E$11+1,1))-AVERAGE(OFFSET($H$3,0,0,'Données projet'!$E$11+1,1))</f>
        <v>225.2323446080772</v>
      </c>
      <c r="BJ132" s="59">
        <f t="shared" si="92"/>
        <v>222.29030402759292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10.909870965402293</v>
      </c>
      <c r="BQ132" s="21">
        <f>EXP(-LN(2)/25)*BQ131+(1-EXP(-LN(2)/25))/(LN(2)/25)*Calculateur!BL132*Calculateur!BN132*VLOOKUP('Données projet'!$B$11,Paramètres!$A$1:$I$89,3,0)*0.475*44/12</f>
        <v>2.1407695085014646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13.050640473903758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278.5296012747549</v>
      </c>
      <c r="T133" s="59">
        <f t="shared" ref="T133:T196" si="142">$T$3</f>
        <v>370.55343097937077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51.322170701624707</v>
      </c>
      <c r="AA133" s="21">
        <f>EXP(-LN(2)/25)*AA132+(1-EXP(-LN(2)/25))/(LN(2)/25)*Calculateur!V133*Calculateur!X133*VLOOKUP('Données projet'!$B$9,Paramètres!$A$1:$I$89,3,0)*0.475*44/12</f>
        <v>7.2009600485299945</v>
      </c>
      <c r="AB133" s="21">
        <f>EXP(-LN(2)/2)*AB132+(1-EXP(-LN(2)/2))/(LN(2)/2)*V133*Y133*VLOOKUP('Données projet'!$B$9,Paramètres!$A$1:$I$89,3,0)*0.475*44/12</f>
        <v>1.7575577451122145E-10</v>
      </c>
      <c r="AC133" s="22">
        <f t="shared" si="111"/>
        <v>58.523130750330452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179.44051550872138</v>
      </c>
      <c r="AO133" s="59">
        <f t="shared" ref="AO133:AO196" si="144">$AO$3</f>
        <v>272.9500808380069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20.827282615940533</v>
      </c>
      <c r="AV133" s="21">
        <f>EXP(-LN(2)/25)*AV132+(1-EXP(-LN(2)/25))/(LN(2)/25)*Calculateur!AQ133*Calculateur!AS133*VLOOKUP('Données projet'!$B$10,Paramètres!$A$1:$I$89,3,0)*0.475*44/12</f>
        <v>20.76470751056695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41.591990126507483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266.99999999999983</v>
      </c>
      <c r="BE133" s="13">
        <f>BD133*VLOOKUP('Données projet'!$B$11,Paramètres!$A$1:$I$89,3,0)*VLOOKUP('Données projet'!$B$11,Paramètres!$A$1:$I$89,5,0)</f>
        <v>212.42519999999985</v>
      </c>
      <c r="BF133" s="13">
        <f t="shared" ref="BF133:BF153" si="145">EXP(-1.0587+0.8836*LN(BE133)+0.284)</f>
        <v>52.465198231787184</v>
      </c>
      <c r="BG133" s="20">
        <f t="shared" si="115"/>
        <v>461.35077692036231</v>
      </c>
      <c r="BH133" s="59">
        <f t="shared" si="116"/>
        <v>754.68411025369562</v>
      </c>
      <c r="BI133" s="59">
        <f ca="1">AVERAGE(OFFSET($BH$3,0,0,'Données projet'!$E$11+1,1))-AVERAGE(OFFSET($H$3,0,0,'Données projet'!$E$11+1,1))</f>
        <v>225.2323446080772</v>
      </c>
      <c r="BJ133" s="59">
        <f t="shared" ref="BJ133:BJ196" si="146">$BJ$3</f>
        <v>222.29030402759292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10.695935050134979</v>
      </c>
      <c r="BQ133" s="21">
        <f>EXP(-LN(2)/25)*BQ132+(1-EXP(-LN(2)/25))/(LN(2)/25)*Calculateur!BL133*Calculateur!BN133*VLOOKUP('Données projet'!$B$11,Paramètres!$A$1:$I$89,3,0)*0.475*44/12</f>
        <v>2.0822300537133165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12.778165103848295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278.5296012747549</v>
      </c>
      <c r="T134" s="59">
        <f t="shared" si="142"/>
        <v>370.55343097937077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50.315774237599015</v>
      </c>
      <c r="AA134" s="21">
        <f>EXP(-LN(2)/25)*AA133+(1-EXP(-LN(2)/25))/(LN(2)/25)*Calculateur!V134*Calculateur!X134*VLOOKUP('Données projet'!$B$9,Paramètres!$A$1:$I$89,3,0)*0.475*44/12</f>
        <v>7.0040494173209105</v>
      </c>
      <c r="AB134" s="21">
        <f>EXP(-LN(2)/2)*AB133+(1-EXP(-LN(2)/2))/(LN(2)/2)*V134*Y134*VLOOKUP('Données projet'!$B$9,Paramètres!$A$1:$I$89,3,0)*0.475*44/12</f>
        <v>1.2427809998957845E-10</v>
      </c>
      <c r="AC134" s="22">
        <f t="shared" si="111"/>
        <v>57.31982365504421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179.44051550872138</v>
      </c>
      <c r="AO134" s="59">
        <f t="shared" si="144"/>
        <v>272.9500808380069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20.418872307229979</v>
      </c>
      <c r="AV134" s="21">
        <f>EXP(-LN(2)/25)*AV133+(1-EXP(-LN(2)/25))/(LN(2)/25)*Calculateur!AQ134*Calculateur!AS134*VLOOKUP('Données projet'!$B$10,Paramètres!$A$1:$I$89,3,0)*0.475*44/12</f>
        <v>20.196895491721989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40.615767798951964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266.99999999999983</v>
      </c>
      <c r="BE134" s="13">
        <f>BD134*VLOOKUP('Données projet'!$B$11,Paramètres!$A$1:$I$89,3,0)*VLOOKUP('Données projet'!$B$11,Paramètres!$A$1:$I$89,5,0)</f>
        <v>212.42519999999985</v>
      </c>
      <c r="BF134" s="13">
        <f t="shared" si="145"/>
        <v>52.465198231787184</v>
      </c>
      <c r="BG134" s="20">
        <f t="shared" si="115"/>
        <v>461.35077692036231</v>
      </c>
      <c r="BH134" s="59">
        <f t="shared" si="116"/>
        <v>754.68411025369562</v>
      </c>
      <c r="BI134" s="59">
        <f ca="1">AVERAGE(OFFSET($BH$3,0,0,'Données projet'!$E$11+1,1))-AVERAGE(OFFSET($H$3,0,0,'Données projet'!$E$11+1,1))</f>
        <v>225.2323446080772</v>
      </c>
      <c r="BJ134" s="59">
        <f t="shared" si="146"/>
        <v>222.29030402759292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10.486194287678034</v>
      </c>
      <c r="BQ134" s="21">
        <f>EXP(-LN(2)/25)*BQ133+(1-EXP(-LN(2)/25))/(LN(2)/25)*Calculateur!BL134*Calculateur!BN134*VLOOKUP('Données projet'!$B$11,Paramètres!$A$1:$I$89,3,0)*0.475*44/12</f>
        <v>2.0252913633948064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12.51148565107284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278.5296012747549</v>
      </c>
      <c r="T135" s="59">
        <f t="shared" si="142"/>
        <v>370.55343097937077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49.329112594391638</v>
      </c>
      <c r="AA135" s="21">
        <f>EXP(-LN(2)/25)*AA134+(1-EXP(-LN(2)/25))/(LN(2)/25)*Calculateur!V135*Calculateur!X135*VLOOKUP('Données projet'!$B$9,Paramètres!$A$1:$I$89,3,0)*0.475*44/12</f>
        <v>6.8125233176773197</v>
      </c>
      <c r="AB135" s="21">
        <f>EXP(-LN(2)/2)*AB134+(1-EXP(-LN(2)/2))/(LN(2)/2)*V135*Y135*VLOOKUP('Données projet'!$B$9,Paramètres!$A$1:$I$89,3,0)*0.475*44/12</f>
        <v>8.7877887255610725E-11</v>
      </c>
      <c r="AC135" s="22">
        <f t="shared" si="111"/>
        <v>56.141635912156836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179.44051550872138</v>
      </c>
      <c r="AO135" s="59">
        <f t="shared" si="144"/>
        <v>272.9500808380069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20.018470675567549</v>
      </c>
      <c r="AV135" s="21">
        <f>EXP(-LN(2)/25)*AV134+(1-EXP(-LN(2)/25))/(LN(2)/25)*Calculateur!AQ135*Calculateur!AS135*VLOOKUP('Données projet'!$B$10,Paramètres!$A$1:$I$89,3,0)*0.475*44/12</f>
        <v>19.644610322392278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39.663080997959824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266.99999999999983</v>
      </c>
      <c r="BE135" s="13">
        <f>BD135*VLOOKUP('Données projet'!$B$11,Paramètres!$A$1:$I$89,3,0)*VLOOKUP('Données projet'!$B$11,Paramètres!$A$1:$I$89,5,0)</f>
        <v>212.42519999999985</v>
      </c>
      <c r="BF135" s="13">
        <f t="shared" si="145"/>
        <v>52.465198231787184</v>
      </c>
      <c r="BG135" s="20">
        <f t="shared" si="115"/>
        <v>461.35077692036231</v>
      </c>
      <c r="BH135" s="59">
        <f t="shared" si="116"/>
        <v>754.68411025369562</v>
      </c>
      <c r="BI135" s="59">
        <f ca="1">AVERAGE(OFFSET($BH$3,0,0,'Données projet'!$E$11+1,1))-AVERAGE(OFFSET($H$3,0,0,'Données projet'!$E$11+1,1))</f>
        <v>225.2323446080772</v>
      </c>
      <c r="BJ135" s="59">
        <f t="shared" si="146"/>
        <v>222.29030402759292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10.280566413643635</v>
      </c>
      <c r="BQ135" s="21">
        <f>EXP(-LN(2)/25)*BQ134+(1-EXP(-LN(2)/25))/(LN(2)/25)*Calculateur!BL135*Calculateur!BN135*VLOOKUP('Données projet'!$B$11,Paramètres!$A$1:$I$89,3,0)*0.475*44/12</f>
        <v>1.9699096645573315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12.250476078200967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278.5296012747549</v>
      </c>
      <c r="T136" s="59">
        <f t="shared" si="142"/>
        <v>370.55343097937077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48.36179878420338</v>
      </c>
      <c r="AA136" s="21">
        <f>EXP(-LN(2)/25)*AA135+(1-EXP(-LN(2)/25))/(LN(2)/25)*Calculateur!V136*Calculateur!X136*VLOOKUP('Données projet'!$B$9,Paramètres!$A$1:$I$89,3,0)*0.475*44/12</f>
        <v>6.626234509300402</v>
      </c>
      <c r="AB136" s="21">
        <f>EXP(-LN(2)/2)*AB135+(1-EXP(-LN(2)/2))/(LN(2)/2)*V136*Y136*VLOOKUP('Données projet'!$B$9,Paramètres!$A$1:$I$89,3,0)*0.475*44/12</f>
        <v>6.2139049994789226E-11</v>
      </c>
      <c r="AC136" s="22">
        <f t="shared" si="111"/>
        <v>54.98803329356592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179.44051550872138</v>
      </c>
      <c r="AO136" s="59">
        <f t="shared" si="144"/>
        <v>272.9500808380069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19.625920675681137</v>
      </c>
      <c r="AV136" s="21">
        <f>EXP(-LN(2)/25)*AV135+(1-EXP(-LN(2)/25))/(LN(2)/25)*Calculateur!AQ136*Calculateur!AS136*VLOOKUP('Données projet'!$B$10,Paramètres!$A$1:$I$89,3,0)*0.475*44/12</f>
        <v>19.107427420061303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38.733348095742443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266.99999999999983</v>
      </c>
      <c r="BE136" s="13">
        <f>BD136*VLOOKUP('Données projet'!$B$11,Paramètres!$A$1:$I$89,3,0)*VLOOKUP('Données projet'!$B$11,Paramètres!$A$1:$I$89,5,0)</f>
        <v>212.42519999999985</v>
      </c>
      <c r="BF136" s="13">
        <f t="shared" si="145"/>
        <v>52.465198231787184</v>
      </c>
      <c r="BG136" s="20">
        <f t="shared" si="115"/>
        <v>461.35077692036231</v>
      </c>
      <c r="BH136" s="59">
        <f t="shared" si="116"/>
        <v>754.68411025369562</v>
      </c>
      <c r="BI136" s="59">
        <f ca="1">AVERAGE(OFFSET($BH$3,0,0,'Données projet'!$E$11+1,1))-AVERAGE(OFFSET($H$3,0,0,'Données projet'!$E$11+1,1))</f>
        <v>225.2323446080772</v>
      </c>
      <c r="BJ136" s="59">
        <f t="shared" si="146"/>
        <v>222.29030402759292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10.078970776798434</v>
      </c>
      <c r="BQ136" s="21">
        <f>EXP(-LN(2)/25)*BQ135+(1-EXP(-LN(2)/25))/(LN(2)/25)*Calculateur!BL136*Calculateur!BN136*VLOOKUP('Données projet'!$B$11,Paramètres!$A$1:$I$89,3,0)*0.475*44/12</f>
        <v>1.9160423811869642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11.995013157985397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278.5296012747549</v>
      </c>
      <c r="T137" s="59">
        <f t="shared" si="142"/>
        <v>370.55343097937077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47.413453407829749</v>
      </c>
      <c r="AA137" s="21">
        <f>EXP(-LN(2)/25)*AA136+(1-EXP(-LN(2)/25))/(LN(2)/25)*Calculateur!V137*Calculateur!X137*VLOOKUP('Données projet'!$B$9,Paramètres!$A$1:$I$89,3,0)*0.475*44/12</f>
        <v>6.4450397781850546</v>
      </c>
      <c r="AB137" s="21">
        <f>EXP(-LN(2)/2)*AB136+(1-EXP(-LN(2)/2))/(LN(2)/2)*V137*Y137*VLOOKUP('Données projet'!$B$9,Paramètres!$A$1:$I$89,3,0)*0.475*44/12</f>
        <v>4.3938943627805363E-11</v>
      </c>
      <c r="AC137" s="22">
        <f t="shared" si="111"/>
        <v>53.858493186058745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179.44051550872138</v>
      </c>
      <c r="AO137" s="59">
        <f t="shared" si="144"/>
        <v>272.9500808380069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19.24106834186064</v>
      </c>
      <c r="AV137" s="21">
        <f>EXP(-LN(2)/25)*AV136+(1-EXP(-LN(2)/25))/(LN(2)/25)*Calculateur!AQ137*Calculateur!AS137*VLOOKUP('Données projet'!$B$10,Paramètres!$A$1:$I$89,3,0)*0.475*44/12</f>
        <v>18.58493381244379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37.826002154304433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266.99999999999983</v>
      </c>
      <c r="BE137" s="13">
        <f>BD137*VLOOKUP('Données projet'!$B$11,Paramètres!$A$1:$I$89,3,0)*VLOOKUP('Données projet'!$B$11,Paramètres!$A$1:$I$89,5,0)</f>
        <v>212.42519999999985</v>
      </c>
      <c r="BF137" s="13">
        <f t="shared" si="145"/>
        <v>52.465198231787184</v>
      </c>
      <c r="BG137" s="20">
        <f t="shared" si="115"/>
        <v>461.35077692036231</v>
      </c>
      <c r="BH137" s="59">
        <f t="shared" si="116"/>
        <v>754.68411025369562</v>
      </c>
      <c r="BI137" s="59">
        <f ca="1">AVERAGE(OFFSET($BH$3,0,0,'Données projet'!$E$11+1,1))-AVERAGE(OFFSET($H$3,0,0,'Données projet'!$E$11+1,1))</f>
        <v>225.2323446080772</v>
      </c>
      <c r="BJ137" s="59">
        <f t="shared" si="146"/>
        <v>222.29030402759292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9.881328307430568</v>
      </c>
      <c r="BQ137" s="21">
        <f>EXP(-LN(2)/25)*BQ136+(1-EXP(-LN(2)/25))/(LN(2)/25)*Calculateur!BL137*Calculateur!BN137*VLOOKUP('Données projet'!$B$11,Paramètres!$A$1:$I$89,3,0)*0.475*44/12</f>
        <v>1.863648101513117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11.744976408943685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278.5296012747549</v>
      </c>
      <c r="T138" s="59">
        <f t="shared" si="142"/>
        <v>370.55343097937077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46.48370450585324</v>
      </c>
      <c r="AA138" s="21">
        <f>EXP(-LN(2)/25)*AA137+(1-EXP(-LN(2)/25))/(LN(2)/25)*Calculateur!V138*Calculateur!X138*VLOOKUP('Données projet'!$B$9,Paramètres!$A$1:$I$89,3,0)*0.475*44/12</f>
        <v>6.2687998265206728</v>
      </c>
      <c r="AB138" s="21">
        <f>EXP(-LN(2)/2)*AB137+(1-EXP(-LN(2)/2))/(LN(2)/2)*V138*Y138*VLOOKUP('Données projet'!$B$9,Paramètres!$A$1:$I$89,3,0)*0.475*44/12</f>
        <v>3.1069524997394613E-11</v>
      </c>
      <c r="AC138" s="22">
        <f t="shared" si="111"/>
        <v>52.752504332404982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179.44051550872138</v>
      </c>
      <c r="AO138" s="59">
        <f t="shared" si="144"/>
        <v>272.9500808380069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18.863762727569618</v>
      </c>
      <c r="AV138" s="21">
        <f>EXP(-LN(2)/25)*AV137+(1-EXP(-LN(2)/25))/(LN(2)/25)*Calculateur!AQ138*Calculateur!AS138*VLOOKUP('Données projet'!$B$10,Paramètres!$A$1:$I$89,3,0)*0.475*44/12</f>
        <v>18.07672782000332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36.940490547572935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266.99999999999983</v>
      </c>
      <c r="BE138" s="13">
        <f>BD138*VLOOKUP('Données projet'!$B$11,Paramètres!$A$1:$I$89,3,0)*VLOOKUP('Données projet'!$B$11,Paramètres!$A$1:$I$89,5,0)</f>
        <v>212.42519999999985</v>
      </c>
      <c r="BF138" s="13">
        <f t="shared" si="145"/>
        <v>52.465198231787184</v>
      </c>
      <c r="BG138" s="20">
        <f t="shared" si="115"/>
        <v>461.35077692036231</v>
      </c>
      <c r="BH138" s="59">
        <f t="shared" si="116"/>
        <v>754.68411025369562</v>
      </c>
      <c r="BI138" s="59">
        <f ca="1">AVERAGE(OFFSET($BH$3,0,0,'Données projet'!$E$11+1,1))-AVERAGE(OFFSET($H$3,0,0,'Données projet'!$E$11+1,1))</f>
        <v>225.2323446080772</v>
      </c>
      <c r="BJ138" s="59">
        <f t="shared" si="146"/>
        <v>222.29030402759292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9.6875614863370032</v>
      </c>
      <c r="BQ138" s="21">
        <f>EXP(-LN(2)/25)*BQ137+(1-EXP(-LN(2)/25))/(LN(2)/25)*Calculateur!BL138*Calculateur!BN138*VLOOKUP('Données projet'!$B$11,Paramètres!$A$1:$I$89,3,0)*0.475*44/12</f>
        <v>1.8126865461722466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11.50024803250925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278.5296012747549</v>
      </c>
      <c r="T139" s="59">
        <f t="shared" si="142"/>
        <v>370.55343097937077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45.572187412753649</v>
      </c>
      <c r="AA139" s="21">
        <f>EXP(-LN(2)/25)*AA138+(1-EXP(-LN(2)/25))/(LN(2)/25)*Calculateur!V139*Calculateur!X139*VLOOKUP('Données projet'!$B$9,Paramètres!$A$1:$I$89,3,0)*0.475*44/12</f>
        <v>6.09737916560261</v>
      </c>
      <c r="AB139" s="21">
        <f>EXP(-LN(2)/2)*AB138+(1-EXP(-LN(2)/2))/(LN(2)/2)*V139*Y139*VLOOKUP('Données projet'!$B$9,Paramètres!$A$1:$I$89,3,0)*0.475*44/12</f>
        <v>2.1969471813902681E-11</v>
      </c>
      <c r="AC139" s="22">
        <f t="shared" si="111"/>
        <v>51.66956657837823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179.44051550872138</v>
      </c>
      <c r="AO139" s="59">
        <f t="shared" si="144"/>
        <v>272.9500808380069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18.493855846241143</v>
      </c>
      <c r="AV139" s="21">
        <f>EXP(-LN(2)/25)*AV138+(1-EXP(-LN(2)/25))/(LN(2)/25)*Calculateur!AQ139*Calculateur!AS139*VLOOKUP('Données projet'!$B$10,Paramètres!$A$1:$I$89,3,0)*0.475*44/12</f>
        <v>17.582418747151529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36.076274593392668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266.99999999999983</v>
      </c>
      <c r="BE139" s="13">
        <f>BD139*VLOOKUP('Données projet'!$B$11,Paramètres!$A$1:$I$89,3,0)*VLOOKUP('Données projet'!$B$11,Paramètres!$A$1:$I$89,5,0)</f>
        <v>212.42519999999985</v>
      </c>
      <c r="BF139" s="13">
        <f t="shared" si="145"/>
        <v>52.465198231787184</v>
      </c>
      <c r="BG139" s="20">
        <f t="shared" si="115"/>
        <v>461.35077692036231</v>
      </c>
      <c r="BH139" s="59">
        <f t="shared" si="116"/>
        <v>754.68411025369562</v>
      </c>
      <c r="BI139" s="59">
        <f ca="1">AVERAGE(OFFSET($BH$3,0,0,'Données projet'!$E$11+1,1))-AVERAGE(OFFSET($H$3,0,0,'Données projet'!$E$11+1,1))</f>
        <v>225.2323446080772</v>
      </c>
      <c r="BJ139" s="59">
        <f t="shared" si="146"/>
        <v>222.29030402759292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9.4975943144189934</v>
      </c>
      <c r="BQ139" s="21">
        <f>EXP(-LN(2)/25)*BQ138+(1-EXP(-LN(2)/25))/(LN(2)/25)*Calculateur!BL139*Calculateur!BN139*VLOOKUP('Données projet'!$B$11,Paramètres!$A$1:$I$89,3,0)*0.475*44/12</f>
        <v>1.7631185372421239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11.260712851661117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278.5296012747549</v>
      </c>
      <c r="T140" s="59">
        <f t="shared" si="142"/>
        <v>370.55343097937077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44.678544613879218</v>
      </c>
      <c r="AA140" s="21">
        <f>EXP(-LN(2)/25)*AA139+(1-EXP(-LN(2)/25))/(LN(2)/25)*Calculateur!V140*Calculateur!X140*VLOOKUP('Données projet'!$B$9,Paramètres!$A$1:$I$89,3,0)*0.475*44/12</f>
        <v>5.9306460116719721</v>
      </c>
      <c r="AB140" s="21">
        <f>EXP(-LN(2)/2)*AB139+(1-EXP(-LN(2)/2))/(LN(2)/2)*V140*Y140*VLOOKUP('Données projet'!$B$9,Paramètres!$A$1:$I$89,3,0)*0.475*44/12</f>
        <v>1.5534762498697307E-11</v>
      </c>
      <c r="AC140" s="22">
        <f t="shared" si="111"/>
        <v>50.609190625566725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179.44051550872138</v>
      </c>
      <c r="AO140" s="59">
        <f t="shared" si="144"/>
        <v>272.9500808380069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18.131202613234599</v>
      </c>
      <c r="AV140" s="21">
        <f>EXP(-LN(2)/25)*AV139+(1-EXP(-LN(2)/25))/(LN(2)/25)*Calculateur!AQ140*Calculateur!AS140*VLOOKUP('Données projet'!$B$10,Paramètres!$A$1:$I$89,3,0)*0.475*44/12</f>
        <v>17.101626581891452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35.232829195126051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266.99999999999983</v>
      </c>
      <c r="BE140" s="13">
        <f>BD140*VLOOKUP('Données projet'!$B$11,Paramètres!$A$1:$I$89,3,0)*VLOOKUP('Données projet'!$B$11,Paramètres!$A$1:$I$89,5,0)</f>
        <v>212.42519999999985</v>
      </c>
      <c r="BF140" s="13">
        <f t="shared" si="145"/>
        <v>52.465198231787184</v>
      </c>
      <c r="BG140" s="20">
        <f t="shared" si="115"/>
        <v>461.35077692036231</v>
      </c>
      <c r="BH140" s="59">
        <f t="shared" si="116"/>
        <v>754.68411025369562</v>
      </c>
      <c r="BI140" s="59">
        <f ca="1">AVERAGE(OFFSET($BH$3,0,0,'Données projet'!$E$11+1,1))-AVERAGE(OFFSET($H$3,0,0,'Données projet'!$E$11+1,1))</f>
        <v>225.2323446080772</v>
      </c>
      <c r="BJ140" s="59">
        <f t="shared" si="146"/>
        <v>222.29030402759292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9.3113522828737612</v>
      </c>
      <c r="BQ140" s="21">
        <f>EXP(-LN(2)/25)*BQ139+(1-EXP(-LN(2)/25))/(LN(2)/25)*Calculateur!BL140*Calculateur!BN140*VLOOKUP('Données projet'!$B$11,Paramètres!$A$1:$I$89,3,0)*0.475*44/12</f>
        <v>1.7149059681228638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11.026258250996625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278.5296012747549</v>
      </c>
      <c r="T141" s="59">
        <f t="shared" si="142"/>
        <v>370.55343097937077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43.802425605222425</v>
      </c>
      <c r="AA141" s="21">
        <f>EXP(-LN(2)/25)*AA140+(1-EXP(-LN(2)/25))/(LN(2)/25)*Calculateur!V141*Calculateur!X141*VLOOKUP('Données projet'!$B$9,Paramètres!$A$1:$I$89,3,0)*0.475*44/12</f>
        <v>5.7684721846036826</v>
      </c>
      <c r="AB141" s="21">
        <f>EXP(-LN(2)/2)*AB140+(1-EXP(-LN(2)/2))/(LN(2)/2)*V141*Y141*VLOOKUP('Données projet'!$B$9,Paramètres!$A$1:$I$89,3,0)*0.475*44/12</f>
        <v>1.0984735906951341E-11</v>
      </c>
      <c r="AC141" s="22">
        <f t="shared" si="111"/>
        <v>49.57089778983709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179.44051550872138</v>
      </c>
      <c r="AO141" s="59">
        <f t="shared" si="144"/>
        <v>272.9500808380069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17.775660788930683</v>
      </c>
      <c r="AV141" s="21">
        <f>EXP(-LN(2)/25)*AV140+(1-EXP(-LN(2)/25))/(LN(2)/25)*Calculateur!AQ141*Calculateur!AS141*VLOOKUP('Données projet'!$B$10,Paramètres!$A$1:$I$89,3,0)*0.475*44/12</f>
        <v>16.633981703674174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34.40964249260486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266.99999999999983</v>
      </c>
      <c r="BE141" s="13">
        <f>BD141*VLOOKUP('Données projet'!$B$11,Paramètres!$A$1:$I$89,3,0)*VLOOKUP('Données projet'!$B$11,Paramètres!$A$1:$I$89,5,0)</f>
        <v>212.42519999999985</v>
      </c>
      <c r="BF141" s="13">
        <f t="shared" si="145"/>
        <v>52.465198231787184</v>
      </c>
      <c r="BG141" s="20">
        <f t="shared" si="115"/>
        <v>461.35077692036231</v>
      </c>
      <c r="BH141" s="59">
        <f t="shared" si="116"/>
        <v>754.68411025369562</v>
      </c>
      <c r="BI141" s="59">
        <f ca="1">AVERAGE(OFFSET($BH$3,0,0,'Données projet'!$E$11+1,1))-AVERAGE(OFFSET($H$3,0,0,'Données projet'!$E$11+1,1))</f>
        <v>225.2323446080772</v>
      </c>
      <c r="BJ141" s="59">
        <f t="shared" si="146"/>
        <v>222.29030402759292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9.128762343970708</v>
      </c>
      <c r="BQ141" s="21">
        <f>EXP(-LN(2)/25)*BQ140+(1-EXP(-LN(2)/25))/(LN(2)/25)*Calculateur!BL141*Calculateur!BN141*VLOOKUP('Données projet'!$B$11,Paramètres!$A$1:$I$89,3,0)*0.475*44/12</f>
        <v>1.6680117742415588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10.796774118212266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278.5296012747549</v>
      </c>
      <c r="T142" s="59">
        <f t="shared" si="142"/>
        <v>370.55343097937077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42.943486755945564</v>
      </c>
      <c r="AA142" s="21">
        <f>EXP(-LN(2)/25)*AA141+(1-EXP(-LN(2)/25))/(LN(2)/25)*Calculateur!V142*Calculateur!X142*VLOOKUP('Données projet'!$B$9,Paramètres!$A$1:$I$89,3,0)*0.475*44/12</f>
        <v>5.6107330093649264</v>
      </c>
      <c r="AB142" s="21">
        <f>EXP(-LN(2)/2)*AB141+(1-EXP(-LN(2)/2))/(LN(2)/2)*V142*Y142*VLOOKUP('Données projet'!$B$9,Paramètres!$A$1:$I$89,3,0)*0.475*44/12</f>
        <v>7.7673812493486533E-12</v>
      </c>
      <c r="AC142" s="22">
        <f t="shared" si="111"/>
        <v>48.554219765318258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179.44051550872138</v>
      </c>
      <c r="AO142" s="59">
        <f t="shared" si="144"/>
        <v>272.9500808380069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17.427090922942266</v>
      </c>
      <c r="AV142" s="21">
        <f>EXP(-LN(2)/25)*AV141+(1-EXP(-LN(2)/25))/(LN(2)/25)*Calculateur!AQ142*Calculateur!AS142*VLOOKUP('Données projet'!$B$10,Paramètres!$A$1:$I$89,3,0)*0.475*44/12</f>
        <v>16.179124599244123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33.606215522186389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266.99999999999983</v>
      </c>
      <c r="BE142" s="13">
        <f>BD142*VLOOKUP('Données projet'!$B$11,Paramètres!$A$1:$I$89,3,0)*VLOOKUP('Données projet'!$B$11,Paramètres!$A$1:$I$89,5,0)</f>
        <v>212.42519999999985</v>
      </c>
      <c r="BF142" s="13">
        <f t="shared" si="145"/>
        <v>52.465198231787184</v>
      </c>
      <c r="BG142" s="20">
        <f t="shared" si="115"/>
        <v>461.35077692036231</v>
      </c>
      <c r="BH142" s="59">
        <f t="shared" si="116"/>
        <v>754.68411025369562</v>
      </c>
      <c r="BI142" s="59">
        <f ca="1">AVERAGE(OFFSET($BH$3,0,0,'Données projet'!$E$11+1,1))-AVERAGE(OFFSET($H$3,0,0,'Données projet'!$E$11+1,1))</f>
        <v>225.2323446080772</v>
      </c>
      <c r="BJ142" s="59">
        <f t="shared" si="146"/>
        <v>222.29030402759292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8.9497528824006789</v>
      </c>
      <c r="BQ142" s="21">
        <f>EXP(-LN(2)/25)*BQ141+(1-EXP(-LN(2)/25))/(LN(2)/25)*Calculateur!BL142*Calculateur!BN142*VLOOKUP('Données projet'!$B$11,Paramètres!$A$1:$I$89,3,0)*0.475*44/12</f>
        <v>1.6223999045579964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10.572152786958675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278.5296012747549</v>
      </c>
      <c r="T143" s="59">
        <f t="shared" si="142"/>
        <v>370.55343097937077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42.101391173602053</v>
      </c>
      <c r="AA143" s="21">
        <f>EXP(-LN(2)/25)*AA142+(1-EXP(-LN(2)/25))/(LN(2)/25)*Calculateur!V143*Calculateur!X143*VLOOKUP('Données projet'!$B$9,Paramètres!$A$1:$I$89,3,0)*0.475*44/12</f>
        <v>5.4573072201682171</v>
      </c>
      <c r="AB143" s="21">
        <f>EXP(-LN(2)/2)*AB142+(1-EXP(-LN(2)/2))/(LN(2)/2)*V143*Y143*VLOOKUP('Données projet'!$B$9,Paramètres!$A$1:$I$89,3,0)*0.475*44/12</f>
        <v>5.4923679534756703E-12</v>
      </c>
      <c r="AC143" s="22">
        <f t="shared" si="111"/>
        <v>47.558698393775764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179.44051550872138</v>
      </c>
      <c r="AO143" s="59">
        <f t="shared" si="144"/>
        <v>272.9500808380069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17.085356299419256</v>
      </c>
      <c r="AV143" s="21">
        <f>EXP(-LN(2)/25)*AV142+(1-EXP(-LN(2)/25))/(LN(2)/25)*Calculateur!AQ143*Calculateur!AS143*VLOOKUP('Données projet'!$B$10,Paramètres!$A$1:$I$89,3,0)*0.475*44/12</f>
        <v>15.736705586254608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32.822061885673861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266.99999999999983</v>
      </c>
      <c r="BE143" s="13">
        <f>BD143*VLOOKUP('Données projet'!$B$11,Paramètres!$A$1:$I$89,3,0)*VLOOKUP('Données projet'!$B$11,Paramètres!$A$1:$I$89,5,0)</f>
        <v>212.42519999999985</v>
      </c>
      <c r="BF143" s="13">
        <f t="shared" si="145"/>
        <v>52.465198231787184</v>
      </c>
      <c r="BG143" s="20">
        <f t="shared" si="115"/>
        <v>461.35077692036231</v>
      </c>
      <c r="BH143" s="59">
        <f t="shared" si="116"/>
        <v>754.68411025369562</v>
      </c>
      <c r="BI143" s="59">
        <f ca="1">AVERAGE(OFFSET($BH$3,0,0,'Données projet'!$E$11+1,1))-AVERAGE(OFFSET($H$3,0,0,'Données projet'!$E$11+1,1))</f>
        <v>225.2323446080772</v>
      </c>
      <c r="BJ143" s="59">
        <f t="shared" si="146"/>
        <v>222.29030402759292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8.7742536871870467</v>
      </c>
      <c r="BQ143" s="21">
        <f>EXP(-LN(2)/25)*BQ142+(1-EXP(-LN(2)/25))/(LN(2)/25)*Calculateur!BL143*Calculateur!BN143*VLOOKUP('Données projet'!$B$11,Paramètres!$A$1:$I$89,3,0)*0.475*44/12</f>
        <v>1.578035293849555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10.352288981036601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278.5296012747549</v>
      </c>
      <c r="T144" s="59">
        <f t="shared" si="142"/>
        <v>370.55343097937077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41.275808572000713</v>
      </c>
      <c r="AA144" s="21">
        <f>EXP(-LN(2)/25)*AA143+(1-EXP(-LN(2)/25))/(LN(2)/25)*Calculateur!V144*Calculateur!X144*VLOOKUP('Données projet'!$B$9,Paramètres!$A$1:$I$89,3,0)*0.475*44/12</f>
        <v>5.3080768672454033</v>
      </c>
      <c r="AB144" s="21">
        <f>EXP(-LN(2)/2)*AB143+(1-EXP(-LN(2)/2))/(LN(2)/2)*V144*Y144*VLOOKUP('Données projet'!$B$9,Paramètres!$A$1:$I$89,3,0)*0.475*44/12</f>
        <v>3.8836906246743267E-12</v>
      </c>
      <c r="AC144" s="22">
        <f t="shared" si="111"/>
        <v>46.583885439250004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179.44051550872138</v>
      </c>
      <c r="AO144" s="59">
        <f t="shared" si="144"/>
        <v>272.9500808380069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16.750322883425994</v>
      </c>
      <c r="AV144" s="21">
        <f>EXP(-LN(2)/25)*AV143+(1-EXP(-LN(2)/25))/(LN(2)/25)*Calculateur!AQ144*Calculateur!AS144*VLOOKUP('Données projet'!$B$10,Paramètres!$A$1:$I$89,3,0)*0.475*44/12</f>
        <v>15.306384544441096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32.056707427867089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266.99999999999983</v>
      </c>
      <c r="BE144" s="13">
        <f>BD144*VLOOKUP('Données projet'!$B$11,Paramètres!$A$1:$I$89,3,0)*VLOOKUP('Données projet'!$B$11,Paramètres!$A$1:$I$89,5,0)</f>
        <v>212.42519999999985</v>
      </c>
      <c r="BF144" s="13">
        <f t="shared" si="145"/>
        <v>52.465198231787184</v>
      </c>
      <c r="BG144" s="20">
        <f t="shared" si="115"/>
        <v>461.35077692036231</v>
      </c>
      <c r="BH144" s="59">
        <f t="shared" si="116"/>
        <v>754.68411025369562</v>
      </c>
      <c r="BI144" s="59">
        <f ca="1">AVERAGE(OFFSET($BH$3,0,0,'Données projet'!$E$11+1,1))-AVERAGE(OFFSET($H$3,0,0,'Données projet'!$E$11+1,1))</f>
        <v>225.2323446080772</v>
      </c>
      <c r="BJ144" s="59">
        <f t="shared" si="146"/>
        <v>222.29030402759292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8.6021959241476154</v>
      </c>
      <c r="BQ144" s="21">
        <f>EXP(-LN(2)/25)*BQ143+(1-EXP(-LN(2)/25))/(LN(2)/25)*Calculateur!BL144*Calculateur!BN144*VLOOKUP('Données projet'!$B$11,Paramètres!$A$1:$I$89,3,0)*0.475*44/12</f>
        <v>1.5348838357539694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10.137079759901585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278.5296012747549</v>
      </c>
      <c r="T145" s="59">
        <f t="shared" si="142"/>
        <v>370.55343097937077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40.466415141661109</v>
      </c>
      <c r="AA145" s="21">
        <f>EXP(-LN(2)/25)*AA144+(1-EXP(-LN(2)/25))/(LN(2)/25)*Calculateur!V145*Calculateur!X145*VLOOKUP('Données projet'!$B$9,Paramètres!$A$1:$I$89,3,0)*0.475*44/12</f>
        <v>5.1629272261709467</v>
      </c>
      <c r="AB145" s="21">
        <f>EXP(-LN(2)/2)*AB144+(1-EXP(-LN(2)/2))/(LN(2)/2)*V145*Y145*VLOOKUP('Données projet'!$B$9,Paramètres!$A$1:$I$89,3,0)*0.475*44/12</f>
        <v>2.7461839767378352E-12</v>
      </c>
      <c r="AC145" s="22">
        <f t="shared" si="111"/>
        <v>45.629342367834795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179.44051550872138</v>
      </c>
      <c r="AO145" s="59">
        <f t="shared" si="144"/>
        <v>272.9500808380069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16.421859268370156</v>
      </c>
      <c r="AV145" s="21">
        <f>EXP(-LN(2)/25)*AV144+(1-EXP(-LN(2)/25))/(LN(2)/25)*Calculateur!AQ145*Calculateur!AS145*VLOOKUP('Données projet'!$B$10,Paramètres!$A$1:$I$89,3,0)*0.475*44/12</f>
        <v>14.887830654145574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31.30968992251573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266.99999999999983</v>
      </c>
      <c r="BE145" s="13">
        <f>BD145*VLOOKUP('Données projet'!$B$11,Paramètres!$A$1:$I$89,3,0)*VLOOKUP('Données projet'!$B$11,Paramètres!$A$1:$I$89,5,0)</f>
        <v>212.42519999999985</v>
      </c>
      <c r="BF145" s="13">
        <f t="shared" si="145"/>
        <v>52.465198231787184</v>
      </c>
      <c r="BG145" s="20">
        <f t="shared" si="115"/>
        <v>461.35077692036231</v>
      </c>
      <c r="BH145" s="59">
        <f t="shared" si="116"/>
        <v>754.68411025369562</v>
      </c>
      <c r="BI145" s="59">
        <f ca="1">AVERAGE(OFFSET($BH$3,0,0,'Données projet'!$E$11+1,1))-AVERAGE(OFFSET($H$3,0,0,'Données projet'!$E$11+1,1))</f>
        <v>225.2323446080772</v>
      </c>
      <c r="BJ145" s="59">
        <f t="shared" si="146"/>
        <v>222.29030402759292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8.4335121088965135</v>
      </c>
      <c r="BQ145" s="21">
        <f>EXP(-LN(2)/25)*BQ144+(1-EXP(-LN(2)/25))/(LN(2)/25)*Calculateur!BL145*Calculateur!BN145*VLOOKUP('Données projet'!$B$11,Paramètres!$A$1:$I$89,3,0)*0.475*44/12</f>
        <v>1.4929123565492441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9.9264244654457574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278.5296012747549</v>
      </c>
      <c r="T146" s="59">
        <f t="shared" si="142"/>
        <v>370.55343097937077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39.672893422809217</v>
      </c>
      <c r="AA146" s="21">
        <f>EXP(-LN(2)/25)*AA145+(1-EXP(-LN(2)/25))/(LN(2)/25)*Calculateur!V146*Calculateur!X146*VLOOKUP('Données projet'!$B$9,Paramètres!$A$1:$I$89,3,0)*0.475*44/12</f>
        <v>5.0217467096647592</v>
      </c>
      <c r="AB146" s="21">
        <f>EXP(-LN(2)/2)*AB145+(1-EXP(-LN(2)/2))/(LN(2)/2)*V146*Y146*VLOOKUP('Données projet'!$B$9,Paramètres!$A$1:$I$89,3,0)*0.475*44/12</f>
        <v>1.9418453123371633E-12</v>
      </c>
      <c r="AC146" s="22">
        <f t="shared" si="111"/>
        <v>44.694640132475918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179.44051550872138</v>
      </c>
      <c r="AO146" s="59">
        <f t="shared" si="144"/>
        <v>272.9500808380069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16.09983662446254</v>
      </c>
      <c r="AV146" s="21">
        <f>EXP(-LN(2)/25)*AV145+(1-EXP(-LN(2)/25))/(LN(2)/25)*Calculateur!AQ146*Calculateur!AS146*VLOOKUP('Données projet'!$B$10,Paramètres!$A$1:$I$89,3,0)*0.475*44/12</f>
        <v>14.480722141990976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30.580558766453514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266.99999999999983</v>
      </c>
      <c r="BE146" s="13">
        <f>BD146*VLOOKUP('Données projet'!$B$11,Paramètres!$A$1:$I$89,3,0)*VLOOKUP('Données projet'!$B$11,Paramètres!$A$1:$I$89,5,0)</f>
        <v>212.42519999999985</v>
      </c>
      <c r="BF146" s="13">
        <f t="shared" si="145"/>
        <v>52.465198231787184</v>
      </c>
      <c r="BG146" s="20">
        <f t="shared" si="115"/>
        <v>461.35077692036231</v>
      </c>
      <c r="BH146" s="59">
        <f t="shared" si="116"/>
        <v>754.68411025369562</v>
      </c>
      <c r="BI146" s="59">
        <f ca="1">AVERAGE(OFFSET($BH$3,0,0,'Données projet'!$E$11+1,1))-AVERAGE(OFFSET($H$3,0,0,'Données projet'!$E$11+1,1))</f>
        <v>225.2323446080772</v>
      </c>
      <c r="BJ146" s="59">
        <f t="shared" si="146"/>
        <v>222.29030402759292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8.2681360803755179</v>
      </c>
      <c r="BQ146" s="21">
        <f>EXP(-LN(2)/25)*BQ145+(1-EXP(-LN(2)/25))/(LN(2)/25)*Calculateur!BL146*Calculateur!BN146*VLOOKUP('Données projet'!$B$11,Paramètres!$A$1:$I$89,3,0)*0.475*44/12</f>
        <v>1.4520885896505564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9.7202246700260737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278.5296012747549</v>
      </c>
      <c r="T147" s="59">
        <f t="shared" si="142"/>
        <v>370.55343097937077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38.894932180863556</v>
      </c>
      <c r="AA147" s="21">
        <f>EXP(-LN(2)/25)*AA146+(1-EXP(-LN(2)/25))/(LN(2)/25)*Calculateur!V147*Calculateur!X147*VLOOKUP('Données projet'!$B$9,Paramètres!$A$1:$I$89,3,0)*0.475*44/12</f>
        <v>4.8844267818067939</v>
      </c>
      <c r="AB147" s="21">
        <f>EXP(-LN(2)/2)*AB146+(1-EXP(-LN(2)/2))/(LN(2)/2)*V147*Y147*VLOOKUP('Données projet'!$B$9,Paramètres!$A$1:$I$89,3,0)*0.475*44/12</f>
        <v>1.3730919883689176E-12</v>
      </c>
      <c r="AC147" s="22">
        <f t="shared" si="111"/>
        <v>43.779358962671722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179.44051550872138</v>
      </c>
      <c r="AO147" s="59">
        <f t="shared" si="144"/>
        <v>272.9500808380069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15.784128648187533</v>
      </c>
      <c r="AV147" s="21">
        <f>EXP(-LN(2)/25)*AV146+(1-EXP(-LN(2)/25))/(LN(2)/25)*Calculateur!AQ147*Calculateur!AS147*VLOOKUP('Données projet'!$B$10,Paramètres!$A$1:$I$89,3,0)*0.475*44/12</f>
        <v>14.08474603351015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29.868874681697683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266.99999999999983</v>
      </c>
      <c r="BE147" s="13">
        <f>BD147*VLOOKUP('Données projet'!$B$11,Paramètres!$A$1:$I$89,3,0)*VLOOKUP('Données projet'!$B$11,Paramètres!$A$1:$I$89,5,0)</f>
        <v>212.42519999999985</v>
      </c>
      <c r="BF147" s="13">
        <f t="shared" si="145"/>
        <v>52.465198231787184</v>
      </c>
      <c r="BG147" s="20">
        <f t="shared" si="115"/>
        <v>461.35077692036231</v>
      </c>
      <c r="BH147" s="59">
        <f t="shared" si="116"/>
        <v>754.68411025369562</v>
      </c>
      <c r="BI147" s="59">
        <f ca="1">AVERAGE(OFFSET($BH$3,0,0,'Données projet'!$E$11+1,1))-AVERAGE(OFFSET($H$3,0,0,'Données projet'!$E$11+1,1))</f>
        <v>225.2323446080772</v>
      </c>
      <c r="BJ147" s="59">
        <f t="shared" si="146"/>
        <v>222.29030402759292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8.1060029749044009</v>
      </c>
      <c r="BQ147" s="21">
        <f>EXP(-LN(2)/25)*BQ146+(1-EXP(-LN(2)/25))/(LN(2)/25)*Calculateur!BL147*Calculateur!BN147*VLOOKUP('Données projet'!$B$11,Paramètres!$A$1:$I$89,3,0)*0.475*44/12</f>
        <v>1.4123811508045419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9.518384125708943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278.5296012747549</v>
      </c>
      <c r="T148" s="59">
        <f t="shared" si="142"/>
        <v>370.55343097937077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38.132226284362943</v>
      </c>
      <c r="AA148" s="21">
        <f>EXP(-LN(2)/25)*AA147+(1-EXP(-LN(2)/25))/(LN(2)/25)*Calculateur!V148*Calculateur!X148*VLOOKUP('Données projet'!$B$9,Paramètres!$A$1:$I$89,3,0)*0.475*44/12</f>
        <v>4.7508618745974465</v>
      </c>
      <c r="AB148" s="21">
        <f>EXP(-LN(2)/2)*AB147+(1-EXP(-LN(2)/2))/(LN(2)/2)*V148*Y148*VLOOKUP('Données projet'!$B$9,Paramètres!$A$1:$I$89,3,0)*0.475*44/12</f>
        <v>9.7092265616858166E-13</v>
      </c>
      <c r="AC148" s="22">
        <f t="shared" si="111"/>
        <v>42.883088158961364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179.44051550872138</v>
      </c>
      <c r="AO148" s="59">
        <f t="shared" si="144"/>
        <v>272.9500808380069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15.474611512764428</v>
      </c>
      <c r="AV148" s="21">
        <f>EXP(-LN(2)/25)*AV147+(1-EXP(-LN(2)/25))/(LN(2)/25)*Calculateur!AQ148*Calculateur!AS148*VLOOKUP('Données projet'!$B$10,Paramètres!$A$1:$I$89,3,0)*0.475*44/12</f>
        <v>13.699597912539213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29.174209425303641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266.99999999999983</v>
      </c>
      <c r="BE148" s="13">
        <f>BD148*VLOOKUP('Données projet'!$B$11,Paramètres!$A$1:$I$89,3,0)*VLOOKUP('Données projet'!$B$11,Paramètres!$A$1:$I$89,5,0)</f>
        <v>212.42519999999985</v>
      </c>
      <c r="BF148" s="13">
        <f t="shared" si="145"/>
        <v>52.465198231787184</v>
      </c>
      <c r="BG148" s="20">
        <f t="shared" si="115"/>
        <v>461.35077692036231</v>
      </c>
      <c r="BH148" s="59">
        <f t="shared" si="116"/>
        <v>754.68411025369562</v>
      </c>
      <c r="BI148" s="59">
        <f ca="1">AVERAGE(OFFSET($BH$3,0,0,'Données projet'!$E$11+1,1))-AVERAGE(OFFSET($H$3,0,0,'Données projet'!$E$11+1,1))</f>
        <v>225.2323446080772</v>
      </c>
      <c r="BJ148" s="59">
        <f t="shared" si="146"/>
        <v>222.29030402759292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7.9470492007401434</v>
      </c>
      <c r="BQ148" s="21">
        <f>EXP(-LN(2)/25)*BQ147+(1-EXP(-LN(2)/25))/(LN(2)/25)*Calculateur!BL148*Calculateur!BN148*VLOOKUP('Données projet'!$B$11,Paramètres!$A$1:$I$89,3,0)*0.475*44/12</f>
        <v>1.373759513961895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9.3208087147020393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278.5296012747549</v>
      </c>
      <c r="T149" s="59">
        <f t="shared" si="142"/>
        <v>370.55343097937077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37.384476585288049</v>
      </c>
      <c r="AA149" s="21">
        <f>EXP(-LN(2)/25)*AA148+(1-EXP(-LN(2)/25))/(LN(2)/25)*Calculateur!V149*Calculateur!X149*VLOOKUP('Données projet'!$B$9,Paramètres!$A$1:$I$89,3,0)*0.475*44/12</f>
        <v>4.6209493067996119</v>
      </c>
      <c r="AB149" s="21">
        <f>EXP(-LN(2)/2)*AB148+(1-EXP(-LN(2)/2))/(LN(2)/2)*V149*Y149*VLOOKUP('Données projet'!$B$9,Paramètres!$A$1:$I$89,3,0)*0.475*44/12</f>
        <v>6.8654599418445879E-13</v>
      </c>
      <c r="AC149" s="22">
        <f t="shared" si="111"/>
        <v>42.005425892088347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179.44051550872138</v>
      </c>
      <c r="AO149" s="59">
        <f t="shared" si="144"/>
        <v>272.9500808380069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15.171163819580158</v>
      </c>
      <c r="AV149" s="21">
        <f>EXP(-LN(2)/25)*AV148+(1-EXP(-LN(2)/25))/(LN(2)/25)*Calculateur!AQ149*Calculateur!AS149*VLOOKUP('Données projet'!$B$10,Paramètres!$A$1:$I$89,3,0)*0.475*44/12</f>
        <v>13.324981687190284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28.496145506770443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266.99999999999983</v>
      </c>
      <c r="BE149" s="13">
        <f>BD149*VLOOKUP('Données projet'!$B$11,Paramètres!$A$1:$I$89,3,0)*VLOOKUP('Données projet'!$B$11,Paramètres!$A$1:$I$89,5,0)</f>
        <v>212.42519999999985</v>
      </c>
      <c r="BF149" s="13">
        <f t="shared" si="145"/>
        <v>52.465198231787184</v>
      </c>
      <c r="BG149" s="20">
        <f t="shared" si="115"/>
        <v>461.35077692036231</v>
      </c>
      <c r="BH149" s="59">
        <f t="shared" si="116"/>
        <v>754.68411025369562</v>
      </c>
      <c r="BI149" s="59">
        <f ca="1">AVERAGE(OFFSET($BH$3,0,0,'Données projet'!$E$11+1,1))-AVERAGE(OFFSET($H$3,0,0,'Données projet'!$E$11+1,1))</f>
        <v>225.2323446080772</v>
      </c>
      <c r="BJ149" s="59">
        <f t="shared" si="146"/>
        <v>222.29030402759292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7.7912124131350184</v>
      </c>
      <c r="BQ149" s="21">
        <f>EXP(-LN(2)/25)*BQ148+(1-EXP(-LN(2)/25))/(LN(2)/25)*Calculateur!BL149*Calculateur!BN149*VLOOKUP('Données projet'!$B$11,Paramètres!$A$1:$I$89,3,0)*0.475*44/12</f>
        <v>1.336193987809734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9.1274064009447518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278.5296012747549</v>
      </c>
      <c r="T150" s="59">
        <f t="shared" si="142"/>
        <v>370.55343097937077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36.651389801729728</v>
      </c>
      <c r="AA150" s="21">
        <f>EXP(-LN(2)/25)*AA149+(1-EXP(-LN(2)/25))/(LN(2)/25)*Calculateur!V150*Calculateur!X150*VLOOKUP('Données projet'!$B$9,Paramètres!$A$1:$I$89,3,0)*0.475*44/12</f>
        <v>4.4945892050000138</v>
      </c>
      <c r="AB150" s="21">
        <f>EXP(-LN(2)/2)*AB149+(1-EXP(-LN(2)/2))/(LN(2)/2)*V150*Y150*VLOOKUP('Données projet'!$B$9,Paramètres!$A$1:$I$89,3,0)*0.475*44/12</f>
        <v>4.8546132808429083E-13</v>
      </c>
      <c r="AC150" s="22">
        <f t="shared" si="111"/>
        <v>41.145979006730222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179.44051550872138</v>
      </c>
      <c r="AO150" s="59">
        <f t="shared" si="144"/>
        <v>272.9500808380069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14.873666550574415</v>
      </c>
      <c r="AV150" s="21">
        <f>EXP(-LN(2)/25)*AV149+(1-EXP(-LN(2)/25))/(LN(2)/25)*Calculateur!AQ150*Calculateur!AS150*VLOOKUP('Données projet'!$B$10,Paramètres!$A$1:$I$89,3,0)*0.475*44/12</f>
        <v>12.960609362223733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27.834275912798148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266.99999999999983</v>
      </c>
      <c r="BE150" s="13">
        <f>BD150*VLOOKUP('Données projet'!$B$11,Paramètres!$A$1:$I$89,3,0)*VLOOKUP('Données projet'!$B$11,Paramètres!$A$1:$I$89,5,0)</f>
        <v>212.42519999999985</v>
      </c>
      <c r="BF150" s="13">
        <f t="shared" si="145"/>
        <v>52.465198231787184</v>
      </c>
      <c r="BG150" s="20">
        <f t="shared" si="115"/>
        <v>461.35077692036231</v>
      </c>
      <c r="BH150" s="59">
        <f t="shared" si="116"/>
        <v>754.68411025369562</v>
      </c>
      <c r="BI150" s="59">
        <f ca="1">AVERAGE(OFFSET($BH$3,0,0,'Données projet'!$E$11+1,1))-AVERAGE(OFFSET($H$3,0,0,'Données projet'!$E$11+1,1))</f>
        <v>225.2323446080772</v>
      </c>
      <c r="BJ150" s="59">
        <f t="shared" si="146"/>
        <v>222.29030402759292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7.6384314898837751</v>
      </c>
      <c r="BQ150" s="21">
        <f>EXP(-LN(2)/25)*BQ149+(1-EXP(-LN(2)/25))/(LN(2)/25)*Calculateur!BL150*Calculateur!BN150*VLOOKUP('Données projet'!$B$11,Paramètres!$A$1:$I$89,3,0)*0.475*44/12</f>
        <v>1.2996556929456888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8.938087182829463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278.5296012747549</v>
      </c>
      <c r="T151" s="59">
        <f t="shared" si="142"/>
        <v>370.55343097937077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35.932678402858201</v>
      </c>
      <c r="AA151" s="21">
        <f>EXP(-LN(2)/25)*AA150+(1-EXP(-LN(2)/25))/(LN(2)/25)*Calculateur!V151*Calculateur!X151*VLOOKUP('Données projet'!$B$9,Paramètres!$A$1:$I$89,3,0)*0.475*44/12</f>
        <v>4.3716844268291144</v>
      </c>
      <c r="AB151" s="21">
        <f>EXP(-LN(2)/2)*AB150+(1-EXP(-LN(2)/2))/(LN(2)/2)*V151*Y151*VLOOKUP('Données projet'!$B$9,Paramètres!$A$1:$I$89,3,0)*0.475*44/12</f>
        <v>3.432729970922294E-13</v>
      </c>
      <c r="AC151" s="22">
        <f t="shared" si="111"/>
        <v>40.304362829687655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179.44051550872138</v>
      </c>
      <c r="AO151" s="59">
        <f t="shared" si="144"/>
        <v>272.9500808380069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14.582003021558457</v>
      </c>
      <c r="AV151" s="21">
        <f>EXP(-LN(2)/25)*AV150+(1-EXP(-LN(2)/25))/(LN(2)/25)*Calculateur!AQ151*Calculateur!AS151*VLOOKUP('Données projet'!$B$10,Paramètres!$A$1:$I$89,3,0)*0.475*44/12</f>
        <v>12.606200817644901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27.188203839203357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266.99999999999983</v>
      </c>
      <c r="BE151" s="13">
        <f>BD151*VLOOKUP('Données projet'!$B$11,Paramètres!$A$1:$I$89,3,0)*VLOOKUP('Données projet'!$B$11,Paramètres!$A$1:$I$89,5,0)</f>
        <v>212.42519999999985</v>
      </c>
      <c r="BF151" s="13">
        <f t="shared" si="145"/>
        <v>52.465198231787184</v>
      </c>
      <c r="BG151" s="20">
        <f t="shared" si="115"/>
        <v>461.35077692036231</v>
      </c>
      <c r="BH151" s="59">
        <f t="shared" si="116"/>
        <v>754.68411025369562</v>
      </c>
      <c r="BI151" s="59">
        <f ca="1">AVERAGE(OFFSET($BH$3,0,0,'Données projet'!$E$11+1,1))-AVERAGE(OFFSET($H$3,0,0,'Données projet'!$E$11+1,1))</f>
        <v>225.2323446080772</v>
      </c>
      <c r="BJ151" s="59">
        <f t="shared" si="146"/>
        <v>222.29030402759292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7.4886465073503263</v>
      </c>
      <c r="BQ151" s="21">
        <f>EXP(-LN(2)/25)*BQ150+(1-EXP(-LN(2)/25))/(LN(2)/25)*Calculateur!BL151*Calculateur!BN151*VLOOKUP('Données projet'!$B$11,Paramètres!$A$1:$I$89,3,0)*0.475*44/12</f>
        <v>1.2641165396761664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8.7527630470264928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278.5296012747549</v>
      </c>
      <c r="T152" s="59">
        <f t="shared" si="142"/>
        <v>370.55343097937077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35.228060496147876</v>
      </c>
      <c r="AA152" s="21">
        <f>EXP(-LN(2)/25)*AA151+(1-EXP(-LN(2)/25))/(LN(2)/25)*Calculateur!V152*Calculateur!X152*VLOOKUP('Données projet'!$B$9,Paramètres!$A$1:$I$89,3,0)*0.475*44/12</f>
        <v>4.2521404862805801</v>
      </c>
      <c r="AB152" s="21">
        <f>EXP(-LN(2)/2)*AB151+(1-EXP(-LN(2)/2))/(LN(2)/2)*V152*Y152*VLOOKUP('Données projet'!$B$9,Paramètres!$A$1:$I$89,3,0)*0.475*44/12</f>
        <v>2.4273066404214542E-13</v>
      </c>
      <c r="AC152" s="22">
        <f t="shared" si="111"/>
        <v>39.480200982428698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179.44051550872138</v>
      </c>
      <c r="AO152" s="59">
        <f t="shared" si="144"/>
        <v>272.9500808380069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14.296058836449316</v>
      </c>
      <c r="AV152" s="21">
        <f>EXP(-LN(2)/25)*AV151+(1-EXP(-LN(2)/25))/(LN(2)/25)*Calculateur!AQ152*Calculateur!AS152*VLOOKUP('Données projet'!$B$10,Paramètres!$A$1:$I$89,3,0)*0.475*44/12</f>
        <v>12.261483593355111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26.557542429804428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266.99999999999983</v>
      </c>
      <c r="BE152" s="13">
        <f>BD152*VLOOKUP('Données projet'!$B$11,Paramètres!$A$1:$I$89,3,0)*VLOOKUP('Données projet'!$B$11,Paramètres!$A$1:$I$89,5,0)</f>
        <v>212.42519999999985</v>
      </c>
      <c r="BF152" s="13">
        <f t="shared" si="145"/>
        <v>52.465198231787184</v>
      </c>
      <c r="BG152" s="20">
        <f t="shared" si="115"/>
        <v>461.35077692036231</v>
      </c>
      <c r="BH152" s="59">
        <f t="shared" si="116"/>
        <v>754.68411025369562</v>
      </c>
      <c r="BI152" s="59">
        <f ca="1">AVERAGE(OFFSET($BH$3,0,0,'Données projet'!$E$11+1,1))-AVERAGE(OFFSET($H$3,0,0,'Données projet'!$E$11+1,1))</f>
        <v>225.2323446080772</v>
      </c>
      <c r="BJ152" s="59">
        <f t="shared" si="146"/>
        <v>222.29030402759292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7.3417987169645409</v>
      </c>
      <c r="BQ152" s="21">
        <f>EXP(-LN(2)/25)*BQ151+(1-EXP(-LN(2)/25))/(LN(2)/25)*Calculateur!BL152*Calculateur!BN152*VLOOKUP('Données projet'!$B$11,Paramètres!$A$1:$I$89,3,0)*0.475*44/12</f>
        <v>1.2295492064217219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8.5713479233862628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278.5296012747549</v>
      </c>
      <c r="T153" s="59">
        <f t="shared" si="142"/>
        <v>370.55343097937077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34.537259716813651</v>
      </c>
      <c r="AA153" s="21">
        <f>EXP(-LN(2)/25)*AA152+(1-EXP(-LN(2)/25))/(LN(2)/25)*Calculateur!V153*Calculateur!X153*VLOOKUP('Données projet'!$B$9,Paramètres!$A$1:$I$89,3,0)*0.475*44/12</f>
        <v>4.1358654810728881</v>
      </c>
      <c r="AB153" s="21">
        <f>EXP(-LN(2)/2)*AB152+(1-EXP(-LN(2)/2))/(LN(2)/2)*V153*Y153*VLOOKUP('Données projet'!$B$9,Paramètres!$A$1:$I$89,3,0)*0.475*44/12</f>
        <v>1.716364985461147E-13</v>
      </c>
      <c r="AC153" s="22">
        <f t="shared" si="111"/>
        <v>38.673125197886712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179.44051550872138</v>
      </c>
      <c r="AO153" s="59">
        <f t="shared" si="144"/>
        <v>272.9500808380069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14.015721842401433</v>
      </c>
      <c r="AV153" s="21">
        <f>EXP(-LN(2)/25)*AV152+(1-EXP(-LN(2)/25))/(LN(2)/25)*Calculateur!AQ153*Calculateur!AS153*VLOOKUP('Données projet'!$B$10,Paramètres!$A$1:$I$89,3,0)*0.475*44/12</f>
        <v>11.926192679691416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25.941914522092851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266.99999999999983</v>
      </c>
      <c r="BE153" s="13">
        <f>BD153*VLOOKUP('Données projet'!$B$11,Paramètres!$A$1:$I$89,3,0)*VLOOKUP('Données projet'!$B$11,Paramètres!$A$1:$I$89,5,0)</f>
        <v>212.42519999999985</v>
      </c>
      <c r="BF153" s="13">
        <f t="shared" si="145"/>
        <v>52.465198231787184</v>
      </c>
      <c r="BG153" s="20">
        <f t="shared" si="115"/>
        <v>461.35077692036231</v>
      </c>
      <c r="BH153" s="59">
        <f t="shared" si="116"/>
        <v>754.68411025369562</v>
      </c>
      <c r="BI153" s="59">
        <f ca="1">AVERAGE(OFFSET($BH$3,0,0,'Données projet'!$E$11+1,1))-AVERAGE(OFFSET($H$3,0,0,'Données projet'!$E$11+1,1))</f>
        <v>225.2323446080772</v>
      </c>
      <c r="BJ153" s="59">
        <f t="shared" si="146"/>
        <v>222.29030402759292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7.1978305221799124</v>
      </c>
      <c r="BQ153" s="21">
        <f>EXP(-LN(2)/25)*BQ152+(1-EXP(-LN(2)/25))/(LN(2)/25)*Calculateur!BL153*Calculateur!BN153*VLOOKUP('Données projet'!$B$11,Paramètres!$A$1:$I$89,3,0)*0.475*44/12</f>
        <v>1.1959271187129374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8.3937576408928507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278.5296012747549</v>
      </c>
      <c r="T154" s="59">
        <f t="shared" si="142"/>
        <v>370.55343097937077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33.860005119415305</v>
      </c>
      <c r="AA154" s="21">
        <f>EXP(-LN(2)/25)*AA153+(1-EXP(-LN(2)/25))/(LN(2)/25)*Calculateur!V154*Calculateur!X154*VLOOKUP('Données projet'!$B$9,Paramètres!$A$1:$I$89,3,0)*0.475*44/12</f>
        <v>4.0227700219972373</v>
      </c>
      <c r="AB154" s="21">
        <f>EXP(-LN(2)/2)*AB153+(1-EXP(-LN(2)/2))/(LN(2)/2)*V154*Y154*VLOOKUP('Données projet'!$B$9,Paramètres!$A$1:$I$89,3,0)*0.475*44/12</f>
        <v>1.2136533202107271E-13</v>
      </c>
      <c r="AC154" s="22">
        <f t="shared" ref="AC154:AC203" si="163">SUM(Z154:AB154)</f>
        <v>37.882775141412665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179.44051550872138</v>
      </c>
      <c r="AO154" s="59">
        <f t="shared" si="144"/>
        <v>272.9500808380069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13.740882085818146</v>
      </c>
      <c r="AV154" s="21">
        <f>EXP(-LN(2)/25)*AV153+(1-EXP(-LN(2)/25))/(LN(2)/25)*Calculateur!AQ154*Calculateur!AS154*VLOOKUP('Données projet'!$B$10,Paramètres!$A$1:$I$89,3,0)*0.475*44/12</f>
        <v>11.600070313694038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25.340952399512183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266.99999999999983</v>
      </c>
      <c r="BE154" s="13">
        <f>BD154*VLOOKUP('Données projet'!$B$11,Paramètres!$A$1:$I$89,3,0)*VLOOKUP('Données projet'!$B$11,Paramètres!$A$1:$I$89,5,0)</f>
        <v>212.42519999999985</v>
      </c>
      <c r="BF154" s="13">
        <f t="shared" ref="BF154:BF203" si="167">EXP(-1.0587+0.8836*LN(BE154)+0.284)</f>
        <v>52.465198231787184</v>
      </c>
      <c r="BG154" s="20">
        <f t="shared" ref="BG154:BG203" si="168">(BE154+BF154)*0.475*44/12</f>
        <v>461.35077692036231</v>
      </c>
      <c r="BH154" s="59">
        <f t="shared" si="116"/>
        <v>754.68411025369562</v>
      </c>
      <c r="BI154" s="59">
        <f ca="1">AVERAGE(OFFSET($BH$3,0,0,'Données projet'!$E$11+1,1))-AVERAGE(OFFSET($H$3,0,0,'Données projet'!$E$11+1,1))</f>
        <v>225.2323446080772</v>
      </c>
      <c r="BJ154" s="59">
        <f t="shared" si="146"/>
        <v>222.29030402759292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7.0566854558830823</v>
      </c>
      <c r="BQ154" s="21">
        <f>EXP(-LN(2)/25)*BQ153+(1-EXP(-LN(2)/25))/(LN(2)/25)*Calculateur!BL154*Calculateur!BN154*VLOOKUP('Données projet'!$B$11,Paramètres!$A$1:$I$89,3,0)*0.475*44/12</f>
        <v>1.1632244287606583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8.2199098846437408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278.5296012747549</v>
      </c>
      <c r="T155" s="59">
        <f t="shared" si="142"/>
        <v>370.55343097937077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33.19603107158742</v>
      </c>
      <c r="AA155" s="21">
        <f>EXP(-LN(2)/25)*AA154+(1-EXP(-LN(2)/25))/(LN(2)/25)*Calculateur!V155*Calculateur!X155*VLOOKUP('Données projet'!$B$9,Paramètres!$A$1:$I$89,3,0)*0.475*44/12</f>
        <v>3.9127671641974415</v>
      </c>
      <c r="AB155" s="21">
        <f>EXP(-LN(2)/2)*AB154+(1-EXP(-LN(2)/2))/(LN(2)/2)*V155*Y155*VLOOKUP('Données projet'!$B$9,Paramètres!$A$1:$I$89,3,0)*0.475*44/12</f>
        <v>8.5818249273057349E-14</v>
      </c>
      <c r="AC155" s="22">
        <f t="shared" si="163"/>
        <v>37.108798235784946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179.44051550872138</v>
      </c>
      <c r="AO155" s="59">
        <f t="shared" si="144"/>
        <v>272.9500808380069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13.471431769225759</v>
      </c>
      <c r="AV155" s="21">
        <f>EXP(-LN(2)/25)*AV154+(1-EXP(-LN(2)/25))/(LN(2)/25)*Calculateur!AQ155*Calculateur!AS155*VLOOKUP('Données projet'!$B$10,Paramètres!$A$1:$I$89,3,0)*0.475*44/12</f>
        <v>11.28286578094489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24.754297550170648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266.99999999999983</v>
      </c>
      <c r="BE155" s="13">
        <f>BD155*VLOOKUP('Données projet'!$B$11,Paramètres!$A$1:$I$89,3,0)*VLOOKUP('Données projet'!$B$11,Paramètres!$A$1:$I$89,5,0)</f>
        <v>212.42519999999985</v>
      </c>
      <c r="BF155" s="13">
        <f t="shared" si="167"/>
        <v>52.465198231787184</v>
      </c>
      <c r="BG155" s="20">
        <f t="shared" si="168"/>
        <v>461.35077692036231</v>
      </c>
      <c r="BH155" s="59">
        <f t="shared" si="116"/>
        <v>754.68411025369562</v>
      </c>
      <c r="BI155" s="59">
        <f ca="1">AVERAGE(OFFSET($BH$3,0,0,'Données projet'!$E$11+1,1))-AVERAGE(OFFSET($H$3,0,0,'Données projet'!$E$11+1,1))</f>
        <v>225.2323446080772</v>
      </c>
      <c r="BJ155" s="59">
        <f t="shared" si="146"/>
        <v>222.29030402759292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6.9183081582463437</v>
      </c>
      <c r="BQ155" s="21">
        <f>EXP(-LN(2)/25)*BQ154+(1-EXP(-LN(2)/25))/(LN(2)/25)*Calculateur!BL155*Calculateur!BN155*VLOOKUP('Données projet'!$B$11,Paramètres!$A$1:$I$89,3,0)*0.475*44/12</f>
        <v>1.1314159955848839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8.0497241538312281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278.5296012747549</v>
      </c>
      <c r="T156" s="59">
        <f t="shared" si="142"/>
        <v>370.55343097937077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32.545077149853263</v>
      </c>
      <c r="AA156" s="21">
        <f>EXP(-LN(2)/25)*AA155+(1-EXP(-LN(2)/25))/(LN(2)/25)*Calculateur!V156*Calculateur!X156*VLOOKUP('Données projet'!$B$9,Paramètres!$A$1:$I$89,3,0)*0.475*44/12</f>
        <v>3.8057723403289803</v>
      </c>
      <c r="AB156" s="21">
        <f>EXP(-LN(2)/2)*AB155+(1-EXP(-LN(2)/2))/(LN(2)/2)*V156*Y156*VLOOKUP('Données projet'!$B$9,Paramètres!$A$1:$I$89,3,0)*0.475*44/12</f>
        <v>6.0682666010536354E-14</v>
      </c>
      <c r="AC156" s="22">
        <f t="shared" si="163"/>
        <v>36.350849490182306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179.44051550872138</v>
      </c>
      <c r="AO156" s="59">
        <f t="shared" si="144"/>
        <v>272.9500808380069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13.207265208993284</v>
      </c>
      <c r="AV156" s="21">
        <f>EXP(-LN(2)/25)*AV155+(1-EXP(-LN(2)/25))/(LN(2)/25)*Calculateur!AQ156*Calculateur!AS156*VLOOKUP('Données projet'!$B$10,Paramètres!$A$1:$I$89,3,0)*0.475*44/12</f>
        <v>10.974335222824829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24.181600431818111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266.99999999999983</v>
      </c>
      <c r="BE156" s="13">
        <f>BD156*VLOOKUP('Données projet'!$B$11,Paramètres!$A$1:$I$89,3,0)*VLOOKUP('Données projet'!$B$11,Paramètres!$A$1:$I$89,5,0)</f>
        <v>212.42519999999985</v>
      </c>
      <c r="BF156" s="13">
        <f t="shared" si="167"/>
        <v>52.465198231787184</v>
      </c>
      <c r="BG156" s="20">
        <f t="shared" si="168"/>
        <v>461.35077692036231</v>
      </c>
      <c r="BH156" s="59">
        <f t="shared" si="116"/>
        <v>754.68411025369562</v>
      </c>
      <c r="BI156" s="59">
        <f ca="1">AVERAGE(OFFSET($BH$3,0,0,'Données projet'!$E$11+1,1))-AVERAGE(OFFSET($H$3,0,0,'Données projet'!$E$11+1,1))</f>
        <v>225.2323446080772</v>
      </c>
      <c r="BJ156" s="59">
        <f t="shared" si="146"/>
        <v>222.29030402759292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6.782644355014444</v>
      </c>
      <c r="BQ156" s="21">
        <f>EXP(-LN(2)/25)*BQ155+(1-EXP(-LN(2)/25))/(LN(2)/25)*Calculateur!BL156*Calculateur!BN156*VLOOKUP('Données projet'!$B$11,Paramètres!$A$1:$I$89,3,0)*0.475*44/12</f>
        <v>1.1004773656870339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7.8831217207014781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278.5296012747549</v>
      </c>
      <c r="T157" s="59">
        <f t="shared" si="142"/>
        <v>370.55343097937077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31.906888037481625</v>
      </c>
      <c r="AA157" s="21">
        <f>EXP(-LN(2)/25)*AA156+(1-EXP(-LN(2)/25))/(LN(2)/25)*Calculateur!V157*Calculateur!X157*VLOOKUP('Données projet'!$B$9,Paramètres!$A$1:$I$89,3,0)*0.475*44/12</f>
        <v>3.7017032955458151</v>
      </c>
      <c r="AB157" s="21">
        <f>EXP(-LN(2)/2)*AB156+(1-EXP(-LN(2)/2))/(LN(2)/2)*V157*Y157*VLOOKUP('Données projet'!$B$9,Paramètres!$A$1:$I$89,3,0)*0.475*44/12</f>
        <v>4.2909124636528675E-14</v>
      </c>
      <c r="AC157" s="22">
        <f t="shared" si="163"/>
        <v>35.608591333027483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179.44051550872138</v>
      </c>
      <c r="AO157" s="59">
        <f t="shared" si="144"/>
        <v>272.9500808380069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12.948278793881276</v>
      </c>
      <c r="AV157" s="21">
        <f>EXP(-LN(2)/25)*AV156+(1-EXP(-LN(2)/25))/(LN(2)/25)*Calculateur!AQ157*Calculateur!AS157*VLOOKUP('Données projet'!$B$10,Paramètres!$A$1:$I$89,3,0)*0.475*44/12</f>
        <v>10.674241449041476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23.622520242922754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266.99999999999983</v>
      </c>
      <c r="BE157" s="13">
        <f>BD157*VLOOKUP('Données projet'!$B$11,Paramètres!$A$1:$I$89,3,0)*VLOOKUP('Données projet'!$B$11,Paramètres!$A$1:$I$89,5,0)</f>
        <v>212.42519999999985</v>
      </c>
      <c r="BF157" s="13">
        <f t="shared" si="167"/>
        <v>52.465198231787184</v>
      </c>
      <c r="BG157" s="20">
        <f t="shared" si="168"/>
        <v>461.35077692036231</v>
      </c>
      <c r="BH157" s="59">
        <f t="shared" si="116"/>
        <v>754.68411025369562</v>
      </c>
      <c r="BI157" s="59">
        <f ca="1">AVERAGE(OFFSET($BH$3,0,0,'Données projet'!$E$11+1,1))-AVERAGE(OFFSET($H$3,0,0,'Données projet'!$E$11+1,1))</f>
        <v>225.2323446080772</v>
      </c>
      <c r="BJ157" s="59">
        <f t="shared" si="146"/>
        <v>222.29030402759292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6.6496408362171717</v>
      </c>
      <c r="BQ157" s="21">
        <f>EXP(-LN(2)/25)*BQ156+(1-EXP(-LN(2)/25))/(LN(2)/25)*Calculateur!BL157*Calculateur!BN157*VLOOKUP('Données projet'!$B$11,Paramètres!$A$1:$I$89,3,0)*0.475*44/12</f>
        <v>1.0703847542507325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7.7200255904679045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278.5296012747549</v>
      </c>
      <c r="T158" s="59">
        <f t="shared" si="142"/>
        <v>370.55343097937077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31.281213424346671</v>
      </c>
      <c r="AA158" s="21">
        <f>EXP(-LN(2)/25)*AA157+(1-EXP(-LN(2)/25))/(LN(2)/25)*Calculateur!V158*Calculateur!X158*VLOOKUP('Données projet'!$B$9,Paramètres!$A$1:$I$89,3,0)*0.475*44/12</f>
        <v>3.600480024264999</v>
      </c>
      <c r="AB158" s="21">
        <f>EXP(-LN(2)/2)*AB157+(1-EXP(-LN(2)/2))/(LN(2)/2)*V158*Y158*VLOOKUP('Données projet'!$B$9,Paramètres!$A$1:$I$89,3,0)*0.475*44/12</f>
        <v>3.0341333005268177E-14</v>
      </c>
      <c r="AC158" s="22">
        <f t="shared" si="163"/>
        <v>34.881693448611699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179.44051550872138</v>
      </c>
      <c r="AO158" s="59">
        <f t="shared" si="144"/>
        <v>272.9500808380069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12.694370944403499</v>
      </c>
      <c r="AV158" s="21">
        <f>EXP(-LN(2)/25)*AV157+(1-EXP(-LN(2)/25))/(LN(2)/25)*Calculateur!AQ158*Calculateur!AS158*VLOOKUP('Données projet'!$B$10,Paramètres!$A$1:$I$89,3,0)*0.475*44/12</f>
        <v>10.382353755283475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23.076724699686974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266.99999999999983</v>
      </c>
      <c r="BE158" s="13">
        <f>BD158*VLOOKUP('Données projet'!$B$11,Paramètres!$A$1:$I$89,3,0)*VLOOKUP('Données projet'!$B$11,Paramètres!$A$1:$I$89,5,0)</f>
        <v>212.42519999999985</v>
      </c>
      <c r="BF158" s="13">
        <f t="shared" si="167"/>
        <v>52.465198231787184</v>
      </c>
      <c r="BG158" s="20">
        <f t="shared" si="168"/>
        <v>461.35077692036231</v>
      </c>
      <c r="BH158" s="59">
        <f t="shared" si="116"/>
        <v>754.68411025369562</v>
      </c>
      <c r="BI158" s="59">
        <f ca="1">AVERAGE(OFFSET($BH$3,0,0,'Données projet'!$E$11+1,1))-AVERAGE(OFFSET($H$3,0,0,'Données projet'!$E$11+1,1))</f>
        <v>225.2323446080772</v>
      </c>
      <c r="BJ158" s="59">
        <f t="shared" si="146"/>
        <v>222.29030402759292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6.5192454352993785</v>
      </c>
      <c r="BQ158" s="21">
        <f>EXP(-LN(2)/25)*BQ157+(1-EXP(-LN(2)/25))/(LN(2)/25)*Calculateur!BL158*Calculateur!BN158*VLOOKUP('Données projet'!$B$11,Paramètres!$A$1:$I$89,3,0)*0.475*44/12</f>
        <v>1.0411150268566585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7.5603604621560372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278.5296012747549</v>
      </c>
      <c r="T159" s="59">
        <f t="shared" si="142"/>
        <v>370.55343097937077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30.667807908751463</v>
      </c>
      <c r="AA159" s="21">
        <f>EXP(-LN(2)/25)*AA158+(1-EXP(-LN(2)/25))/(LN(2)/25)*Calculateur!V159*Calculateur!X159*VLOOKUP('Données projet'!$B$9,Paramètres!$A$1:$I$89,3,0)*0.475*44/12</f>
        <v>3.502024708660457</v>
      </c>
      <c r="AB159" s="21">
        <f>EXP(-LN(2)/2)*AB158+(1-EXP(-LN(2)/2))/(LN(2)/2)*V159*Y159*VLOOKUP('Données projet'!$B$9,Paramètres!$A$1:$I$89,3,0)*0.475*44/12</f>
        <v>2.1454562318264337E-14</v>
      </c>
      <c r="AC159" s="22">
        <f t="shared" si="163"/>
        <v>34.169832617411942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179.44051550872138</v>
      </c>
      <c r="AO159" s="59">
        <f t="shared" si="144"/>
        <v>272.9500808380069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12.445442072985484</v>
      </c>
      <c r="AV159" s="21">
        <f>EXP(-LN(2)/25)*AV158+(1-EXP(-LN(2)/25))/(LN(2)/25)*Calculateur!AQ159*Calculateur!AS159*VLOOKUP('Données projet'!$B$10,Paramètres!$A$1:$I$89,3,0)*0.475*44/12</f>
        <v>10.098447745860994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22.54388981884648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266.99999999999983</v>
      </c>
      <c r="BE159" s="13">
        <f>BD159*VLOOKUP('Données projet'!$B$11,Paramètres!$A$1:$I$89,3,0)*VLOOKUP('Données projet'!$B$11,Paramètres!$A$1:$I$89,5,0)</f>
        <v>212.42519999999985</v>
      </c>
      <c r="BF159" s="13">
        <f t="shared" si="167"/>
        <v>52.465198231787184</v>
      </c>
      <c r="BG159" s="20">
        <f t="shared" si="168"/>
        <v>461.35077692036231</v>
      </c>
      <c r="BH159" s="59">
        <f t="shared" si="116"/>
        <v>754.68411025369562</v>
      </c>
      <c r="BI159" s="59">
        <f ca="1">AVERAGE(OFFSET($BH$3,0,0,'Données projet'!$E$11+1,1))-AVERAGE(OFFSET($H$3,0,0,'Données projet'!$E$11+1,1))</f>
        <v>225.2323446080772</v>
      </c>
      <c r="BJ159" s="59">
        <f t="shared" si="146"/>
        <v>222.29030402759292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6.3914070086602415</v>
      </c>
      <c r="BQ159" s="21">
        <f>EXP(-LN(2)/25)*BQ158+(1-EXP(-LN(2)/25))/(LN(2)/25)*Calculateur!BL159*Calculateur!BN159*VLOOKUP('Données projet'!$B$11,Paramètres!$A$1:$I$89,3,0)*0.475*44/12</f>
        <v>1.0126456816974034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7.4040526903576449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278.5296012747549</v>
      </c>
      <c r="T160" s="59">
        <f t="shared" si="142"/>
        <v>370.55343097937077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30.066430901176656</v>
      </c>
      <c r="AA160" s="21">
        <f>EXP(-LN(2)/25)*AA159+(1-EXP(-LN(2)/25))/(LN(2)/25)*Calculateur!V160*Calculateur!X160*VLOOKUP('Données projet'!$B$9,Paramètres!$A$1:$I$89,3,0)*0.475*44/12</f>
        <v>3.4062616588386612</v>
      </c>
      <c r="AB160" s="21">
        <f>EXP(-LN(2)/2)*AB159+(1-EXP(-LN(2)/2))/(LN(2)/2)*V160*Y160*VLOOKUP('Données projet'!$B$9,Paramètres!$A$1:$I$89,3,0)*0.475*44/12</f>
        <v>1.5170666502634088E-14</v>
      </c>
      <c r="AC160" s="22">
        <f t="shared" si="163"/>
        <v>33.472692560015332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179.44051550872138</v>
      </c>
      <c r="AO160" s="59">
        <f t="shared" si="144"/>
        <v>272.9500808380069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12.201394544904357</v>
      </c>
      <c r="AV160" s="21">
        <f>EXP(-LN(2)/25)*AV159+(1-EXP(-LN(2)/25))/(LN(2)/25)*Calculateur!AQ160*Calculateur!AS160*VLOOKUP('Données projet'!$B$10,Paramètres!$A$1:$I$89,3,0)*0.475*44/12</f>
        <v>9.8223051611961392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22.023699706100494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266.99999999999983</v>
      </c>
      <c r="BE160" s="13">
        <f>BD160*VLOOKUP('Données projet'!$B$11,Paramètres!$A$1:$I$89,3,0)*VLOOKUP('Données projet'!$B$11,Paramètres!$A$1:$I$89,5,0)</f>
        <v>212.42519999999985</v>
      </c>
      <c r="BF160" s="13">
        <f t="shared" si="167"/>
        <v>52.465198231787184</v>
      </c>
      <c r="BG160" s="20">
        <f t="shared" si="168"/>
        <v>461.35077692036231</v>
      </c>
      <c r="BH160" s="59">
        <f t="shared" si="116"/>
        <v>754.68411025369562</v>
      </c>
      <c r="BI160" s="59">
        <f ca="1">AVERAGE(OFFSET($BH$3,0,0,'Données projet'!$E$11+1,1))-AVERAGE(OFFSET($H$3,0,0,'Données projet'!$E$11+1,1))</f>
        <v>225.2323446080772</v>
      </c>
      <c r="BJ160" s="59">
        <f t="shared" si="146"/>
        <v>222.29030402759292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6.2660754155937575</v>
      </c>
      <c r="BQ160" s="21">
        <f>EXP(-LN(2)/25)*BQ159+(1-EXP(-LN(2)/25))/(LN(2)/25)*Calculateur!BL160*Calculateur!BN160*VLOOKUP('Données projet'!$B$11,Paramètres!$A$1:$I$89,3,0)*0.475*44/12</f>
        <v>0.98495483227866598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7.2510302478724231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278.5296012747549</v>
      </c>
      <c r="T161" s="59">
        <f t="shared" si="142"/>
        <v>370.55343097937077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29.476846529916635</v>
      </c>
      <c r="AA161" s="21">
        <f>EXP(-LN(2)/25)*AA160+(1-EXP(-LN(2)/25))/(LN(2)/25)*Calculateur!V161*Calculateur!X161*VLOOKUP('Données projet'!$B$9,Paramètres!$A$1:$I$89,3,0)*0.475*44/12</f>
        <v>3.3131172546502023</v>
      </c>
      <c r="AB161" s="21">
        <f>EXP(-LN(2)/2)*AB160+(1-EXP(-LN(2)/2))/(LN(2)/2)*V161*Y161*VLOOKUP('Données projet'!$B$9,Paramètres!$A$1:$I$89,3,0)*0.475*44/12</f>
        <v>1.0727281159132169E-14</v>
      </c>
      <c r="AC161" s="22">
        <f t="shared" si="163"/>
        <v>32.789963784566851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179.44051550872138</v>
      </c>
      <c r="AO161" s="59">
        <f t="shared" si="144"/>
        <v>272.9500808380069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11.962132639994607</v>
      </c>
      <c r="AV161" s="21">
        <f>EXP(-LN(2)/25)*AV160+(1-EXP(-LN(2)/25))/(LN(2)/25)*Calculateur!AQ161*Calculateur!AS161*VLOOKUP('Données projet'!$B$10,Paramètres!$A$1:$I$89,3,0)*0.475*44/12</f>
        <v>9.5537137100306513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21.515846350025257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266.99999999999983</v>
      </c>
      <c r="BE161" s="13">
        <f>BD161*VLOOKUP('Données projet'!$B$11,Paramètres!$A$1:$I$89,3,0)*VLOOKUP('Données projet'!$B$11,Paramètres!$A$1:$I$89,5,0)</f>
        <v>212.42519999999985</v>
      </c>
      <c r="BF161" s="13">
        <f t="shared" si="167"/>
        <v>52.465198231787184</v>
      </c>
      <c r="BG161" s="20">
        <f t="shared" si="168"/>
        <v>461.35077692036231</v>
      </c>
      <c r="BH161" s="59">
        <f t="shared" si="116"/>
        <v>754.68411025369562</v>
      </c>
      <c r="BI161" s="59">
        <f ca="1">AVERAGE(OFFSET($BH$3,0,0,'Données projet'!$E$11+1,1))-AVERAGE(OFFSET($H$3,0,0,'Données projet'!$E$11+1,1))</f>
        <v>225.2323446080772</v>
      </c>
      <c r="BJ161" s="59">
        <f t="shared" si="146"/>
        <v>222.29030402759292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6.1432014986225836</v>
      </c>
      <c r="BQ161" s="21">
        <f>EXP(-LN(2)/25)*BQ160+(1-EXP(-LN(2)/25))/(LN(2)/25)*Calculateur!BL161*Calculateur!BN161*VLOOKUP('Données projet'!$B$11,Paramètres!$A$1:$I$89,3,0)*0.475*44/12</f>
        <v>0.95802119059348234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7.1012226892160655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278.5296012747549</v>
      </c>
      <c r="T162" s="59">
        <f t="shared" si="142"/>
        <v>370.55343097937077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28.898823548566064</v>
      </c>
      <c r="AA162" s="21">
        <f>EXP(-LN(2)/25)*AA161+(1-EXP(-LN(2)/25))/(LN(2)/25)*Calculateur!V162*Calculateur!X162*VLOOKUP('Données projet'!$B$9,Paramètres!$A$1:$I$89,3,0)*0.475*44/12</f>
        <v>3.2225198890925282</v>
      </c>
      <c r="AB162" s="21">
        <f>EXP(-LN(2)/2)*AB161+(1-EXP(-LN(2)/2))/(LN(2)/2)*V162*Y162*VLOOKUP('Données projet'!$B$9,Paramètres!$A$1:$I$89,3,0)*0.475*44/12</f>
        <v>7.5853332513170442E-15</v>
      </c>
      <c r="AC162" s="22">
        <f t="shared" si="163"/>
        <v>32.121343437658602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179.44051550872138</v>
      </c>
      <c r="AO162" s="59">
        <f t="shared" si="144"/>
        <v>272.9500808380069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11.727562515104784</v>
      </c>
      <c r="AV162" s="21">
        <f>EXP(-LN(2)/25)*AV161+(1-EXP(-LN(2)/25))/(LN(2)/25)*Calculateur!AQ162*Calculateur!AS162*VLOOKUP('Données projet'!$B$10,Paramètres!$A$1:$I$89,3,0)*0.475*44/12</f>
        <v>9.292466906221895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21.020029421326679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266.99999999999983</v>
      </c>
      <c r="BE162" s="13">
        <f>BD162*VLOOKUP('Données projet'!$B$11,Paramètres!$A$1:$I$89,3,0)*VLOOKUP('Données projet'!$B$11,Paramètres!$A$1:$I$89,5,0)</f>
        <v>212.42519999999985</v>
      </c>
      <c r="BF162" s="13">
        <f t="shared" si="167"/>
        <v>52.465198231787184</v>
      </c>
      <c r="BG162" s="20">
        <f t="shared" si="168"/>
        <v>461.35077692036231</v>
      </c>
      <c r="BH162" s="59">
        <f t="shared" si="116"/>
        <v>754.68411025369562</v>
      </c>
      <c r="BI162" s="59">
        <f ca="1">AVERAGE(OFFSET($BH$3,0,0,'Données projet'!$E$11+1,1))-AVERAGE(OFFSET($H$3,0,0,'Données projet'!$E$11+1,1))</f>
        <v>225.2323446080772</v>
      </c>
      <c r="BJ162" s="59">
        <f t="shared" si="146"/>
        <v>222.29030402759292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6.0227370642175249</v>
      </c>
      <c r="BQ162" s="21">
        <f>EXP(-LN(2)/25)*BQ161+(1-EXP(-LN(2)/25))/(LN(2)/25)*Calculateur!BL162*Calculateur!BN162*VLOOKUP('Données projet'!$B$11,Paramètres!$A$1:$I$89,3,0)*0.475*44/12</f>
        <v>0.93182405075655872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6.9545611149740836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278.5296012747549</v>
      </c>
      <c r="T163" s="59">
        <f t="shared" si="142"/>
        <v>370.55343097937077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28.332135245320572</v>
      </c>
      <c r="AA163" s="21">
        <f>EXP(-LN(2)/25)*AA162+(1-EXP(-LN(2)/25))/(LN(2)/25)*Calculateur!V163*Calculateur!X163*VLOOKUP('Données projet'!$B$9,Paramètres!$A$1:$I$89,3,0)*0.475*44/12</f>
        <v>3.1343999132603373</v>
      </c>
      <c r="AB163" s="21">
        <f>EXP(-LN(2)/2)*AB162+(1-EXP(-LN(2)/2))/(LN(2)/2)*V163*Y163*VLOOKUP('Données projet'!$B$9,Paramètres!$A$1:$I$89,3,0)*0.475*44/12</f>
        <v>5.3636405795660843E-15</v>
      </c>
      <c r="AC163" s="22">
        <f t="shared" si="163"/>
        <v>31.466535158580918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179.44051550872138</v>
      </c>
      <c r="AO163" s="59">
        <f t="shared" si="144"/>
        <v>272.9500808380069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11.497592167290403</v>
      </c>
      <c r="AV163" s="21">
        <f>EXP(-LN(2)/25)*AV162+(1-EXP(-LN(2)/25))/(LN(2)/25)*Calculateur!AQ163*Calculateur!AS163*VLOOKUP('Données projet'!$B$10,Paramètres!$A$1:$I$89,3,0)*0.475*44/12</f>
        <v>9.0383639100016602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20.535956077292063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266.99999999999983</v>
      </c>
      <c r="BE163" s="13">
        <f>BD163*VLOOKUP('Données projet'!$B$11,Paramètres!$A$1:$I$89,3,0)*VLOOKUP('Données projet'!$B$11,Paramètres!$A$1:$I$89,5,0)</f>
        <v>212.42519999999985</v>
      </c>
      <c r="BF163" s="13">
        <f t="shared" si="167"/>
        <v>52.465198231787184</v>
      </c>
      <c r="BG163" s="20">
        <f t="shared" si="168"/>
        <v>461.35077692036231</v>
      </c>
      <c r="BH163" s="59">
        <f t="shared" si="116"/>
        <v>754.68411025369562</v>
      </c>
      <c r="BI163" s="59">
        <f ca="1">AVERAGE(OFFSET($BH$3,0,0,'Données projet'!$E$11+1,1))-AVERAGE(OFFSET($H$3,0,0,'Données projet'!$E$11+1,1))</f>
        <v>225.2323446080772</v>
      </c>
      <c r="BJ163" s="59">
        <f t="shared" si="146"/>
        <v>222.29030402759292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5.9046348638951001</v>
      </c>
      <c r="BQ163" s="21">
        <f>EXP(-LN(2)/25)*BQ162+(1-EXP(-LN(2)/25))/(LN(2)/25)*Calculateur!BL163*Calculateur!BN163*VLOOKUP('Données projet'!$B$11,Paramètres!$A$1:$I$89,3,0)*0.475*44/12</f>
        <v>0.9063432730861235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6.8109781369812232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278.5296012747549</v>
      </c>
      <c r="T164" s="59">
        <f t="shared" si="142"/>
        <v>370.55343097937077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27.776559354055987</v>
      </c>
      <c r="AA164" s="21">
        <f>EXP(-LN(2)/25)*AA163+(1-EXP(-LN(2)/25))/(LN(2)/25)*Calculateur!V164*Calculateur!X164*VLOOKUP('Données projet'!$B$9,Paramètres!$A$1:$I$89,3,0)*0.475*44/12</f>
        <v>3.0486895828013059</v>
      </c>
      <c r="AB164" s="21">
        <f>EXP(-LN(2)/2)*AB163+(1-EXP(-LN(2)/2))/(LN(2)/2)*V164*Y164*VLOOKUP('Données projet'!$B$9,Paramètres!$A$1:$I$89,3,0)*0.475*44/12</f>
        <v>3.7926666256585221E-15</v>
      </c>
      <c r="AC164" s="22">
        <f t="shared" si="163"/>
        <v>30.825248936857296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179.44051550872138</v>
      </c>
      <c r="AO164" s="59">
        <f t="shared" si="144"/>
        <v>272.9500808380069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11.2721313977286</v>
      </c>
      <c r="AV164" s="21">
        <f>EXP(-LN(2)/25)*AV163+(1-EXP(-LN(2)/25))/(LN(2)/25)*Calculateur!AQ164*Calculateur!AS164*VLOOKUP('Données projet'!$B$10,Paramètres!$A$1:$I$89,3,0)*0.475*44/12</f>
        <v>8.7912093735757644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20.063340771304365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266.99999999999983</v>
      </c>
      <c r="BE164" s="13">
        <f>BD164*VLOOKUP('Données projet'!$B$11,Paramètres!$A$1:$I$89,3,0)*VLOOKUP('Données projet'!$B$11,Paramètres!$A$1:$I$89,5,0)</f>
        <v>212.42519999999985</v>
      </c>
      <c r="BF164" s="13">
        <f t="shared" si="167"/>
        <v>52.465198231787184</v>
      </c>
      <c r="BG164" s="20">
        <f t="shared" si="168"/>
        <v>461.35077692036231</v>
      </c>
      <c r="BH164" s="59">
        <f t="shared" si="116"/>
        <v>754.68411025369562</v>
      </c>
      <c r="BI164" s="59">
        <f ca="1">AVERAGE(OFFSET($BH$3,0,0,'Données projet'!$E$11+1,1))-AVERAGE(OFFSET($H$3,0,0,'Données projet'!$E$11+1,1))</f>
        <v>225.2323446080772</v>
      </c>
      <c r="BJ164" s="59">
        <f t="shared" si="146"/>
        <v>222.29030402759292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5.7888485756857682</v>
      </c>
      <c r="BQ164" s="21">
        <f>EXP(-LN(2)/25)*BQ163+(1-EXP(-LN(2)/25))/(LN(2)/25)*Calculateur!BL164*Calculateur!BN164*VLOOKUP('Données projet'!$B$11,Paramètres!$A$1:$I$89,3,0)*0.475*44/12</f>
        <v>0.88155926862106215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6.6704078443068306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278.5296012747549</v>
      </c>
      <c r="T165" s="59">
        <f t="shared" si="142"/>
        <v>370.55343097937077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27.23187796715127</v>
      </c>
      <c r="AA165" s="21">
        <f>EXP(-LN(2)/25)*AA164+(1-EXP(-LN(2)/25))/(LN(2)/25)*Calculateur!V165*Calculateur!X165*VLOOKUP('Données projet'!$B$9,Paramètres!$A$1:$I$89,3,0)*0.475*44/12</f>
        <v>2.965323005835987</v>
      </c>
      <c r="AB165" s="21">
        <f>EXP(-LN(2)/2)*AB164+(1-EXP(-LN(2)/2))/(LN(2)/2)*V165*Y165*VLOOKUP('Données projet'!$B$9,Paramètres!$A$1:$I$89,3,0)*0.475*44/12</f>
        <v>2.6818202897830422E-15</v>
      </c>
      <c r="AC165" s="22">
        <f t="shared" si="163"/>
        <v>30.197200972987261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179.44051550872138</v>
      </c>
      <c r="AO165" s="59">
        <f t="shared" si="144"/>
        <v>272.9500808380069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11.051091776340414</v>
      </c>
      <c r="AV165" s="21">
        <f>EXP(-LN(2)/25)*AV164+(1-EXP(-LN(2)/25))/(LN(2)/25)*Calculateur!AQ165*Calculateur!AS165*VLOOKUP('Données projet'!$B$10,Paramètres!$A$1:$I$89,3,0)*0.475*44/12</f>
        <v>8.550813290945726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19.60190506728614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266.99999999999983</v>
      </c>
      <c r="BE165" s="13">
        <f>BD165*VLOOKUP('Données projet'!$B$11,Paramètres!$A$1:$I$89,3,0)*VLOOKUP('Données projet'!$B$11,Paramètres!$A$1:$I$89,5,0)</f>
        <v>212.42519999999985</v>
      </c>
      <c r="BF165" s="13">
        <f t="shared" si="167"/>
        <v>52.465198231787184</v>
      </c>
      <c r="BG165" s="20">
        <f t="shared" si="168"/>
        <v>461.35077692036231</v>
      </c>
      <c r="BH165" s="59">
        <f t="shared" si="116"/>
        <v>754.68411025369562</v>
      </c>
      <c r="BI165" s="59">
        <f ca="1">AVERAGE(OFFSET($BH$3,0,0,'Données projet'!$E$11+1,1))-AVERAGE(OFFSET($H$3,0,0,'Données projet'!$E$11+1,1))</f>
        <v>225.2323446080772</v>
      </c>
      <c r="BJ165" s="59">
        <f t="shared" si="146"/>
        <v>222.29030402759292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5.6753327859655593</v>
      </c>
      <c r="BQ165" s="21">
        <f>EXP(-LN(2)/25)*BQ164+(1-EXP(-LN(2)/25))/(LN(2)/25)*Calculateur!BL165*Calculateur!BN165*VLOOKUP('Données projet'!$B$11,Paramètres!$A$1:$I$89,3,0)*0.475*44/12</f>
        <v>0.85745298406143211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6.5327857700269911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278.5296012747549</v>
      </c>
      <c r="T166" s="59">
        <f t="shared" si="142"/>
        <v>370.55343097937077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26.697877450020911</v>
      </c>
      <c r="AA166" s="21">
        <f>EXP(-LN(2)/25)*AA165+(1-EXP(-LN(2)/25))/(LN(2)/25)*Calculateur!V166*Calculateur!X166*VLOOKUP('Données projet'!$B$9,Paramètres!$A$1:$I$89,3,0)*0.475*44/12</f>
        <v>2.8842360923018422</v>
      </c>
      <c r="AB166" s="21">
        <f>EXP(-LN(2)/2)*AB165+(1-EXP(-LN(2)/2))/(LN(2)/2)*V166*Y166*VLOOKUP('Données projet'!$B$9,Paramètres!$A$1:$I$89,3,0)*0.475*44/12</f>
        <v>1.8963333128292611E-15</v>
      </c>
      <c r="AC166" s="22">
        <f t="shared" si="163"/>
        <v>29.582113542322755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179.44051550872138</v>
      </c>
      <c r="AO166" s="59">
        <f t="shared" si="144"/>
        <v>272.9500808380069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10.834386607106792</v>
      </c>
      <c r="AV166" s="21">
        <f>EXP(-LN(2)/25)*AV165+(1-EXP(-LN(2)/25))/(LN(2)/25)*Calculateur!AQ166*Calculateur!AS166*VLOOKUP('Données projet'!$B$10,Paramètres!$A$1:$I$89,3,0)*0.475*44/12</f>
        <v>8.3169908518370868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19.151377458943877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266.99999999999983</v>
      </c>
      <c r="BE166" s="13">
        <f>BD166*VLOOKUP('Données projet'!$B$11,Paramètres!$A$1:$I$89,3,0)*VLOOKUP('Données projet'!$B$11,Paramètres!$A$1:$I$89,5,0)</f>
        <v>212.42519999999985</v>
      </c>
      <c r="BF166" s="13">
        <f t="shared" si="167"/>
        <v>52.465198231787184</v>
      </c>
      <c r="BG166" s="20">
        <f t="shared" si="168"/>
        <v>461.35077692036231</v>
      </c>
      <c r="BH166" s="59">
        <f t="shared" si="116"/>
        <v>754.68411025369562</v>
      </c>
      <c r="BI166" s="59">
        <f ca="1">AVERAGE(OFFSET($BH$3,0,0,'Données projet'!$E$11+1,1))-AVERAGE(OFFSET($H$3,0,0,'Données projet'!$E$11+1,1))</f>
        <v>225.2323446080772</v>
      </c>
      <c r="BJ166" s="59">
        <f t="shared" si="146"/>
        <v>222.29030402759292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5.5640429716439685</v>
      </c>
      <c r="BQ166" s="21">
        <f>EXP(-LN(2)/25)*BQ165+(1-EXP(-LN(2)/25))/(LN(2)/25)*Calculateur!BL166*Calculateur!BN166*VLOOKUP('Données projet'!$B$11,Paramètres!$A$1:$I$89,3,0)*0.475*44/12</f>
        <v>0.8340058871207795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6.3980488587647484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278.5296012747549</v>
      </c>
      <c r="T167" s="59">
        <f t="shared" si="142"/>
        <v>370.55343097937077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26.174348357323325</v>
      </c>
      <c r="AA167" s="21">
        <f>EXP(-LN(2)/25)*AA166+(1-EXP(-LN(2)/25))/(LN(2)/25)*Calculateur!V167*Calculateur!X167*VLOOKUP('Données projet'!$B$9,Paramètres!$A$1:$I$89,3,0)*0.475*44/12</f>
        <v>2.8053665046824641</v>
      </c>
      <c r="AB167" s="21">
        <f>EXP(-LN(2)/2)*AB166+(1-EXP(-LN(2)/2))/(LN(2)/2)*V167*Y167*VLOOKUP('Données projet'!$B$9,Paramètres!$A$1:$I$89,3,0)*0.475*44/12</f>
        <v>1.3409101448915211E-15</v>
      </c>
      <c r="AC167" s="22">
        <f t="shared" si="163"/>
        <v>28.979714862005789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179.44051550872138</v>
      </c>
      <c r="AO167" s="59">
        <f t="shared" si="144"/>
        <v>272.9500808380069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10.621930894064739</v>
      </c>
      <c r="AV167" s="21">
        <f>EXP(-LN(2)/25)*AV166+(1-EXP(-LN(2)/25))/(LN(2)/25)*Calculateur!AQ167*Calculateur!AS167*VLOOKUP('Données projet'!$B$10,Paramètres!$A$1:$I$89,3,0)*0.475*44/12</f>
        <v>8.0895622996220613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18.711493193686799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266.99999999999983</v>
      </c>
      <c r="BE167" s="13">
        <f>BD167*VLOOKUP('Données projet'!$B$11,Paramètres!$A$1:$I$89,3,0)*VLOOKUP('Données projet'!$B$11,Paramètres!$A$1:$I$89,5,0)</f>
        <v>212.42519999999985</v>
      </c>
      <c r="BF167" s="13">
        <f t="shared" si="167"/>
        <v>52.465198231787184</v>
      </c>
      <c r="BG167" s="20">
        <f t="shared" si="168"/>
        <v>461.35077692036231</v>
      </c>
      <c r="BH167" s="59">
        <f t="shared" si="116"/>
        <v>754.68411025369562</v>
      </c>
      <c r="BI167" s="59">
        <f ca="1">AVERAGE(OFFSET($BH$3,0,0,'Données projet'!$E$11+1,1))-AVERAGE(OFFSET($H$3,0,0,'Données projet'!$E$11+1,1))</f>
        <v>225.2323446080772</v>
      </c>
      <c r="BJ167" s="59">
        <f t="shared" si="146"/>
        <v>222.29030402759292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5.4549354827011403</v>
      </c>
      <c r="BQ167" s="21">
        <f>EXP(-LN(2)/25)*BQ166+(1-EXP(-LN(2)/25))/(LN(2)/25)*Calculateur!BL167*Calculateur!BN167*VLOOKUP('Données projet'!$B$11,Paramètres!$A$1:$I$89,3,0)*0.475*44/12</f>
        <v>0.81119995227899833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6.2661354349801384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278.5296012747549</v>
      </c>
      <c r="T168" s="59">
        <f t="shared" si="142"/>
        <v>370.55343097937077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25.661085350812321</v>
      </c>
      <c r="AA168" s="21">
        <f>EXP(-LN(2)/25)*AA167+(1-EXP(-LN(2)/25))/(LN(2)/25)*Calculateur!V168*Calculateur!X168*VLOOKUP('Données projet'!$B$9,Paramètres!$A$1:$I$89,3,0)*0.475*44/12</f>
        <v>2.7286536100841094</v>
      </c>
      <c r="AB168" s="21">
        <f>EXP(-LN(2)/2)*AB167+(1-EXP(-LN(2)/2))/(LN(2)/2)*V168*Y168*VLOOKUP('Données projet'!$B$9,Paramètres!$A$1:$I$89,3,0)*0.475*44/12</f>
        <v>9.4816665641463053E-16</v>
      </c>
      <c r="AC168" s="22">
        <f t="shared" si="163"/>
        <v>28.38973896089643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179.44051550872138</v>
      </c>
      <c r="AO168" s="59">
        <f t="shared" si="144"/>
        <v>272.9500808380069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10.413641307970254</v>
      </c>
      <c r="AV168" s="21">
        <f>EXP(-LN(2)/25)*AV167+(1-EXP(-LN(2)/25))/(LN(2)/25)*Calculateur!AQ168*Calculateur!AS168*VLOOKUP('Données projet'!$B$10,Paramètres!$A$1:$I$89,3,0)*0.475*44/12</f>
        <v>7.8683527931273041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18.28199410109756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266.99999999999983</v>
      </c>
      <c r="BE168" s="13">
        <f>BD168*VLOOKUP('Données projet'!$B$11,Paramètres!$A$1:$I$89,3,0)*VLOOKUP('Données projet'!$B$11,Paramètres!$A$1:$I$89,5,0)</f>
        <v>212.42519999999985</v>
      </c>
      <c r="BF168" s="13">
        <f t="shared" si="167"/>
        <v>52.465198231787184</v>
      </c>
      <c r="BG168" s="20">
        <f t="shared" si="168"/>
        <v>461.35077692036231</v>
      </c>
      <c r="BH168" s="59">
        <f t="shared" si="116"/>
        <v>754.68411025369562</v>
      </c>
      <c r="BI168" s="59">
        <f ca="1">AVERAGE(OFFSET($BH$3,0,0,'Données projet'!$E$11+1,1))-AVERAGE(OFFSET($H$3,0,0,'Données projet'!$E$11+1,1))</f>
        <v>225.2323446080772</v>
      </c>
      <c r="BJ168" s="59">
        <f t="shared" si="146"/>
        <v>222.29030402759292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5.3479675250674834</v>
      </c>
      <c r="BQ168" s="21">
        <f>EXP(-LN(2)/25)*BQ167+(1-EXP(-LN(2)/25))/(LN(2)/25)*Calculateur!BL168*Calculateur!BN168*VLOOKUP('Données projet'!$B$11,Paramètres!$A$1:$I$89,3,0)*0.475*44/12</f>
        <v>0.7890176469247776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6.1369851719922615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278.5296012747549</v>
      </c>
      <c r="T169" s="59">
        <f t="shared" si="142"/>
        <v>370.55343097937077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25.157887118799476</v>
      </c>
      <c r="AA169" s="21">
        <f>EXP(-LN(2)/25)*AA168+(1-EXP(-LN(2)/25))/(LN(2)/25)*Calculateur!V169*Calculateur!X169*VLOOKUP('Données projet'!$B$9,Paramètres!$A$1:$I$89,3,0)*0.475*44/12</f>
        <v>2.6540384336227025</v>
      </c>
      <c r="AB169" s="21">
        <f>EXP(-LN(2)/2)*AB168+(1-EXP(-LN(2)/2))/(LN(2)/2)*V169*Y169*VLOOKUP('Données projet'!$B$9,Paramètres!$A$1:$I$89,3,0)*0.475*44/12</f>
        <v>6.7045507244576054E-16</v>
      </c>
      <c r="AC169" s="22">
        <f t="shared" si="163"/>
        <v>27.811925552422178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179.44051550872138</v>
      </c>
      <c r="AO169" s="59">
        <f t="shared" si="144"/>
        <v>272.9500808380069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10.209436153614977</v>
      </c>
      <c r="AV169" s="21">
        <f>EXP(-LN(2)/25)*AV168+(1-EXP(-LN(2)/25))/(LN(2)/25)*Calculateur!AQ169*Calculateur!AS169*VLOOKUP('Données projet'!$B$10,Paramètres!$A$1:$I$89,3,0)*0.475*44/12</f>
        <v>7.6531922722205481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17.862628425835524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266.99999999999983</v>
      </c>
      <c r="BE169" s="13">
        <f>BD169*VLOOKUP('Données projet'!$B$11,Paramètres!$A$1:$I$89,3,0)*VLOOKUP('Données projet'!$B$11,Paramètres!$A$1:$I$89,5,0)</f>
        <v>212.42519999999985</v>
      </c>
      <c r="BF169" s="13">
        <f t="shared" si="167"/>
        <v>52.465198231787184</v>
      </c>
      <c r="BG169" s="20">
        <f t="shared" si="168"/>
        <v>461.35077692036231</v>
      </c>
      <c r="BH169" s="59">
        <f t="shared" si="116"/>
        <v>754.68411025369562</v>
      </c>
      <c r="BI169" s="59">
        <f ca="1">AVERAGE(OFFSET($BH$3,0,0,'Données projet'!$E$11+1,1))-AVERAGE(OFFSET($H$3,0,0,'Données projet'!$E$11+1,1))</f>
        <v>225.2323446080772</v>
      </c>
      <c r="BJ169" s="59">
        <f t="shared" si="146"/>
        <v>222.29030402759292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5.2430971438390106</v>
      </c>
      <c r="BQ169" s="21">
        <f>EXP(-LN(2)/25)*BQ168+(1-EXP(-LN(2)/25))/(LN(2)/25)*Calculateur!BL169*Calculateur!BN169*VLOOKUP('Données projet'!$B$11,Paramètres!$A$1:$I$89,3,0)*0.475*44/12</f>
        <v>0.76744191787698479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6.0105390617159955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278.5296012747549</v>
      </c>
      <c r="T170" s="59">
        <f t="shared" si="142"/>
        <v>370.55343097937077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24.664556297195787</v>
      </c>
      <c r="AA170" s="21">
        <f>EXP(-LN(2)/25)*AA169+(1-EXP(-LN(2)/25))/(LN(2)/25)*Calculateur!V170*Calculateur!X170*VLOOKUP('Données projet'!$B$9,Paramètres!$A$1:$I$89,3,0)*0.475*44/12</f>
        <v>2.5814636130854742</v>
      </c>
      <c r="AB170" s="21">
        <f>EXP(-LN(2)/2)*AB169+(1-EXP(-LN(2)/2))/(LN(2)/2)*V170*Y170*VLOOKUP('Données projet'!$B$9,Paramètres!$A$1:$I$89,3,0)*0.475*44/12</f>
        <v>4.7408332820731527E-16</v>
      </c>
      <c r="AC170" s="22">
        <f t="shared" si="163"/>
        <v>27.246019910281262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179.44051550872138</v>
      </c>
      <c r="AO170" s="59">
        <f t="shared" si="144"/>
        <v>272.9500808380069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10.009235337783762</v>
      </c>
      <c r="AV170" s="21">
        <f>EXP(-LN(2)/25)*AV169+(1-EXP(-LN(2)/25))/(LN(2)/25)*Calculateur!AQ170*Calculateur!AS170*VLOOKUP('Données projet'!$B$10,Paramètres!$A$1:$I$89,3,0)*0.475*44/12</f>
        <v>7.4439153270727871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17.453150664856551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266.99999999999983</v>
      </c>
      <c r="BE170" s="13">
        <f>BD170*VLOOKUP('Données projet'!$B$11,Paramètres!$A$1:$I$89,3,0)*VLOOKUP('Données projet'!$B$11,Paramètres!$A$1:$I$89,5,0)</f>
        <v>212.42519999999985</v>
      </c>
      <c r="BF170" s="13">
        <f t="shared" si="167"/>
        <v>52.465198231787184</v>
      </c>
      <c r="BG170" s="20">
        <f t="shared" si="168"/>
        <v>461.35077692036231</v>
      </c>
      <c r="BH170" s="59">
        <f t="shared" si="116"/>
        <v>754.68411025369562</v>
      </c>
      <c r="BI170" s="59">
        <f ca="1">AVERAGE(OFFSET($BH$3,0,0,'Données projet'!$E$11+1,1))-AVERAGE(OFFSET($H$3,0,0,'Données projet'!$E$11+1,1))</f>
        <v>225.2323446080772</v>
      </c>
      <c r="BJ170" s="59">
        <f t="shared" si="146"/>
        <v>222.29030402759292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5.1402832068218114</v>
      </c>
      <c r="BQ170" s="21">
        <f>EXP(-LN(2)/25)*BQ169+(1-EXP(-LN(2)/25))/(LN(2)/25)*Calculateur!BL170*Calculateur!BN170*VLOOKUP('Données projet'!$B$11,Paramètres!$A$1:$I$89,3,0)*0.475*44/12</f>
        <v>0.74645617827462218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5.8867393850964334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278.5296012747549</v>
      </c>
      <c r="T171" s="59">
        <f t="shared" si="142"/>
        <v>370.55343097937077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24.180899392101658</v>
      </c>
      <c r="AA171" s="21">
        <f>EXP(-LN(2)/25)*AA170+(1-EXP(-LN(2)/25))/(LN(2)/25)*Calculateur!V171*Calculateur!X171*VLOOKUP('Données projet'!$B$9,Paramètres!$A$1:$I$89,3,0)*0.475*44/12</f>
        <v>2.5108733548323805</v>
      </c>
      <c r="AB171" s="21">
        <f>EXP(-LN(2)/2)*AB170+(1-EXP(-LN(2)/2))/(LN(2)/2)*V171*Y171*VLOOKUP('Données projet'!$B$9,Paramètres!$A$1:$I$89,3,0)*0.475*44/12</f>
        <v>3.3522753622288027E-16</v>
      </c>
      <c r="AC171" s="22">
        <f t="shared" si="163"/>
        <v>26.691772746934038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179.44051550872138</v>
      </c>
      <c r="AO171" s="59">
        <f t="shared" si="144"/>
        <v>272.9500808380069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9.8129603378405577</v>
      </c>
      <c r="AV171" s="21">
        <f>EXP(-LN(2)/25)*AV170+(1-EXP(-LN(2)/25))/(LN(2)/25)*Calculateur!AQ171*Calculateur!AS171*VLOOKUP('Données projet'!$B$10,Paramètres!$A$1:$I$89,3,0)*0.475*44/12</f>
        <v>7.2403610709954878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17.053321408836045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266.99999999999983</v>
      </c>
      <c r="BE171" s="13">
        <f>BD171*VLOOKUP('Données projet'!$B$11,Paramètres!$A$1:$I$89,3,0)*VLOOKUP('Données projet'!$B$11,Paramètres!$A$1:$I$89,5,0)</f>
        <v>212.42519999999985</v>
      </c>
      <c r="BF171" s="13">
        <f t="shared" si="167"/>
        <v>52.465198231787184</v>
      </c>
      <c r="BG171" s="20">
        <f t="shared" si="168"/>
        <v>461.35077692036231</v>
      </c>
      <c r="BH171" s="59">
        <f t="shared" si="116"/>
        <v>754.68411025369562</v>
      </c>
      <c r="BI171" s="59">
        <f ca="1">AVERAGE(OFFSET($BH$3,0,0,'Données projet'!$E$11+1,1))-AVERAGE(OFFSET($H$3,0,0,'Données projet'!$E$11+1,1))</f>
        <v>225.2323446080772</v>
      </c>
      <c r="BJ171" s="59">
        <f t="shared" si="146"/>
        <v>222.29030402759292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5.0394853883992106</v>
      </c>
      <c r="BQ171" s="21">
        <f>EXP(-LN(2)/25)*BQ170+(1-EXP(-LN(2)/25))/(LN(2)/25)*Calculateur!BL171*Calculateur!BN171*VLOOKUP('Données projet'!$B$11,Paramètres!$A$1:$I$89,3,0)*0.475*44/12</f>
        <v>0.72604429482527832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5.7655296832244893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278.5296012747549</v>
      </c>
      <c r="T172" s="59">
        <f t="shared" si="142"/>
        <v>370.55343097937077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23.706726703914843</v>
      </c>
      <c r="AA172" s="21">
        <f>EXP(-LN(2)/25)*AA171+(1-EXP(-LN(2)/25))/(LN(2)/25)*Calculateur!V172*Calculateur!X172*VLOOKUP('Données projet'!$B$9,Paramètres!$A$1:$I$89,3,0)*0.475*44/12</f>
        <v>2.4422133909033978</v>
      </c>
      <c r="AB172" s="21">
        <f>EXP(-LN(2)/2)*AB171+(1-EXP(-LN(2)/2))/(LN(2)/2)*V172*Y172*VLOOKUP('Données projet'!$B$9,Paramètres!$A$1:$I$89,3,0)*0.475*44/12</f>
        <v>2.3704166410365763E-16</v>
      </c>
      <c r="AC172" s="22">
        <f t="shared" si="163"/>
        <v>26.14894009481824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179.44051550872138</v>
      </c>
      <c r="AO172" s="59">
        <f t="shared" si="144"/>
        <v>272.9500808380069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9.6205341709303092</v>
      </c>
      <c r="AV172" s="21">
        <f>EXP(-LN(2)/25)*AV171+(1-EXP(-LN(2)/25))/(LN(2)/25)*Calculateur!AQ172*Calculateur!AS172*VLOOKUP('Données projet'!$B$10,Paramètres!$A$1:$I$89,3,0)*0.475*44/12</f>
        <v>7.0423730167550751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16.662907187685384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266.99999999999983</v>
      </c>
      <c r="BE172" s="13">
        <f>BD172*VLOOKUP('Données projet'!$B$11,Paramètres!$A$1:$I$89,3,0)*VLOOKUP('Données projet'!$B$11,Paramètres!$A$1:$I$89,5,0)</f>
        <v>212.42519999999985</v>
      </c>
      <c r="BF172" s="13">
        <f t="shared" si="167"/>
        <v>52.465198231787184</v>
      </c>
      <c r="BG172" s="20">
        <f t="shared" si="168"/>
        <v>461.35077692036231</v>
      </c>
      <c r="BH172" s="59">
        <f t="shared" si="116"/>
        <v>754.68411025369562</v>
      </c>
      <c r="BI172" s="59">
        <f ca="1">AVERAGE(OFFSET($BH$3,0,0,'Données projet'!$E$11+1,1))-AVERAGE(OFFSET($H$3,0,0,'Données projet'!$E$11+1,1))</f>
        <v>225.2323446080772</v>
      </c>
      <c r="BJ172" s="59">
        <f t="shared" si="146"/>
        <v>222.29030402759292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4.9406641537152778</v>
      </c>
      <c r="BQ172" s="21">
        <f>EXP(-LN(2)/25)*BQ171+(1-EXP(-LN(2)/25))/(LN(2)/25)*Calculateur!BL172*Calculateur!BN172*VLOOKUP('Données projet'!$B$11,Paramètres!$A$1:$I$89,3,0)*0.475*44/12</f>
        <v>0.70619057540227104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5.6468547291175488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278.5296012747549</v>
      </c>
      <c r="T173" s="59">
        <f t="shared" si="142"/>
        <v>370.55343097937077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23.241852252926588</v>
      </c>
      <c r="AA173" s="21">
        <f>EXP(-LN(2)/25)*AA172+(1-EXP(-LN(2)/25))/(LN(2)/25)*Calculateur!V173*Calculateur!X173*VLOOKUP('Données projet'!$B$9,Paramètres!$A$1:$I$89,3,0)*0.475*44/12</f>
        <v>2.3754309372987241</v>
      </c>
      <c r="AB173" s="21">
        <f>EXP(-LN(2)/2)*AB172+(1-EXP(-LN(2)/2))/(LN(2)/2)*V173*Y173*VLOOKUP('Données projet'!$B$9,Paramètres!$A$1:$I$89,3,0)*0.475*44/12</f>
        <v>1.6761376811144013E-16</v>
      </c>
      <c r="AC173" s="22">
        <f t="shared" si="163"/>
        <v>25.617283190225312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179.44051550872138</v>
      </c>
      <c r="AO173" s="59">
        <f t="shared" si="144"/>
        <v>272.9500808380069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9.4318813637847985</v>
      </c>
      <c r="AV173" s="21">
        <f>EXP(-LN(2)/25)*AV172+(1-EXP(-LN(2)/25))/(LN(2)/25)*Calculateur!AQ173*Calculateur!AS173*VLOOKUP('Données projet'!$B$10,Paramètres!$A$1:$I$89,3,0)*0.475*44/12</f>
        <v>6.8497989562696064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16.281680320054406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266.99999999999983</v>
      </c>
      <c r="BE173" s="13">
        <f>BD173*VLOOKUP('Données projet'!$B$11,Paramètres!$A$1:$I$89,3,0)*VLOOKUP('Données projet'!$B$11,Paramètres!$A$1:$I$89,5,0)</f>
        <v>212.42519999999985</v>
      </c>
      <c r="BF173" s="13">
        <f t="shared" si="167"/>
        <v>52.465198231787184</v>
      </c>
      <c r="BG173" s="20">
        <f t="shared" si="168"/>
        <v>461.35077692036231</v>
      </c>
      <c r="BH173" s="59">
        <f t="shared" si="116"/>
        <v>754.68411025369562</v>
      </c>
      <c r="BI173" s="59">
        <f ca="1">AVERAGE(OFFSET($BH$3,0,0,'Données projet'!$E$11+1,1))-AVERAGE(OFFSET($H$3,0,0,'Données projet'!$E$11+1,1))</f>
        <v>225.2323446080772</v>
      </c>
      <c r="BJ173" s="59">
        <f t="shared" si="146"/>
        <v>222.29030402759292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4.8437807431684954</v>
      </c>
      <c r="BQ173" s="21">
        <f>EXP(-LN(2)/25)*BQ172+(1-EXP(-LN(2)/25))/(LN(2)/25)*Calculateur!BL173*Calculateur!BN173*VLOOKUP('Données projet'!$B$11,Paramètres!$A$1:$I$89,3,0)*0.475*44/12</f>
        <v>0.68687975698094761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5.5306605001494429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278.5296012747549</v>
      </c>
      <c r="T174" s="59">
        <f t="shared" si="142"/>
        <v>370.55343097937077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22.786093706376796</v>
      </c>
      <c r="AA174" s="21">
        <f>EXP(-LN(2)/25)*AA173+(1-EXP(-LN(2)/25))/(LN(2)/25)*Calculateur!V174*Calculateur!X174*VLOOKUP('Données projet'!$B$9,Paramètres!$A$1:$I$89,3,0)*0.475*44/12</f>
        <v>2.3104746533998068</v>
      </c>
      <c r="AB174" s="21">
        <f>EXP(-LN(2)/2)*AB173+(1-EXP(-LN(2)/2))/(LN(2)/2)*V174*Y174*VLOOKUP('Données projet'!$B$9,Paramètres!$A$1:$I$89,3,0)*0.475*44/12</f>
        <v>1.1852083205182882E-16</v>
      </c>
      <c r="AC174" s="22">
        <f t="shared" si="163"/>
        <v>25.096568359776604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179.44051550872138</v>
      </c>
      <c r="AO174" s="59">
        <f t="shared" si="144"/>
        <v>272.9500808380069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9.2469279231205608</v>
      </c>
      <c r="AV174" s="21">
        <f>EXP(-LN(2)/25)*AV173+(1-EXP(-LN(2)/25))/(LN(2)/25)*Calculateur!AQ174*Calculateur!AS174*VLOOKUP('Données projet'!$B$10,Paramètres!$A$1:$I$89,3,0)*0.475*44/12</f>
        <v>6.6624908435951422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15.909418766715703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266.99999999999983</v>
      </c>
      <c r="BE174" s="13">
        <f>BD174*VLOOKUP('Données projet'!$B$11,Paramètres!$A$1:$I$89,3,0)*VLOOKUP('Données projet'!$B$11,Paramètres!$A$1:$I$89,5,0)</f>
        <v>212.42519999999985</v>
      </c>
      <c r="BF174" s="13">
        <f t="shared" si="167"/>
        <v>52.465198231787184</v>
      </c>
      <c r="BG174" s="20">
        <f t="shared" si="168"/>
        <v>461.35077692036231</v>
      </c>
      <c r="BH174" s="59">
        <f t="shared" si="116"/>
        <v>754.68411025369562</v>
      </c>
      <c r="BI174" s="59">
        <f ca="1">AVERAGE(OFFSET($BH$3,0,0,'Données projet'!$E$11+1,1))-AVERAGE(OFFSET($H$3,0,0,'Données projet'!$E$11+1,1))</f>
        <v>225.2323446080772</v>
      </c>
      <c r="BJ174" s="59">
        <f t="shared" si="146"/>
        <v>222.29030402759292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4.7487971572094905</v>
      </c>
      <c r="BQ174" s="21">
        <f>EXP(-LN(2)/25)*BQ173+(1-EXP(-LN(2)/25))/(LN(2)/25)*Calculateur!BL174*Calculateur!BN174*VLOOKUP('Données projet'!$B$11,Paramètres!$A$1:$I$89,3,0)*0.475*44/12</f>
        <v>0.6680969939048671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5.4168941511143576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278.5296012747549</v>
      </c>
      <c r="T175" s="59">
        <f t="shared" si="142"/>
        <v>370.55343097937077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22.339272306939581</v>
      </c>
      <c r="AA175" s="21">
        <f>EXP(-LN(2)/25)*AA174+(1-EXP(-LN(2)/25))/(LN(2)/25)*Calculateur!V175*Calculateur!X175*VLOOKUP('Données projet'!$B$9,Paramètres!$A$1:$I$89,3,0)*0.475*44/12</f>
        <v>2.2472946025000078</v>
      </c>
      <c r="AB175" s="21">
        <f>EXP(-LN(2)/2)*AB174+(1-EXP(-LN(2)/2))/(LN(2)/2)*V175*Y175*VLOOKUP('Données projet'!$B$9,Paramètres!$A$1:$I$89,3,0)*0.475*44/12</f>
        <v>8.3806884055720067E-17</v>
      </c>
      <c r="AC175" s="22">
        <f t="shared" si="163"/>
        <v>24.58656690943959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179.44051550872138</v>
      </c>
      <c r="AO175" s="59">
        <f t="shared" si="144"/>
        <v>272.9500808380069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9.0656013066172889</v>
      </c>
      <c r="AV175" s="21">
        <f>EXP(-LN(2)/25)*AV174+(1-EXP(-LN(2)/25))/(LN(2)/25)*Calculateur!AQ175*Calculateur!AS175*VLOOKUP('Données projet'!$B$10,Paramètres!$A$1:$I$89,3,0)*0.475*44/12</f>
        <v>6.4803046811118667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15.545905987729157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266.99999999999983</v>
      </c>
      <c r="BE175" s="13">
        <f>BD175*VLOOKUP('Données projet'!$B$11,Paramètres!$A$1:$I$89,3,0)*VLOOKUP('Données projet'!$B$11,Paramètres!$A$1:$I$89,5,0)</f>
        <v>212.42519999999985</v>
      </c>
      <c r="BF175" s="13">
        <f t="shared" si="167"/>
        <v>52.465198231787184</v>
      </c>
      <c r="BG175" s="20">
        <f t="shared" si="168"/>
        <v>461.35077692036231</v>
      </c>
      <c r="BH175" s="59">
        <f t="shared" si="116"/>
        <v>754.68411025369562</v>
      </c>
      <c r="BI175" s="59">
        <f ca="1">AVERAGE(OFFSET($BH$3,0,0,'Données projet'!$E$11+1,1))-AVERAGE(OFFSET($H$3,0,0,'Données projet'!$E$11+1,1))</f>
        <v>225.2323446080772</v>
      </c>
      <c r="BJ175" s="59">
        <f t="shared" si="146"/>
        <v>222.29030402759292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4.6556761414368744</v>
      </c>
      <c r="BQ175" s="21">
        <f>EXP(-LN(2)/25)*BQ174+(1-EXP(-LN(2)/25))/(LN(2)/25)*Calculateur!BL175*Calculateur!BN175*VLOOKUP('Données projet'!$B$11,Paramètres!$A$1:$I$89,3,0)*0.475*44/12</f>
        <v>0.64982784647284453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5.3055039879097192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278.5296012747549</v>
      </c>
      <c r="T176" s="59">
        <f t="shared" si="142"/>
        <v>370.55343097937077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21.901212802611184</v>
      </c>
      <c r="AA176" s="21">
        <f>EXP(-LN(2)/25)*AA175+(1-EXP(-LN(2)/25))/(LN(2)/25)*Calculateur!V176*Calculateur!X176*VLOOKUP('Données projet'!$B$9,Paramètres!$A$1:$I$89,3,0)*0.475*44/12</f>
        <v>2.1858422134145581</v>
      </c>
      <c r="AB176" s="21">
        <f>EXP(-LN(2)/2)*AB175+(1-EXP(-LN(2)/2))/(LN(2)/2)*V176*Y176*VLOOKUP('Données projet'!$B$9,Paramètres!$A$1:$I$89,3,0)*0.475*44/12</f>
        <v>5.9260416025914408E-17</v>
      </c>
      <c r="AC176" s="22">
        <f t="shared" si="163"/>
        <v>24.087055016025744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179.44051550872138</v>
      </c>
      <c r="AO176" s="59">
        <f t="shared" si="144"/>
        <v>272.9500808380069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8.8878303944653307</v>
      </c>
      <c r="AV176" s="21">
        <f>EXP(-LN(2)/25)*AV175+(1-EXP(-LN(2)/25))/(LN(2)/25)*Calculateur!AQ176*Calculateur!AS176*VLOOKUP('Données projet'!$B$10,Paramètres!$A$1:$I$89,3,0)*0.475*44/12</f>
        <v>6.3031004088224503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15.190930803287781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266.99999999999983</v>
      </c>
      <c r="BE176" s="13">
        <f>BD176*VLOOKUP('Données projet'!$B$11,Paramètres!$A$1:$I$89,3,0)*VLOOKUP('Données projet'!$B$11,Paramètres!$A$1:$I$89,5,0)</f>
        <v>212.42519999999985</v>
      </c>
      <c r="BF176" s="13">
        <f t="shared" si="167"/>
        <v>52.465198231787184</v>
      </c>
      <c r="BG176" s="20">
        <f t="shared" si="168"/>
        <v>461.35077692036231</v>
      </c>
      <c r="BH176" s="59">
        <f t="shared" si="116"/>
        <v>754.68411025369562</v>
      </c>
      <c r="BI176" s="59">
        <f ca="1">AVERAGE(OFFSET($BH$3,0,0,'Données projet'!$E$11+1,1))-AVERAGE(OFFSET($H$3,0,0,'Données projet'!$E$11+1,1))</f>
        <v>225.2323446080772</v>
      </c>
      <c r="BJ176" s="59">
        <f t="shared" si="146"/>
        <v>222.29030402759292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4.5643811719853487</v>
      </c>
      <c r="BQ176" s="21">
        <f>EXP(-LN(2)/25)*BQ175+(1-EXP(-LN(2)/25))/(LN(2)/25)*Calculateur!BL176*Calculateur!BN176*VLOOKUP('Données projet'!$B$11,Paramètres!$A$1:$I$89,3,0)*0.475*44/12</f>
        <v>0.63205826983808333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5.1964394418234319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278.5296012747549</v>
      </c>
      <c r="T177" s="59">
        <f t="shared" si="142"/>
        <v>370.55343097937077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21.471743377972754</v>
      </c>
      <c r="AA177" s="21">
        <f>EXP(-LN(2)/25)*AA176+(1-EXP(-LN(2)/25))/(LN(2)/25)*Calculateur!V177*Calculateur!X177*VLOOKUP('Données projet'!$B$9,Paramètres!$A$1:$I$89,3,0)*0.475*44/12</f>
        <v>2.1260702431402909</v>
      </c>
      <c r="AB177" s="21">
        <f>EXP(-LN(2)/2)*AB176+(1-EXP(-LN(2)/2))/(LN(2)/2)*V177*Y177*VLOOKUP('Données projet'!$B$9,Paramètres!$A$1:$I$89,3,0)*0.475*44/12</f>
        <v>4.1903442027860034E-17</v>
      </c>
      <c r="AC177" s="22">
        <f t="shared" si="163"/>
        <v>23.597813621113044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179.44051550872138</v>
      </c>
      <c r="AO177" s="59">
        <f t="shared" si="144"/>
        <v>272.9500808380069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8.7135454614711225</v>
      </c>
      <c r="AV177" s="21">
        <f>EXP(-LN(2)/25)*AV176+(1-EXP(-LN(2)/25))/(LN(2)/25)*Calculateur!AQ177*Calculateur!AS177*VLOOKUP('Données projet'!$B$10,Paramètres!$A$1:$I$89,3,0)*0.475*44/12</f>
        <v>6.1307417966775555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14.844287258148679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266.99999999999983</v>
      </c>
      <c r="BE177" s="13">
        <f>BD177*VLOOKUP('Données projet'!$B$11,Paramètres!$A$1:$I$89,3,0)*VLOOKUP('Données projet'!$B$11,Paramètres!$A$1:$I$89,5,0)</f>
        <v>212.42519999999985</v>
      </c>
      <c r="BF177" s="13">
        <f t="shared" si="167"/>
        <v>52.465198231787184</v>
      </c>
      <c r="BG177" s="20">
        <f t="shared" si="168"/>
        <v>461.35077692036231</v>
      </c>
      <c r="BH177" s="59">
        <f t="shared" si="116"/>
        <v>754.68411025369562</v>
      </c>
      <c r="BI177" s="59">
        <f ca="1">AVERAGE(OFFSET($BH$3,0,0,'Données projet'!$E$11+1,1))-AVERAGE(OFFSET($H$3,0,0,'Données projet'!$E$11+1,1))</f>
        <v>225.2323446080772</v>
      </c>
      <c r="BJ177" s="59">
        <f t="shared" si="146"/>
        <v>222.29030402759292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4.4748764412003341</v>
      </c>
      <c r="BQ177" s="21">
        <f>EXP(-LN(2)/25)*BQ176+(1-EXP(-LN(2)/25))/(LN(2)/25)*Calculateur!BL177*Calculateur!BN177*VLOOKUP('Données projet'!$B$11,Paramètres!$A$1:$I$89,3,0)*0.475*44/12</f>
        <v>0.61477460321086108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5.0896510444111955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278.5296012747549</v>
      </c>
      <c r="T178" s="59">
        <f t="shared" si="142"/>
        <v>370.55343097937077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21.050695586800998</v>
      </c>
      <c r="AA178" s="21">
        <f>EXP(-LN(2)/25)*AA177+(1-EXP(-LN(2)/25))/(LN(2)/25)*Calculateur!V178*Calculateur!X178*VLOOKUP('Données projet'!$B$9,Paramètres!$A$1:$I$89,3,0)*0.475*44/12</f>
        <v>2.0679327405364449</v>
      </c>
      <c r="AB178" s="21">
        <f>EXP(-LN(2)/2)*AB177+(1-EXP(-LN(2)/2))/(LN(2)/2)*V178*Y178*VLOOKUP('Données projet'!$B$9,Paramètres!$A$1:$I$89,3,0)*0.475*44/12</f>
        <v>2.9630208012957204E-17</v>
      </c>
      <c r="AC178" s="22">
        <f t="shared" si="163"/>
        <v>23.118628327337444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179.44051550872138</v>
      </c>
      <c r="AO178" s="59">
        <f t="shared" si="144"/>
        <v>272.9500808380069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8.5426781497096194</v>
      </c>
      <c r="AV178" s="21">
        <f>EXP(-LN(2)/25)*AV177+(1-EXP(-LN(2)/25))/(LN(2)/25)*Calculateur!AQ178*Calculateur!AS178*VLOOKUP('Données projet'!$B$10,Paramètres!$A$1:$I$89,3,0)*0.475*44/12</f>
        <v>5.9630963398457082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14.505774489555328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266.99999999999983</v>
      </c>
      <c r="BE178" s="13">
        <f>BD178*VLOOKUP('Données projet'!$B$11,Paramètres!$A$1:$I$89,3,0)*VLOOKUP('Données projet'!$B$11,Paramètres!$A$1:$I$89,5,0)</f>
        <v>212.42519999999985</v>
      </c>
      <c r="BF178" s="13">
        <f t="shared" si="167"/>
        <v>52.465198231787184</v>
      </c>
      <c r="BG178" s="20">
        <f t="shared" si="168"/>
        <v>461.35077692036231</v>
      </c>
      <c r="BH178" s="59">
        <f t="shared" si="116"/>
        <v>754.68411025369562</v>
      </c>
      <c r="BI178" s="59">
        <f ca="1">AVERAGE(OFFSET($BH$3,0,0,'Données projet'!$E$11+1,1))-AVERAGE(OFFSET($H$3,0,0,'Données projet'!$E$11+1,1))</f>
        <v>225.2323446080772</v>
      </c>
      <c r="BJ178" s="59">
        <f t="shared" si="146"/>
        <v>222.29030402759292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4.387126843593518</v>
      </c>
      <c r="BQ178" s="21">
        <f>EXP(-LN(2)/25)*BQ177+(1-EXP(-LN(2)/25))/(LN(2)/25)*Calculateur!BL178*Calculateur!BN178*VLOOKUP('Données projet'!$B$11,Paramètres!$A$1:$I$89,3,0)*0.475*44/12</f>
        <v>0.59796355935646883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4.9850904029499867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278.5296012747549</v>
      </c>
      <c r="T179" s="59">
        <f t="shared" si="142"/>
        <v>370.55343097937077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20.637904286000328</v>
      </c>
      <c r="AA179" s="21">
        <f>EXP(-LN(2)/25)*AA178+(1-EXP(-LN(2)/25))/(LN(2)/25)*Calculateur!V179*Calculateur!X179*VLOOKUP('Données projet'!$B$9,Paramètres!$A$1:$I$89,3,0)*0.475*44/12</f>
        <v>2.0113850109986195</v>
      </c>
      <c r="AB179" s="21">
        <f>EXP(-LN(2)/2)*AB178+(1-EXP(-LN(2)/2))/(LN(2)/2)*V179*Y179*VLOOKUP('Données projet'!$B$9,Paramètres!$A$1:$I$89,3,0)*0.475*44/12</f>
        <v>2.0951721013930017E-17</v>
      </c>
      <c r="AC179" s="22">
        <f t="shared" si="163"/>
        <v>22.649289296998948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179.44051550872138</v>
      </c>
      <c r="AO179" s="59">
        <f t="shared" si="144"/>
        <v>272.9500808380069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8.3751614417129883</v>
      </c>
      <c r="AV179" s="21">
        <f>EXP(-LN(2)/25)*AV178+(1-EXP(-LN(2)/25))/(LN(2)/25)*Calculateur!AQ179*Calculateur!AS179*VLOOKUP('Données projet'!$B$10,Paramètres!$A$1:$I$89,3,0)*0.475*44/12</f>
        <v>5.8000351568470192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14.175196598560007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266.99999999999983</v>
      </c>
      <c r="BE179" s="13">
        <f>BD179*VLOOKUP('Données projet'!$B$11,Paramètres!$A$1:$I$89,3,0)*VLOOKUP('Données projet'!$B$11,Paramètres!$A$1:$I$89,5,0)</f>
        <v>212.42519999999985</v>
      </c>
      <c r="BF179" s="13">
        <f t="shared" si="167"/>
        <v>52.465198231787184</v>
      </c>
      <c r="BG179" s="20">
        <f t="shared" si="168"/>
        <v>461.35077692036231</v>
      </c>
      <c r="BH179" s="59">
        <f t="shared" si="116"/>
        <v>754.68411025369562</v>
      </c>
      <c r="BI179" s="59">
        <f ca="1">AVERAGE(OFFSET($BH$3,0,0,'Données projet'!$E$11+1,1))-AVERAGE(OFFSET($H$3,0,0,'Données projet'!$E$11+1,1))</f>
        <v>225.2323446080772</v>
      </c>
      <c r="BJ179" s="59">
        <f t="shared" si="146"/>
        <v>222.29030402759292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4.3010979620738023</v>
      </c>
      <c r="BQ179" s="21">
        <f>EXP(-LN(2)/25)*BQ178+(1-EXP(-LN(2)/25))/(LN(2)/25)*Calculateur!BL179*Calculateur!BN179*VLOOKUP('Données projet'!$B$11,Paramètres!$A$1:$I$89,3,0)*0.475*44/12</f>
        <v>0.58161221438032928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4.8827101764541316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278.5296012747549</v>
      </c>
      <c r="T180" s="59">
        <f t="shared" si="142"/>
        <v>370.55343097937077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20.233207570830526</v>
      </c>
      <c r="AA180" s="21">
        <f>EXP(-LN(2)/25)*AA179+(1-EXP(-LN(2)/25))/(LN(2)/25)*Calculateur!V180*Calculateur!X180*VLOOKUP('Données projet'!$B$9,Paramètres!$A$1:$I$89,3,0)*0.475*44/12</f>
        <v>1.9563835820987217</v>
      </c>
      <c r="AB180" s="21">
        <f>EXP(-LN(2)/2)*AB179+(1-EXP(-LN(2)/2))/(LN(2)/2)*V180*Y180*VLOOKUP('Données projet'!$B$9,Paramètres!$A$1:$I$89,3,0)*0.475*44/12</f>
        <v>1.4815104006478602E-17</v>
      </c>
      <c r="AC180" s="22">
        <f t="shared" si="163"/>
        <v>22.189591152929246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179.44051550872138</v>
      </c>
      <c r="AO180" s="59">
        <f t="shared" si="144"/>
        <v>272.9500808380069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8.210929634185069</v>
      </c>
      <c r="AV180" s="21">
        <f>EXP(-LN(2)/25)*AV179+(1-EXP(-LN(2)/25))/(LN(2)/25)*Calculateur!AQ180*Calculateur!AS180*VLOOKUP('Données projet'!$B$10,Paramètres!$A$1:$I$89,3,0)*0.475*44/12</f>
        <v>5.6414328904724451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13.852362524657515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266.99999999999983</v>
      </c>
      <c r="BE180" s="13">
        <f>BD180*VLOOKUP('Données projet'!$B$11,Paramètres!$A$1:$I$89,3,0)*VLOOKUP('Données projet'!$B$11,Paramètres!$A$1:$I$89,5,0)</f>
        <v>212.42519999999985</v>
      </c>
      <c r="BF180" s="13">
        <f t="shared" si="167"/>
        <v>52.465198231787184</v>
      </c>
      <c r="BG180" s="20">
        <f t="shared" si="168"/>
        <v>461.35077692036231</v>
      </c>
      <c r="BH180" s="59">
        <f t="shared" si="116"/>
        <v>754.68411025369562</v>
      </c>
      <c r="BI180" s="59">
        <f ca="1">AVERAGE(OFFSET($BH$3,0,0,'Données projet'!$E$11+1,1))-AVERAGE(OFFSET($H$3,0,0,'Données projet'!$E$11+1,1))</f>
        <v>225.2323446080772</v>
      </c>
      <c r="BJ180" s="59">
        <f t="shared" si="146"/>
        <v>222.29030402759292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4.2167560544482514</v>
      </c>
      <c r="BQ180" s="21">
        <f>EXP(-LN(2)/25)*BQ179+(1-EXP(-LN(2)/25))/(LN(2)/25)*Calculateur!BL180*Calculateur!BN180*VLOOKUP('Données projet'!$B$11,Paramètres!$A$1:$I$89,3,0)*0.475*44/12</f>
        <v>0.56570799779244207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4.7824640522406936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278.5296012747549</v>
      </c>
      <c r="T181" s="59">
        <f t="shared" si="142"/>
        <v>370.55343097937077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19.83644671140458</v>
      </c>
      <c r="AA181" s="21">
        <f>EXP(-LN(2)/25)*AA180+(1-EXP(-LN(2)/25))/(LN(2)/25)*Calculateur!V181*Calculateur!X181*VLOOKUP('Données projet'!$B$9,Paramètres!$A$1:$I$89,3,0)*0.475*44/12</f>
        <v>1.9028861701644908</v>
      </c>
      <c r="AB181" s="21">
        <f>EXP(-LN(2)/2)*AB180+(1-EXP(-LN(2)/2))/(LN(2)/2)*V181*Y181*VLOOKUP('Données projet'!$B$9,Paramètres!$A$1:$I$89,3,0)*0.475*44/12</f>
        <v>1.0475860506965008E-17</v>
      </c>
      <c r="AC181" s="22">
        <f t="shared" si="163"/>
        <v>21.739332881569069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179.44051550872138</v>
      </c>
      <c r="AO181" s="59">
        <f t="shared" si="144"/>
        <v>272.9500808380069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8.0499183122312612</v>
      </c>
      <c r="AV181" s="21">
        <f>EXP(-LN(2)/25)*AV180+(1-EXP(-LN(2)/25))/(LN(2)/25)*Calculateur!AQ181*Calculateur!AS181*VLOOKUP('Données projet'!$B$10,Paramètres!$A$1:$I$89,3,0)*0.475*44/12</f>
        <v>5.4871676114124144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13.537085923643676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266.99999999999983</v>
      </c>
      <c r="BE181" s="13">
        <f>BD181*VLOOKUP('Données projet'!$B$11,Paramètres!$A$1:$I$89,3,0)*VLOOKUP('Données projet'!$B$11,Paramètres!$A$1:$I$89,5,0)</f>
        <v>212.42519999999985</v>
      </c>
      <c r="BF181" s="13">
        <f t="shared" si="167"/>
        <v>52.465198231787184</v>
      </c>
      <c r="BG181" s="20">
        <f t="shared" si="168"/>
        <v>461.35077692036231</v>
      </c>
      <c r="BH181" s="59">
        <f t="shared" si="116"/>
        <v>754.68411025369562</v>
      </c>
      <c r="BI181" s="59">
        <f ca="1">AVERAGE(OFFSET($BH$3,0,0,'Données projet'!$E$11+1,1))-AVERAGE(OFFSET($H$3,0,0,'Données projet'!$E$11+1,1))</f>
        <v>225.2323446080772</v>
      </c>
      <c r="BJ181" s="59">
        <f t="shared" si="146"/>
        <v>222.29030402759292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4.1340680401877536</v>
      </c>
      <c r="BQ181" s="21">
        <f>EXP(-LN(2)/25)*BQ180+(1-EXP(-LN(2)/25))/(LN(2)/25)*Calculateur!BL181*Calculateur!BN181*VLOOKUP('Données projet'!$B$11,Paramètres!$A$1:$I$89,3,0)*0.475*44/12</f>
        <v>0.55023868284351707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4.6843067230312707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278.5296012747549</v>
      </c>
      <c r="T182" s="59">
        <f t="shared" si="142"/>
        <v>370.55343097937077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19.44746609043175</v>
      </c>
      <c r="AA182" s="21">
        <f>EXP(-LN(2)/25)*AA181+(1-EXP(-LN(2)/25))/(LN(2)/25)*Calculateur!V182*Calculateur!X182*VLOOKUP('Données projet'!$B$9,Paramètres!$A$1:$I$89,3,0)*0.475*44/12</f>
        <v>1.8508516477729082</v>
      </c>
      <c r="AB182" s="21">
        <f>EXP(-LN(2)/2)*AB181+(1-EXP(-LN(2)/2))/(LN(2)/2)*V182*Y182*VLOOKUP('Données projet'!$B$9,Paramètres!$A$1:$I$89,3,0)*0.475*44/12</f>
        <v>7.407552003239301E-18</v>
      </c>
      <c r="AC182" s="22">
        <f t="shared" si="163"/>
        <v>21.298317738204659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179.44051550872138</v>
      </c>
      <c r="AO182" s="59">
        <f t="shared" si="144"/>
        <v>272.9500808380069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7.8920643240937576</v>
      </c>
      <c r="AV182" s="21">
        <f>EXP(-LN(2)/25)*AV181+(1-EXP(-LN(2)/25))/(LN(2)/25)*Calculateur!AQ182*Calculateur!AS182*VLOOKUP('Données projet'!$B$10,Paramètres!$A$1:$I$89,3,0)*0.475*44/12</f>
        <v>5.3371207245207382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13.229185048614497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266.99999999999983</v>
      </c>
      <c r="BE182" s="13">
        <f>BD182*VLOOKUP('Données projet'!$B$11,Paramètres!$A$1:$I$89,3,0)*VLOOKUP('Données projet'!$B$11,Paramètres!$A$1:$I$89,5,0)</f>
        <v>212.42519999999985</v>
      </c>
      <c r="BF182" s="13">
        <f t="shared" si="167"/>
        <v>52.465198231787184</v>
      </c>
      <c r="BG182" s="20">
        <f t="shared" si="168"/>
        <v>461.35077692036231</v>
      </c>
      <c r="BH182" s="59">
        <f t="shared" si="116"/>
        <v>754.68411025369562</v>
      </c>
      <c r="BI182" s="59">
        <f ca="1">AVERAGE(OFFSET($BH$3,0,0,'Données projet'!$E$11+1,1))-AVERAGE(OFFSET($H$3,0,0,'Données projet'!$E$11+1,1))</f>
        <v>225.2323446080772</v>
      </c>
      <c r="BJ182" s="59">
        <f t="shared" si="146"/>
        <v>222.29030402759292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4.053001487452196</v>
      </c>
      <c r="BQ182" s="21">
        <f>EXP(-LN(2)/25)*BQ181+(1-EXP(-LN(2)/25))/(LN(2)/25)*Calculateur!BL182*Calculateur!BN182*VLOOKUP('Données projet'!$B$11,Paramètres!$A$1:$I$89,3,0)*0.475*44/12</f>
        <v>0.53519237712536638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4.588193864577562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278.5296012747549</v>
      </c>
      <c r="T183" s="59">
        <f t="shared" si="142"/>
        <v>370.55343097937077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19.066113142181443</v>
      </c>
      <c r="AA183" s="21">
        <f>EXP(-LN(2)/25)*AA182+(1-EXP(-LN(2)/25))/(LN(2)/25)*Calculateur!V183*Calculateur!X183*VLOOKUP('Données projet'!$B$9,Paramètres!$A$1:$I$89,3,0)*0.475*44/12</f>
        <v>1.8002400121325002</v>
      </c>
      <c r="AB183" s="21">
        <f>EXP(-LN(2)/2)*AB182+(1-EXP(-LN(2)/2))/(LN(2)/2)*V183*Y183*VLOOKUP('Données projet'!$B$9,Paramètres!$A$1:$I$89,3,0)*0.475*44/12</f>
        <v>5.2379302534825042E-18</v>
      </c>
      <c r="AC183" s="22">
        <f t="shared" si="163"/>
        <v>20.866353154313945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179.44051550872138</v>
      </c>
      <c r="AO183" s="59">
        <f t="shared" si="144"/>
        <v>272.9500808380069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7.737305756382205</v>
      </c>
      <c r="AV183" s="21">
        <f>EXP(-LN(2)/25)*AV182+(1-EXP(-LN(2)/25))/(LN(2)/25)*Calculateur!AQ183*Calculateur!AS183*VLOOKUP('Données projet'!$B$10,Paramètres!$A$1:$I$89,3,0)*0.475*44/12</f>
        <v>5.1911768776417375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12.928482634023943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266.99999999999983</v>
      </c>
      <c r="BE183" s="13">
        <f>BD183*VLOOKUP('Données projet'!$B$11,Paramètres!$A$1:$I$89,3,0)*VLOOKUP('Données projet'!$B$11,Paramètres!$A$1:$I$89,5,0)</f>
        <v>212.42519999999985</v>
      </c>
      <c r="BF183" s="13">
        <f t="shared" si="167"/>
        <v>52.465198231787184</v>
      </c>
      <c r="BG183" s="20">
        <f t="shared" si="168"/>
        <v>461.35077692036231</v>
      </c>
      <c r="BH183" s="59">
        <f t="shared" si="116"/>
        <v>754.68411025369562</v>
      </c>
      <c r="BI183" s="59">
        <f ca="1">AVERAGE(OFFSET($BH$3,0,0,'Données projet'!$E$11+1,1))-AVERAGE(OFFSET($H$3,0,0,'Données projet'!$E$11+1,1))</f>
        <v>225.2323446080772</v>
      </c>
      <c r="BJ183" s="59">
        <f t="shared" si="146"/>
        <v>222.29030402759292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3.9735246003700677</v>
      </c>
      <c r="BQ183" s="21">
        <f>EXP(-LN(2)/25)*BQ182+(1-EXP(-LN(2)/25))/(LN(2)/25)*Calculateur!BL183*Calculateur!BN183*VLOOKUP('Données projet'!$B$11,Paramètres!$A$1:$I$89,3,0)*0.475*44/12</f>
        <v>0.52055751342832934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4.4940821137983971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278.5296012747549</v>
      </c>
      <c r="T184" s="59">
        <f t="shared" si="142"/>
        <v>370.55343097937077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18.692238292643996</v>
      </c>
      <c r="AA184" s="21">
        <f>EXP(-LN(2)/25)*AA183+(1-EXP(-LN(2)/25))/(LN(2)/25)*Calculateur!V184*Calculateur!X184*VLOOKUP('Données projet'!$B$9,Paramètres!$A$1:$I$89,3,0)*0.475*44/12</f>
        <v>1.7510123543302292</v>
      </c>
      <c r="AB184" s="21">
        <f>EXP(-LN(2)/2)*AB183+(1-EXP(-LN(2)/2))/(LN(2)/2)*V184*Y184*VLOOKUP('Données projet'!$B$9,Paramètres!$A$1:$I$89,3,0)*0.475*44/12</f>
        <v>3.7037760016196505E-18</v>
      </c>
      <c r="AC184" s="22">
        <f t="shared" si="163"/>
        <v>20.443250646974224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179.44051550872138</v>
      </c>
      <c r="AO184" s="59">
        <f t="shared" si="144"/>
        <v>272.9500808380069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7.5855819097900703</v>
      </c>
      <c r="AV184" s="21">
        <f>EXP(-LN(2)/25)*AV183+(1-EXP(-LN(2)/25))/(LN(2)/25)*Calculateur!AQ184*Calculateur!AS184*VLOOKUP('Données projet'!$B$10,Paramètres!$A$1:$I$89,3,0)*0.475*44/12</f>
        <v>5.0492238729304972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12.634805782720568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266.99999999999983</v>
      </c>
      <c r="BE184" s="13">
        <f>BD184*VLOOKUP('Données projet'!$B$11,Paramètres!$A$1:$I$89,3,0)*VLOOKUP('Données projet'!$B$11,Paramètres!$A$1:$I$89,5,0)</f>
        <v>212.42519999999985</v>
      </c>
      <c r="BF184" s="13">
        <f t="shared" si="167"/>
        <v>52.465198231787184</v>
      </c>
      <c r="BG184" s="20">
        <f t="shared" si="168"/>
        <v>461.35077692036231</v>
      </c>
      <c r="BH184" s="59">
        <f t="shared" si="116"/>
        <v>754.68411025369562</v>
      </c>
      <c r="BI184" s="59">
        <f ca="1">AVERAGE(OFFSET($BH$3,0,0,'Données projet'!$E$11+1,1))-AVERAGE(OFFSET($H$3,0,0,'Données projet'!$E$11+1,1))</f>
        <v>225.2323446080772</v>
      </c>
      <c r="BJ184" s="59">
        <f t="shared" si="146"/>
        <v>222.29030402759292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3.8956062065675052</v>
      </c>
      <c r="BQ184" s="21">
        <f>EXP(-LN(2)/25)*BQ183+(1-EXP(-LN(2)/25))/(LN(2)/25)*Calculateur!BL184*Calculateur!BN184*VLOOKUP('Données projet'!$B$11,Paramètres!$A$1:$I$89,3,0)*0.475*44/12</f>
        <v>0.50632284084870183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4.4019290474162069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278.5296012747549</v>
      </c>
      <c r="T185" s="59">
        <f t="shared" si="142"/>
        <v>370.55343097937077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18.325694900864836</v>
      </c>
      <c r="AA185" s="21">
        <f>EXP(-LN(2)/25)*AA184+(1-EXP(-LN(2)/25))/(LN(2)/25)*Calculateur!V185*Calculateur!X185*VLOOKUP('Données projet'!$B$9,Paramètres!$A$1:$I$89,3,0)*0.475*44/12</f>
        <v>1.7031308294193312</v>
      </c>
      <c r="AB185" s="21">
        <f>EXP(-LN(2)/2)*AB184+(1-EXP(-LN(2)/2))/(LN(2)/2)*V185*Y185*VLOOKUP('Données projet'!$B$9,Paramètres!$A$1:$I$89,3,0)*0.475*44/12</f>
        <v>2.6189651267412521E-18</v>
      </c>
      <c r="AC185" s="22">
        <f t="shared" si="163"/>
        <v>20.028825730284169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179.44051550872138</v>
      </c>
      <c r="AO185" s="59">
        <f t="shared" si="144"/>
        <v>272.9500808380069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7.4368332752871984</v>
      </c>
      <c r="AV185" s="21">
        <f>EXP(-LN(2)/25)*AV184+(1-EXP(-LN(2)/25))/(LN(2)/25)*Calculateur!AQ185*Calculateur!AS185*VLOOKUP('Données projet'!$B$10,Paramètres!$A$1:$I$89,3,0)*0.475*44/12</f>
        <v>4.9111525805980696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12.347985855885268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266.99999999999983</v>
      </c>
      <c r="BE185" s="13">
        <f>BD185*VLOOKUP('Données projet'!$B$11,Paramètres!$A$1:$I$89,3,0)*VLOOKUP('Données projet'!$B$11,Paramètres!$A$1:$I$89,5,0)</f>
        <v>212.42519999999985</v>
      </c>
      <c r="BF185" s="13">
        <f t="shared" si="167"/>
        <v>52.465198231787184</v>
      </c>
      <c r="BG185" s="20">
        <f t="shared" si="168"/>
        <v>461.35077692036231</v>
      </c>
      <c r="BH185" s="59">
        <f t="shared" si="116"/>
        <v>754.68411025369562</v>
      </c>
      <c r="BI185" s="59">
        <f ca="1">AVERAGE(OFFSET($BH$3,0,0,'Données projet'!$E$11+1,1))-AVERAGE(OFFSET($H$3,0,0,'Données projet'!$E$11+1,1))</f>
        <v>225.2323446080772</v>
      </c>
      <c r="BJ185" s="59">
        <f t="shared" si="146"/>
        <v>222.29030402759292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3.8192157449418835</v>
      </c>
      <c r="BQ185" s="21">
        <f>EXP(-LN(2)/25)*BQ184+(1-EXP(-LN(2)/25))/(LN(2)/25)*Calculateur!BL185*Calculateur!BN185*VLOOKUP('Données projet'!$B$11,Paramètres!$A$1:$I$89,3,0)*0.475*44/12</f>
        <v>0.4924774161393331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4.3116931610812168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278.5296012747549</v>
      </c>
      <c r="T186" s="59">
        <f t="shared" si="142"/>
        <v>370.55343097937077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17.966339201429072</v>
      </c>
      <c r="AA186" s="21">
        <f>EXP(-LN(2)/25)*AA185+(1-EXP(-LN(2)/25))/(LN(2)/25)*Calculateur!V186*Calculateur!X186*VLOOKUP('Données projet'!$B$9,Paramètres!$A$1:$I$89,3,0)*0.475*44/12</f>
        <v>1.6565586273251018</v>
      </c>
      <c r="AB186" s="21">
        <f>EXP(-LN(2)/2)*AB185+(1-EXP(-LN(2)/2))/(LN(2)/2)*V186*Y186*VLOOKUP('Données projet'!$B$9,Paramètres!$A$1:$I$89,3,0)*0.475*44/12</f>
        <v>1.8518880008098253E-18</v>
      </c>
      <c r="AC186" s="22">
        <f t="shared" si="163"/>
        <v>19.622897828754173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179.44051550872138</v>
      </c>
      <c r="AO186" s="59">
        <f t="shared" si="144"/>
        <v>272.9500808380069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7.2910015107792194</v>
      </c>
      <c r="AV186" s="21">
        <f>EXP(-LN(2)/25)*AV185+(1-EXP(-LN(2)/25))/(LN(2)/25)*Calculateur!AQ186*Calculateur!AS186*VLOOKUP('Données projet'!$B$10,Paramètres!$A$1:$I$89,3,0)*0.475*44/12</f>
        <v>4.7768568550153256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12.067858365794546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266.99999999999983</v>
      </c>
      <c r="BE186" s="13">
        <f>BD186*VLOOKUP('Données projet'!$B$11,Paramètres!$A$1:$I$89,3,0)*VLOOKUP('Données projet'!$B$11,Paramètres!$A$1:$I$89,5,0)</f>
        <v>212.42519999999985</v>
      </c>
      <c r="BF186" s="13">
        <f t="shared" si="167"/>
        <v>52.465198231787184</v>
      </c>
      <c r="BG186" s="20">
        <f t="shared" si="168"/>
        <v>461.35077692036231</v>
      </c>
      <c r="BH186" s="59">
        <f t="shared" si="116"/>
        <v>754.68411025369562</v>
      </c>
      <c r="BI186" s="59">
        <f ca="1">AVERAGE(OFFSET($BH$3,0,0,'Données projet'!$E$11+1,1))-AVERAGE(OFFSET($H$3,0,0,'Données projet'!$E$11+1,1))</f>
        <v>225.2323446080772</v>
      </c>
      <c r="BJ186" s="59">
        <f t="shared" si="146"/>
        <v>222.29030402759292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3.7443232536751596</v>
      </c>
      <c r="BQ186" s="21">
        <f>EXP(-LN(2)/25)*BQ185+(1-EXP(-LN(2)/25))/(LN(2)/25)*Calculateur!BL186*Calculateur!BN186*VLOOKUP('Données projet'!$B$11,Paramètres!$A$1:$I$89,3,0)*0.475*44/12</f>
        <v>0.47901059529674128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4.223333848971901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278.5296012747549</v>
      </c>
      <c r="T187" s="59">
        <f t="shared" si="142"/>
        <v>370.55343097937077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17.614030248073909</v>
      </c>
      <c r="AA187" s="21">
        <f>EXP(-LN(2)/25)*AA186+(1-EXP(-LN(2)/25))/(LN(2)/25)*Calculateur!V187*Calculateur!X187*VLOOKUP('Données projet'!$B$9,Paramètres!$A$1:$I$89,3,0)*0.475*44/12</f>
        <v>1.6112599445462648</v>
      </c>
      <c r="AB187" s="21">
        <f>EXP(-LN(2)/2)*AB186+(1-EXP(-LN(2)/2))/(LN(2)/2)*V187*Y187*VLOOKUP('Données projet'!$B$9,Paramètres!$A$1:$I$89,3,0)*0.475*44/12</f>
        <v>1.3094825633706261E-18</v>
      </c>
      <c r="AC187" s="22">
        <f t="shared" si="163"/>
        <v>19.225290192620175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179.44051550872138</v>
      </c>
      <c r="AO187" s="59">
        <f t="shared" si="144"/>
        <v>272.9500808380069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7.1480294182246489</v>
      </c>
      <c r="AV187" s="21">
        <f>EXP(-LN(2)/25)*AV186+(1-EXP(-LN(2)/25))/(LN(2)/25)*Calculateur!AQ187*Calculateur!AS187*VLOOKUP('Données projet'!$B$10,Paramètres!$A$1:$I$89,3,0)*0.475*44/12</f>
        <v>4.6462334531109475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11.794262871335597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266.99999999999983</v>
      </c>
      <c r="BE187" s="13">
        <f>BD187*VLOOKUP('Données projet'!$B$11,Paramètres!$A$1:$I$89,3,0)*VLOOKUP('Données projet'!$B$11,Paramètres!$A$1:$I$89,5,0)</f>
        <v>212.42519999999985</v>
      </c>
      <c r="BF187" s="13">
        <f t="shared" si="167"/>
        <v>52.465198231787184</v>
      </c>
      <c r="BG187" s="20">
        <f t="shared" si="168"/>
        <v>461.35077692036231</v>
      </c>
      <c r="BH187" s="59">
        <f t="shared" si="116"/>
        <v>754.68411025369562</v>
      </c>
      <c r="BI187" s="59">
        <f ca="1">AVERAGE(OFFSET($BH$3,0,0,'Données projet'!$E$11+1,1))-AVERAGE(OFFSET($H$3,0,0,'Données projet'!$E$11+1,1))</f>
        <v>225.2323446080772</v>
      </c>
      <c r="BJ187" s="59">
        <f t="shared" si="146"/>
        <v>222.29030402759292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3.6708993584822669</v>
      </c>
      <c r="BQ187" s="21">
        <f>EXP(-LN(2)/25)*BQ186+(1-EXP(-LN(2)/25))/(LN(2)/25)*Calculateur!BL187*Calculateur!BN187*VLOOKUP('Données projet'!$B$11,Paramètres!$A$1:$I$89,3,0)*0.475*44/12</f>
        <v>0.46591202537827947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4.1368113838605467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278.5296012747549</v>
      </c>
      <c r="T188" s="59">
        <f t="shared" si="142"/>
        <v>370.55343097937077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17.268629858406801</v>
      </c>
      <c r="AA188" s="21">
        <f>EXP(-LN(2)/25)*AA187+(1-EXP(-LN(2)/25))/(LN(2)/25)*Calculateur!V188*Calculateur!X188*VLOOKUP('Données projet'!$B$9,Paramètres!$A$1:$I$89,3,0)*0.475*44/12</f>
        <v>1.5671999566301693</v>
      </c>
      <c r="AB188" s="21">
        <f>EXP(-LN(2)/2)*AB187+(1-EXP(-LN(2)/2))/(LN(2)/2)*V188*Y188*VLOOKUP('Données projet'!$B$9,Paramètres!$A$1:$I$89,3,0)*0.475*44/12</f>
        <v>9.2594400040491263E-19</v>
      </c>
      <c r="AC188" s="22">
        <f t="shared" si="163"/>
        <v>18.83582981503697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179.44051550872138</v>
      </c>
      <c r="AO188" s="59">
        <f t="shared" si="144"/>
        <v>272.9500808380069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7.0078609212007077</v>
      </c>
      <c r="AV188" s="21">
        <f>EXP(-LN(2)/25)*AV187+(1-EXP(-LN(2)/25))/(LN(2)/25)*Calculateur!AQ188*Calculateur!AS188*VLOOKUP('Données projet'!$B$10,Paramètres!$A$1:$I$89,3,0)*0.475*44/12</f>
        <v>4.5191819550008301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11.527042876201538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266.99999999999983</v>
      </c>
      <c r="BE188" s="13">
        <f>BD188*VLOOKUP('Données projet'!$B$11,Paramètres!$A$1:$I$89,3,0)*VLOOKUP('Données projet'!$B$11,Paramètres!$A$1:$I$89,5,0)</f>
        <v>212.42519999999985</v>
      </c>
      <c r="BF188" s="13">
        <f t="shared" si="167"/>
        <v>52.465198231787184</v>
      </c>
      <c r="BG188" s="20">
        <f t="shared" si="168"/>
        <v>461.35077692036231</v>
      </c>
      <c r="BH188" s="59">
        <f t="shared" si="116"/>
        <v>754.68411025369562</v>
      </c>
      <c r="BI188" s="59">
        <f ca="1">AVERAGE(OFFSET($BH$3,0,0,'Données projet'!$E$11+1,1))-AVERAGE(OFFSET($H$3,0,0,'Données projet'!$E$11+1,1))</f>
        <v>225.2323446080772</v>
      </c>
      <c r="BJ188" s="59">
        <f t="shared" si="146"/>
        <v>222.29030402759292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3.5989152610899526</v>
      </c>
      <c r="BQ188" s="21">
        <f>EXP(-LN(2)/25)*BQ187+(1-EXP(-LN(2)/25))/(LN(2)/25)*Calculateur!BL188*Calculateur!BN188*VLOOKUP('Données projet'!$B$11,Paramètres!$A$1:$I$89,3,0)*0.475*44/12</f>
        <v>0.45317163654306186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4.0520868976330142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278.5296012747549</v>
      </c>
      <c r="T189" s="59">
        <f t="shared" si="142"/>
        <v>370.55343097937077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16.930002559707628</v>
      </c>
      <c r="AA189" s="21">
        <f>EXP(-LN(2)/25)*AA188+(1-EXP(-LN(2)/25))/(LN(2)/25)*Calculateur!V189*Calculateur!X189*VLOOKUP('Données projet'!$B$9,Paramètres!$A$1:$I$89,3,0)*0.475*44/12</f>
        <v>1.5243447914006536</v>
      </c>
      <c r="AB189" s="21">
        <f>EXP(-LN(2)/2)*AB188+(1-EXP(-LN(2)/2))/(LN(2)/2)*V189*Y189*VLOOKUP('Données projet'!$B$9,Paramètres!$A$1:$I$89,3,0)*0.475*44/12</f>
        <v>6.5474128168531303E-19</v>
      </c>
      <c r="AC189" s="22">
        <f t="shared" si="163"/>
        <v>18.454347351108282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179.44051550872138</v>
      </c>
      <c r="AO189" s="59">
        <f t="shared" si="144"/>
        <v>272.9500808380069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6.8704410429090643</v>
      </c>
      <c r="AV189" s="21">
        <f>EXP(-LN(2)/25)*AV188+(1-EXP(-LN(2)/25))/(LN(2)/25)*Calculateur!AQ189*Calculateur!AS189*VLOOKUP('Données projet'!$B$10,Paramètres!$A$1:$I$89,3,0)*0.475*44/12</f>
        <v>4.3956046867878822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11.266045729696947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266.99999999999983</v>
      </c>
      <c r="BE189" s="13">
        <f>BD189*VLOOKUP('Données projet'!$B$11,Paramètres!$A$1:$I$89,3,0)*VLOOKUP('Données projet'!$B$11,Paramètres!$A$1:$I$89,5,0)</f>
        <v>212.42519999999985</v>
      </c>
      <c r="BF189" s="13">
        <f t="shared" si="167"/>
        <v>52.465198231787184</v>
      </c>
      <c r="BG189" s="20">
        <f t="shared" si="168"/>
        <v>461.35077692036231</v>
      </c>
      <c r="BH189" s="59">
        <f t="shared" si="116"/>
        <v>754.68411025369562</v>
      </c>
      <c r="BI189" s="59">
        <f ca="1">AVERAGE(OFFSET($BH$3,0,0,'Données projet'!$E$11+1,1))-AVERAGE(OFFSET($H$3,0,0,'Données projet'!$E$11+1,1))</f>
        <v>225.2323446080772</v>
      </c>
      <c r="BJ189" s="59">
        <f t="shared" si="146"/>
        <v>222.29030402759292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3.5283427279415376</v>
      </c>
      <c r="BQ189" s="21">
        <f>EXP(-LN(2)/25)*BQ188+(1-EXP(-LN(2)/25))/(LN(2)/25)*Calculateur!BL189*Calculateur!BN189*VLOOKUP('Données projet'!$B$11,Paramètres!$A$1:$I$89,3,0)*0.475*44/12</f>
        <v>0.44077963431053119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3.9691223622520688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278.5296012747549</v>
      </c>
      <c r="T190" s="59">
        <f t="shared" si="142"/>
        <v>370.55343097937077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16.598015535793689</v>
      </c>
      <c r="AA190" s="21">
        <f>EXP(-LN(2)/25)*AA189+(1-EXP(-LN(2)/25))/(LN(2)/25)*Calculateur!V190*Calculateur!X190*VLOOKUP('Données projet'!$B$9,Paramètres!$A$1:$I$89,3,0)*0.475*44/12</f>
        <v>1.4826615029179941</v>
      </c>
      <c r="AB190" s="21">
        <f>EXP(-LN(2)/2)*AB189+(1-EXP(-LN(2)/2))/(LN(2)/2)*V190*Y190*VLOOKUP('Données projet'!$B$9,Paramètres!$A$1:$I$89,3,0)*0.475*44/12</f>
        <v>4.6297200020245631E-19</v>
      </c>
      <c r="AC190" s="22">
        <f t="shared" si="163"/>
        <v>18.080677038711684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179.44051550872138</v>
      </c>
      <c r="AO190" s="59">
        <f t="shared" si="144"/>
        <v>272.9500808380069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6.7357158846128709</v>
      </c>
      <c r="AV190" s="21">
        <f>EXP(-LN(2)/25)*AV189+(1-EXP(-LN(2)/25))/(LN(2)/25)*Calculateur!AQ190*Calculateur!AS190*VLOOKUP('Données projet'!$B$10,Paramètres!$A$1:$I$89,3,0)*0.475*44/12</f>
        <v>4.275406645472863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11.011122530085734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266.99999999999983</v>
      </c>
      <c r="BE190" s="13">
        <f>BD190*VLOOKUP('Données projet'!$B$11,Paramètres!$A$1:$I$89,3,0)*VLOOKUP('Données projet'!$B$11,Paramètres!$A$1:$I$89,5,0)</f>
        <v>212.42519999999985</v>
      </c>
      <c r="BF190" s="13">
        <f t="shared" si="167"/>
        <v>52.465198231787184</v>
      </c>
      <c r="BG190" s="20">
        <f t="shared" si="168"/>
        <v>461.35077692036231</v>
      </c>
      <c r="BH190" s="59">
        <f t="shared" si="116"/>
        <v>754.68411025369562</v>
      </c>
      <c r="BI190" s="59">
        <f ca="1">AVERAGE(OFFSET($BH$3,0,0,'Données projet'!$E$11+1,1))-AVERAGE(OFFSET($H$3,0,0,'Données projet'!$E$11+1,1))</f>
        <v>225.2323446080772</v>
      </c>
      <c r="BJ190" s="59">
        <f t="shared" si="146"/>
        <v>222.29030402759292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3.4591540791231683</v>
      </c>
      <c r="BQ190" s="21">
        <f>EXP(-LN(2)/25)*BQ189+(1-EXP(-LN(2)/25))/(LN(2)/25)*Calculateur!BL190*Calculateur!BN190*VLOOKUP('Données projet'!$B$11,Paramètres!$A$1:$I$89,3,0)*0.475*44/12</f>
        <v>0.42872649203071617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3.8878805711538846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278.5296012747549</v>
      </c>
      <c r="T191" s="59">
        <f t="shared" si="142"/>
        <v>370.55343097937077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16.27253857492661</v>
      </c>
      <c r="AA191" s="21">
        <f>EXP(-LN(2)/25)*AA190+(1-EXP(-LN(2)/25))/(LN(2)/25)*Calculateur!V191*Calculateur!X191*VLOOKUP('Données projet'!$B$9,Paramètres!$A$1:$I$89,3,0)*0.475*44/12</f>
        <v>1.4421180461509218</v>
      </c>
      <c r="AB191" s="21">
        <f>EXP(-LN(2)/2)*AB190+(1-EXP(-LN(2)/2))/(LN(2)/2)*V191*Y191*VLOOKUP('Données projet'!$B$9,Paramètres!$A$1:$I$89,3,0)*0.475*44/12</f>
        <v>3.2737064084265651E-19</v>
      </c>
      <c r="AC191" s="22">
        <f t="shared" si="163"/>
        <v>17.71465662107753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179.44051550872138</v>
      </c>
      <c r="AO191" s="59">
        <f t="shared" si="144"/>
        <v>272.9500808380069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6.6036326044966334</v>
      </c>
      <c r="AV191" s="21">
        <f>EXP(-LN(2)/25)*AV190+(1-EXP(-LN(2)/25))/(LN(2)/25)*Calculateur!AQ191*Calculateur!AS191*VLOOKUP('Données projet'!$B$10,Paramètres!$A$1:$I$89,3,0)*0.475*44/12</f>
        <v>4.1584954259185434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10.762128030415177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266.99999999999983</v>
      </c>
      <c r="BE191" s="13">
        <f>BD191*VLOOKUP('Données projet'!$B$11,Paramètres!$A$1:$I$89,3,0)*VLOOKUP('Données projet'!$B$11,Paramètres!$A$1:$I$89,5,0)</f>
        <v>212.42519999999985</v>
      </c>
      <c r="BF191" s="13">
        <f t="shared" si="167"/>
        <v>52.465198231787184</v>
      </c>
      <c r="BG191" s="20">
        <f t="shared" si="168"/>
        <v>461.35077692036231</v>
      </c>
      <c r="BH191" s="59">
        <f t="shared" si="116"/>
        <v>754.68411025369562</v>
      </c>
      <c r="BI191" s="59">
        <f ca="1">AVERAGE(OFFSET($BH$3,0,0,'Données projet'!$E$11+1,1))-AVERAGE(OFFSET($H$3,0,0,'Données projet'!$E$11+1,1))</f>
        <v>225.2323446080772</v>
      </c>
      <c r="BJ191" s="59">
        <f t="shared" si="146"/>
        <v>222.29030402759292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3.3913221775072184</v>
      </c>
      <c r="BQ191" s="21">
        <f>EXP(-LN(2)/25)*BQ190+(1-EXP(-LN(2)/25))/(LN(2)/25)*Calculateur!BL191*Calculateur!BN191*VLOOKUP('Données projet'!$B$11,Paramètres!$A$1:$I$89,3,0)*0.475*44/12</f>
        <v>0.41700294356038986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3.8083251210676083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278.5296012747549</v>
      </c>
      <c r="T192" s="59">
        <f t="shared" si="142"/>
        <v>370.55343097937077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15.953444018740791</v>
      </c>
      <c r="AA192" s="21">
        <f>EXP(-LN(2)/25)*AA191+(1-EXP(-LN(2)/25))/(LN(2)/25)*Calculateur!V192*Calculateur!X192*VLOOKUP('Données projet'!$B$9,Paramètres!$A$1:$I$89,3,0)*0.475*44/12</f>
        <v>1.4026832523412327</v>
      </c>
      <c r="AB192" s="21">
        <f>EXP(-LN(2)/2)*AB191+(1-EXP(-LN(2)/2))/(LN(2)/2)*V192*Y192*VLOOKUP('Données projet'!$B$9,Paramètres!$A$1:$I$89,3,0)*0.475*44/12</f>
        <v>2.3148600010122816E-19</v>
      </c>
      <c r="AC192" s="22">
        <f t="shared" si="163"/>
        <v>17.356127271082023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179.44051550872138</v>
      </c>
      <c r="AO192" s="59">
        <f t="shared" si="144"/>
        <v>272.9500808380069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6.4741393969406289</v>
      </c>
      <c r="AV192" s="21">
        <f>EXP(-LN(2)/25)*AV191+(1-EXP(-LN(2)/25))/(LN(2)/25)*Calculateur!AQ192*Calculateur!AS192*VLOOKUP('Données projet'!$B$10,Paramètres!$A$1:$I$89,3,0)*0.475*44/12</f>
        <v>4.0447811498110307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10.518920546751659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266.99999999999983</v>
      </c>
      <c r="BE192" s="13">
        <f>BD192*VLOOKUP('Données projet'!$B$11,Paramètres!$A$1:$I$89,3,0)*VLOOKUP('Données projet'!$B$11,Paramètres!$A$1:$I$89,5,0)</f>
        <v>212.42519999999985</v>
      </c>
      <c r="BF192" s="13">
        <f t="shared" si="167"/>
        <v>52.465198231787184</v>
      </c>
      <c r="BG192" s="20">
        <f t="shared" si="168"/>
        <v>461.35077692036231</v>
      </c>
      <c r="BH192" s="59">
        <f t="shared" si="116"/>
        <v>754.68411025369562</v>
      </c>
      <c r="BI192" s="59">
        <f ca="1">AVERAGE(OFFSET($BH$3,0,0,'Données projet'!$E$11+1,1))-AVERAGE(OFFSET($H$3,0,0,'Données projet'!$E$11+1,1))</f>
        <v>225.2323446080772</v>
      </c>
      <c r="BJ192" s="59">
        <f t="shared" si="146"/>
        <v>222.29030402759292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3.3248204181085823</v>
      </c>
      <c r="BQ192" s="21">
        <f>EXP(-LN(2)/25)*BQ191+(1-EXP(-LN(2)/25))/(LN(2)/25)*Calculateur!BL192*Calculateur!BN192*VLOOKUP('Données projet'!$B$11,Paramètres!$A$1:$I$89,3,0)*0.475*44/12</f>
        <v>0.40559997613949927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3.7304203942480818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278.5296012747549</v>
      </c>
      <c r="T193" s="59">
        <f t="shared" si="142"/>
        <v>370.55343097937077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15.640606712173314</v>
      </c>
      <c r="AA193" s="21">
        <f>EXP(-LN(2)/25)*AA192+(1-EXP(-LN(2)/25))/(LN(2)/25)*Calculateur!V193*Calculateur!X193*VLOOKUP('Données projet'!$B$9,Paramètres!$A$1:$I$89,3,0)*0.475*44/12</f>
        <v>1.3643268050420554</v>
      </c>
      <c r="AB193" s="21">
        <f>EXP(-LN(2)/2)*AB192+(1-EXP(-LN(2)/2))/(LN(2)/2)*V193*Y193*VLOOKUP('Données projet'!$B$9,Paramètres!$A$1:$I$89,3,0)*0.475*44/12</f>
        <v>1.6368532042132826E-19</v>
      </c>
      <c r="AC193" s="22">
        <f t="shared" si="163"/>
        <v>17.00493351721537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179.44051550872138</v>
      </c>
      <c r="AO193" s="59">
        <f t="shared" si="144"/>
        <v>272.9500808380069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6.3471854722017405</v>
      </c>
      <c r="AV193" s="21">
        <f>EXP(-LN(2)/25)*AV192+(1-EXP(-LN(2)/25))/(LN(2)/25)*Calculateur!AQ193*Calculateur!AS193*VLOOKUP('Données projet'!$B$10,Paramètres!$A$1:$I$89,3,0)*0.475*44/12</f>
        <v>3.934176396563652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10.281361868765392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266.99999999999983</v>
      </c>
      <c r="BE193" s="13">
        <f>BD193*VLOOKUP('Données projet'!$B$11,Paramètres!$A$1:$I$89,3,0)*VLOOKUP('Données projet'!$B$11,Paramètres!$A$1:$I$89,5,0)</f>
        <v>212.42519999999985</v>
      </c>
      <c r="BF193" s="13">
        <f t="shared" si="167"/>
        <v>52.465198231787184</v>
      </c>
      <c r="BG193" s="20">
        <f t="shared" si="168"/>
        <v>461.35077692036231</v>
      </c>
      <c r="BH193" s="59">
        <f t="shared" si="116"/>
        <v>754.68411025369562</v>
      </c>
      <c r="BI193" s="59">
        <f ca="1">AVERAGE(OFFSET($BH$3,0,0,'Données projet'!$E$11+1,1))-AVERAGE(OFFSET($H$3,0,0,'Données projet'!$E$11+1,1))</f>
        <v>225.2323446080772</v>
      </c>
      <c r="BJ193" s="59">
        <f t="shared" si="146"/>
        <v>222.29030402759292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3.2596227176496857</v>
      </c>
      <c r="BQ193" s="21">
        <f>EXP(-LN(2)/25)*BQ192+(1-EXP(-LN(2)/25))/(LN(2)/25)*Calculateur!BL193*Calculateur!BN193*VLOOKUP('Données projet'!$B$11,Paramètres!$A$1:$I$89,3,0)*0.475*44/12</f>
        <v>0.39450882346238891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3.6541315411120747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278.5296012747549</v>
      </c>
      <c r="T194" s="59">
        <f t="shared" si="142"/>
        <v>370.55343097937077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15.33390395437571</v>
      </c>
      <c r="AA194" s="21">
        <f>EXP(-LN(2)/25)*AA193+(1-EXP(-LN(2)/25))/(LN(2)/25)*Calculateur!V194*Calculateur!X194*VLOOKUP('Données projet'!$B$9,Paramètres!$A$1:$I$89,3,0)*0.475*44/12</f>
        <v>1.3270192168113519</v>
      </c>
      <c r="AB194" s="21">
        <f>EXP(-LN(2)/2)*AB193+(1-EXP(-LN(2)/2))/(LN(2)/2)*V194*Y194*VLOOKUP('Données projet'!$B$9,Paramètres!$A$1:$I$89,3,0)*0.475*44/12</f>
        <v>1.1574300005061408E-19</v>
      </c>
      <c r="AC194" s="22">
        <f t="shared" si="163"/>
        <v>16.660923171187061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179.44051550872138</v>
      </c>
      <c r="AO194" s="59">
        <f t="shared" si="144"/>
        <v>272.9500808380069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6.2227210364927332</v>
      </c>
      <c r="AV194" s="21">
        <f>EXP(-LN(2)/25)*AV193+(1-EXP(-LN(2)/25))/(LN(2)/25)*Calculateur!AQ194*Calculateur!AS194*VLOOKUP('Données projet'!$B$10,Paramètres!$A$1:$I$89,3,0)*0.475*44/12</f>
        <v>3.826596136110274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10.049317172603008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266.99999999999983</v>
      </c>
      <c r="BE194" s="13">
        <f>BD194*VLOOKUP('Données projet'!$B$11,Paramètres!$A$1:$I$89,3,0)*VLOOKUP('Données projet'!$B$11,Paramètres!$A$1:$I$89,5,0)</f>
        <v>212.42519999999985</v>
      </c>
      <c r="BF194" s="13">
        <f t="shared" si="167"/>
        <v>52.465198231787184</v>
      </c>
      <c r="BG194" s="20">
        <f t="shared" si="168"/>
        <v>461.35077692036231</v>
      </c>
      <c r="BH194" s="59">
        <f t="shared" si="116"/>
        <v>754.68411025369562</v>
      </c>
      <c r="BI194" s="59">
        <f ca="1">AVERAGE(OFFSET($BH$3,0,0,'Données projet'!$E$11+1,1))-AVERAGE(OFFSET($H$3,0,0,'Données projet'!$E$11+1,1))</f>
        <v>225.2323446080772</v>
      </c>
      <c r="BJ194" s="59">
        <f t="shared" si="146"/>
        <v>222.29030402759292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3.1957035043301172</v>
      </c>
      <c r="BQ194" s="21">
        <f>EXP(-LN(2)/25)*BQ193+(1-EXP(-LN(2)/25))/(LN(2)/25)*Calculateur!BL194*Calculateur!BN194*VLOOKUP('Données projet'!$B$11,Paramètres!$A$1:$I$89,3,0)*0.475*44/12</f>
        <v>0.38372095893849251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3.5794244632686096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278.5296012747549</v>
      </c>
      <c r="T195" s="59">
        <f t="shared" si="142"/>
        <v>370.55343097937077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15.033215450588306</v>
      </c>
      <c r="AA195" s="21">
        <f>EXP(-LN(2)/25)*AA194+(1-EXP(-LN(2)/25))/(LN(2)/25)*Calculateur!V195*Calculateur!X195*VLOOKUP('Données projet'!$B$9,Paramètres!$A$1:$I$89,3,0)*0.475*44/12</f>
        <v>1.2907318065427378</v>
      </c>
      <c r="AB195" s="21">
        <f>EXP(-LN(2)/2)*AB194+(1-EXP(-LN(2)/2))/(LN(2)/2)*V195*Y195*VLOOKUP('Données projet'!$B$9,Paramètres!$A$1:$I$89,3,0)*0.475*44/12</f>
        <v>8.1842660210664128E-20</v>
      </c>
      <c r="AC195" s="22">
        <f t="shared" si="163"/>
        <v>16.323947257131046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179.44051550872138</v>
      </c>
      <c r="AO195" s="59">
        <f t="shared" si="144"/>
        <v>272.9500808380069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6.1006972724521695</v>
      </c>
      <c r="AV195" s="21">
        <f>EXP(-LN(2)/25)*AV194+(1-EXP(-LN(2)/25))/(LN(2)/25)*Calculateur!AQ195*Calculateur!AS195*VLOOKUP('Données projet'!$B$10,Paramètres!$A$1:$I$89,3,0)*0.475*44/12</f>
        <v>3.7219576635363936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9.8226549359885631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266.99999999999983</v>
      </c>
      <c r="BE195" s="13">
        <f>BD195*VLOOKUP('Données projet'!$B$11,Paramètres!$A$1:$I$89,3,0)*VLOOKUP('Données projet'!$B$11,Paramètres!$A$1:$I$89,5,0)</f>
        <v>212.42519999999985</v>
      </c>
      <c r="BF195" s="13">
        <f t="shared" si="167"/>
        <v>52.465198231787184</v>
      </c>
      <c r="BG195" s="20">
        <f t="shared" si="168"/>
        <v>461.35077692036231</v>
      </c>
      <c r="BH195" s="59">
        <f t="shared" si="116"/>
        <v>754.68411025369562</v>
      </c>
      <c r="BI195" s="59">
        <f ca="1">AVERAGE(OFFSET($BH$3,0,0,'Données projet'!$E$11+1,1))-AVERAGE(OFFSET($H$3,0,0,'Données projet'!$E$11+1,1))</f>
        <v>225.2323446080772</v>
      </c>
      <c r="BJ195" s="59">
        <f t="shared" si="146"/>
        <v>222.29030402759292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3.1330377077968752</v>
      </c>
      <c r="BQ195" s="21">
        <f>EXP(-LN(2)/25)*BQ194+(1-EXP(-LN(2)/25))/(LN(2)/25)*Calculateur!BL195*Calculateur!BN195*VLOOKUP('Données projet'!$B$11,Paramètres!$A$1:$I$89,3,0)*0.475*44/12</f>
        <v>0.3732280891373112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3.5062657969341862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278.5296012747549</v>
      </c>
      <c r="T196" s="59">
        <f t="shared" si="142"/>
        <v>370.55343097937077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14.738423264958296</v>
      </c>
      <c r="AA196" s="21">
        <f>EXP(-LN(2)/25)*AA195+(1-EXP(-LN(2)/25))/(LN(2)/25)*Calculateur!V196*Calculateur!X196*VLOOKUP('Données projet'!$B$9,Paramètres!$A$1:$I$89,3,0)*0.475*44/12</f>
        <v>1.2554366774161909</v>
      </c>
      <c r="AB196" s="21">
        <f>EXP(-LN(2)/2)*AB195+(1-EXP(-LN(2)/2))/(LN(2)/2)*V196*Y196*VLOOKUP('Données projet'!$B$9,Paramètres!$A$1:$I$89,3,0)*0.475*44/12</f>
        <v>5.7871500025307039E-20</v>
      </c>
      <c r="AC196" s="22">
        <f t="shared" si="163"/>
        <v>15.993859942374486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179.44051550872138</v>
      </c>
      <c r="AO196" s="59">
        <f t="shared" si="144"/>
        <v>272.9500808380069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5.9810663199972947</v>
      </c>
      <c r="AV196" s="21">
        <f>EXP(-LN(2)/25)*AV195+(1-EXP(-LN(2)/25))/(LN(2)/25)*Calculateur!AQ196*Calculateur!AS196*VLOOKUP('Données projet'!$B$10,Paramètres!$A$1:$I$89,3,0)*0.475*44/12</f>
        <v>3.6201805354977439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9.6012468554950381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266.99999999999983</v>
      </c>
      <c r="BE196" s="13">
        <f>BD196*VLOOKUP('Données projet'!$B$11,Paramètres!$A$1:$I$89,3,0)*VLOOKUP('Données projet'!$B$11,Paramètres!$A$1:$I$89,5,0)</f>
        <v>212.42519999999985</v>
      </c>
      <c r="BF196" s="13">
        <f t="shared" si="167"/>
        <v>52.465198231787184</v>
      </c>
      <c r="BG196" s="20">
        <f t="shared" si="168"/>
        <v>461.35077692036231</v>
      </c>
      <c r="BH196" s="59">
        <f t="shared" ref="BH196:BH203" si="194">BG196+(AY196+AZ196)*44/12</f>
        <v>754.68411025369562</v>
      </c>
      <c r="BI196" s="59">
        <f ca="1">AVERAGE(OFFSET($BH$3,0,0,'Données projet'!$E$11+1,1))-AVERAGE(OFFSET($H$3,0,0,'Données projet'!$E$11+1,1))</f>
        <v>225.2323446080772</v>
      </c>
      <c r="BJ196" s="59">
        <f t="shared" si="146"/>
        <v>222.29030402759292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3.0716007493112882</v>
      </c>
      <c r="BQ196" s="21">
        <f>EXP(-LN(2)/25)*BQ195+(1-EXP(-LN(2)/25))/(LN(2)/25)*Calculateur!BL196*Calculateur!BN196*VLOOKUP('Données projet'!$B$11,Paramètres!$A$1:$I$89,3,0)*0.475*44/12</f>
        <v>0.36302214741263922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3.4346228967239276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278.5296012747549</v>
      </c>
      <c r="T197" s="59">
        <f t="shared" ref="T197:T203" si="204">$T$3</f>
        <v>370.55343097937077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14.449411774283011</v>
      </c>
      <c r="AA197" s="21">
        <f>EXP(-LN(2)/25)*AA196+(1-EXP(-LN(2)/25))/(LN(2)/25)*Calculateur!V197*Calculateur!X197*VLOOKUP('Données projet'!$B$9,Paramètres!$A$1:$I$89,3,0)*0.475*44/12</f>
        <v>1.2211066954516996</v>
      </c>
      <c r="AB197" s="21">
        <f>EXP(-LN(2)/2)*AB196+(1-EXP(-LN(2)/2))/(LN(2)/2)*V197*Y197*VLOOKUP('Données projet'!$B$9,Paramètres!$A$1:$I$89,3,0)*0.475*44/12</f>
        <v>4.0921330105332064E-20</v>
      </c>
      <c r="AC197" s="22">
        <f t="shared" si="163"/>
        <v>15.670518469734709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179.44051550872138</v>
      </c>
      <c r="AO197" s="59">
        <f t="shared" ref="AO197:AO203" si="205">$AO$3</f>
        <v>272.9500808380069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5.8637812575523842</v>
      </c>
      <c r="AV197" s="21">
        <f>EXP(-LN(2)/25)*AV196+(1-EXP(-LN(2)/25))/(LN(2)/25)*Calculateur!AQ197*Calculateur!AS197*VLOOKUP('Données projet'!$B$10,Paramètres!$A$1:$I$89,3,0)*0.475*44/12</f>
        <v>3.5211865083775375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9.3849677659299218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266.99999999999983</v>
      </c>
      <c r="BE197" s="13">
        <f>BD197*VLOOKUP('Données projet'!$B$11,Paramètres!$A$1:$I$89,3,0)*VLOOKUP('Données projet'!$B$11,Paramètres!$A$1:$I$89,5,0)</f>
        <v>212.42519999999985</v>
      </c>
      <c r="BF197" s="13">
        <f t="shared" si="167"/>
        <v>52.465198231787184</v>
      </c>
      <c r="BG197" s="20">
        <f t="shared" si="168"/>
        <v>461.35077692036231</v>
      </c>
      <c r="BH197" s="59">
        <f t="shared" si="194"/>
        <v>754.68411025369562</v>
      </c>
      <c r="BI197" s="59">
        <f ca="1">AVERAGE(OFFSET($BH$3,0,0,'Données projet'!$E$11+1,1))-AVERAGE(OFFSET($H$3,0,0,'Données projet'!$E$11+1,1))</f>
        <v>225.2323446080772</v>
      </c>
      <c r="BJ197" s="59">
        <f t="shared" ref="BJ197:BJ203" si="206">$BJ$3</f>
        <v>222.29030402759292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3.0113685321087589</v>
      </c>
      <c r="BQ197" s="21">
        <f>EXP(-LN(2)/25)*BQ196+(1-EXP(-LN(2)/25))/(LN(2)/25)*Calculateur!BL197*Calculateur!BN197*VLOOKUP('Données projet'!$B$11,Paramètres!$A$1:$I$89,3,0)*0.475*44/12</f>
        <v>0.35309528770113557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3.3644638198098944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278.5296012747549</v>
      </c>
      <c r="T198" s="59">
        <f t="shared" si="204"/>
        <v>370.55343097937077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14.166067622660265</v>
      </c>
      <c r="AA198" s="21">
        <f>EXP(-LN(2)/25)*AA197+(1-EXP(-LN(2)/25))/(LN(2)/25)*Calculateur!V198*Calculateur!X198*VLOOKUP('Données projet'!$B$9,Paramètres!$A$1:$I$89,3,0)*0.475*44/12</f>
        <v>1.1877154686493627</v>
      </c>
      <c r="AB198" s="21">
        <f>EXP(-LN(2)/2)*AB197+(1-EXP(-LN(2)/2))/(LN(2)/2)*V198*Y198*VLOOKUP('Données projet'!$B$9,Paramètres!$A$1:$I$89,3,0)*0.475*44/12</f>
        <v>2.893575001265352E-20</v>
      </c>
      <c r="AC198" s="22">
        <f t="shared" si="163"/>
        <v>15.353783091309626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179.44051550872138</v>
      </c>
      <c r="AO198" s="59">
        <f t="shared" si="205"/>
        <v>272.9500808380069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5.7487960836451935</v>
      </c>
      <c r="AV198" s="21">
        <f>EXP(-LN(2)/25)*AV197+(1-EXP(-LN(2)/25))/(LN(2)/25)*Calculateur!AQ198*Calculateur!AS198*VLOOKUP('Données projet'!$B$10,Paramètres!$A$1:$I$89,3,0)*0.475*44/12</f>
        <v>3.4248994781348032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9.1736955617799971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266.99999999999983</v>
      </c>
      <c r="BE198" s="13">
        <f>BD198*VLOOKUP('Données projet'!$B$11,Paramètres!$A$1:$I$89,3,0)*VLOOKUP('Données projet'!$B$11,Paramètres!$A$1:$I$89,5,0)</f>
        <v>212.42519999999985</v>
      </c>
      <c r="BF198" s="13">
        <f t="shared" si="167"/>
        <v>52.465198231787184</v>
      </c>
      <c r="BG198" s="20">
        <f t="shared" si="168"/>
        <v>461.35077692036231</v>
      </c>
      <c r="BH198" s="59">
        <f t="shared" si="194"/>
        <v>754.68411025369562</v>
      </c>
      <c r="BI198" s="59">
        <f ca="1">AVERAGE(OFFSET($BH$3,0,0,'Données projet'!$E$11+1,1))-AVERAGE(OFFSET($H$3,0,0,'Données projet'!$E$11+1,1))</f>
        <v>225.2323446080772</v>
      </c>
      <c r="BJ198" s="59">
        <f t="shared" si="206"/>
        <v>222.29030402759292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2.9523174319475465</v>
      </c>
      <c r="BQ198" s="21">
        <f>EXP(-LN(2)/25)*BQ197+(1-EXP(-LN(2)/25))/(LN(2)/25)*Calculateur!BL198*Calculateur!BN198*VLOOKUP('Données projet'!$B$11,Paramètres!$A$1:$I$89,3,0)*0.475*44/12</f>
        <v>0.34343987849047386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3.2957573104380202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278.5296012747549</v>
      </c>
      <c r="T199" s="59">
        <f t="shared" si="204"/>
        <v>370.55343097937077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13.888279677027974</v>
      </c>
      <c r="AA199" s="21">
        <f>EXP(-LN(2)/25)*AA198+(1-EXP(-LN(2)/25))/(LN(2)/25)*Calculateur!V199*Calculateur!X199*VLOOKUP('Données projet'!$B$9,Paramètres!$A$1:$I$89,3,0)*0.475*44/12</f>
        <v>1.1552373266999039</v>
      </c>
      <c r="AB199" s="21">
        <f>EXP(-LN(2)/2)*AB198+(1-EXP(-LN(2)/2))/(LN(2)/2)*V199*Y199*VLOOKUP('Données projet'!$B$9,Paramètres!$A$1:$I$89,3,0)*0.475*44/12</f>
        <v>2.0460665052666032E-20</v>
      </c>
      <c r="AC199" s="22">
        <f t="shared" si="163"/>
        <v>15.043517003727878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179.44051550872138</v>
      </c>
      <c r="AO199" s="59">
        <f t="shared" si="205"/>
        <v>272.9500808380069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5.6360656988642921</v>
      </c>
      <c r="AV199" s="21">
        <f>EXP(-LN(2)/25)*AV198+(1-EXP(-LN(2)/25))/(LN(2)/25)*Calculateur!AQ199*Calculateur!AS199*VLOOKUP('Données projet'!$B$10,Paramètres!$A$1:$I$89,3,0)*0.475*44/12</f>
        <v>3.3312454217975711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8.9673111206618632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266.99999999999983</v>
      </c>
      <c r="BE199" s="13">
        <f>BD199*VLOOKUP('Données projet'!$B$11,Paramètres!$A$1:$I$89,3,0)*VLOOKUP('Données projet'!$B$11,Paramètres!$A$1:$I$89,5,0)</f>
        <v>212.42519999999985</v>
      </c>
      <c r="BF199" s="13">
        <f t="shared" si="167"/>
        <v>52.465198231787184</v>
      </c>
      <c r="BG199" s="20">
        <f t="shared" si="168"/>
        <v>461.35077692036231</v>
      </c>
      <c r="BH199" s="59">
        <f t="shared" si="194"/>
        <v>754.68411025369562</v>
      </c>
      <c r="BI199" s="59">
        <f ca="1">AVERAGE(OFFSET($BH$3,0,0,'Données projet'!$E$11+1,1))-AVERAGE(OFFSET($H$3,0,0,'Données projet'!$E$11+1,1))</f>
        <v>225.2323446080772</v>
      </c>
      <c r="BJ199" s="59">
        <f t="shared" si="206"/>
        <v>222.29030402759292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2.8944242878428805</v>
      </c>
      <c r="BQ199" s="21">
        <f>EXP(-LN(2)/25)*BQ198+(1-EXP(-LN(2)/25))/(LN(2)/25)*Calculateur!BL199*Calculateur!BN199*VLOOKUP('Données projet'!$B$11,Paramètres!$A$1:$I$89,3,0)*0.475*44/12</f>
        <v>0.3340484969524336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3.2284727847953141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278.5296012747549</v>
      </c>
      <c r="T200" s="59">
        <f t="shared" si="204"/>
        <v>370.55343097937077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13.615938983575615</v>
      </c>
      <c r="AA200" s="21">
        <f>EXP(-LN(2)/25)*AA199+(1-EXP(-LN(2)/25))/(LN(2)/25)*Calculateur!V200*Calculateur!X200*VLOOKUP('Données projet'!$B$9,Paramètres!$A$1:$I$89,3,0)*0.475*44/12</f>
        <v>1.1236473012500043</v>
      </c>
      <c r="AB200" s="21">
        <f>EXP(-LN(2)/2)*AB199+(1-EXP(-LN(2)/2))/(LN(2)/2)*V200*Y200*VLOOKUP('Données projet'!$B$9,Paramètres!$A$1:$I$89,3,0)*0.475*44/12</f>
        <v>1.446787500632676E-20</v>
      </c>
      <c r="AC200" s="22">
        <f t="shared" si="163"/>
        <v>14.73958628482562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179.44051550872138</v>
      </c>
      <c r="AO200" s="59">
        <f t="shared" si="205"/>
        <v>272.9500808380069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5.5255458881701989</v>
      </c>
      <c r="AV200" s="21">
        <f>EXP(-LN(2)/25)*AV199+(1-EXP(-LN(2)/25))/(LN(2)/25)*Calculateur!AQ200*Calculateur!AS200*VLOOKUP('Données projet'!$B$10,Paramètres!$A$1:$I$89,3,0)*0.475*44/12</f>
        <v>3.2401523405559334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8.7656982287261318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266.99999999999983</v>
      </c>
      <c r="BE200" s="13">
        <f>BD200*VLOOKUP('Données projet'!$B$11,Paramètres!$A$1:$I$89,3,0)*VLOOKUP('Données projet'!$B$11,Paramètres!$A$1:$I$89,5,0)</f>
        <v>212.42519999999985</v>
      </c>
      <c r="BF200" s="13">
        <f t="shared" si="167"/>
        <v>52.465198231787184</v>
      </c>
      <c r="BG200" s="20">
        <f t="shared" si="168"/>
        <v>461.35077692036231</v>
      </c>
      <c r="BH200" s="59">
        <f t="shared" si="194"/>
        <v>754.68411025369562</v>
      </c>
      <c r="BI200" s="59">
        <f ca="1">AVERAGE(OFFSET($BH$3,0,0,'Données projet'!$E$11+1,1))-AVERAGE(OFFSET($H$3,0,0,'Données projet'!$E$11+1,1))</f>
        <v>225.2323446080772</v>
      </c>
      <c r="BJ200" s="59">
        <f t="shared" si="206"/>
        <v>222.29030402759292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2.8376663929827761</v>
      </c>
      <c r="BQ200" s="21">
        <f>EXP(-LN(2)/25)*BQ199+(1-EXP(-LN(2)/25))/(LN(2)/25)*Calculateur!BL200*Calculateur!BN200*VLOOKUP('Données projet'!$B$11,Paramètres!$A$1:$I$89,3,0)*0.475*44/12</f>
        <v>0.32491392323642232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3.1625803162191986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278.5296012747549</v>
      </c>
      <c r="T201" s="59">
        <f t="shared" si="204"/>
        <v>370.55343097937077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13.348938725010436</v>
      </c>
      <c r="AA201" s="21">
        <f>EXP(-LN(2)/25)*AA200+(1-EXP(-LN(2)/25))/(LN(2)/25)*Calculateur!V201*Calculateur!X201*VLOOKUP('Données projet'!$B$9,Paramètres!$A$1:$I$89,3,0)*0.475*44/12</f>
        <v>1.0929211067072795</v>
      </c>
      <c r="AB201" s="21">
        <f>EXP(-LN(2)/2)*AB200+(1-EXP(-LN(2)/2))/(LN(2)/2)*V201*Y201*VLOOKUP('Données projet'!$B$9,Paramètres!$A$1:$I$89,3,0)*0.475*44/12</f>
        <v>1.0230332526333016E-20</v>
      </c>
      <c r="AC201" s="22">
        <f t="shared" si="163"/>
        <v>14.441859831717716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179.44051550872138</v>
      </c>
      <c r="AO201" s="59">
        <f t="shared" si="205"/>
        <v>272.9500808380069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5.4171933035533888</v>
      </c>
      <c r="AV201" s="21">
        <f>EXP(-LN(2)/25)*AV200+(1-EXP(-LN(2)/25))/(LN(2)/25)*Calculateur!AQ201*Calculateur!AS201*VLOOKUP('Données projet'!$B$10,Paramètres!$A$1:$I$89,3,0)*0.475*44/12</f>
        <v>3.1515502044112251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8.5687435079646139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266.99999999999983</v>
      </c>
      <c r="BE201" s="13">
        <f>BD201*VLOOKUP('Données projet'!$B$11,Paramètres!$A$1:$I$89,3,0)*VLOOKUP('Données projet'!$B$11,Paramètres!$A$1:$I$89,5,0)</f>
        <v>212.42519999999985</v>
      </c>
      <c r="BF201" s="13">
        <f t="shared" si="167"/>
        <v>52.465198231787184</v>
      </c>
      <c r="BG201" s="20">
        <f t="shared" si="168"/>
        <v>461.35077692036231</v>
      </c>
      <c r="BH201" s="59">
        <f t="shared" si="194"/>
        <v>754.68411025369562</v>
      </c>
      <c r="BI201" s="59">
        <f ca="1">AVERAGE(OFFSET($BH$3,0,0,'Données projet'!$E$11+1,1))-AVERAGE(OFFSET($H$3,0,0,'Données projet'!$E$11+1,1))</f>
        <v>225.2323446080772</v>
      </c>
      <c r="BJ201" s="59">
        <f t="shared" si="206"/>
        <v>222.29030402759292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2.7820214858219807</v>
      </c>
      <c r="BQ201" s="21">
        <f>EXP(-LN(2)/25)*BQ200+(1-EXP(-LN(2)/25))/(LN(2)/25)*Calculateur!BL201*Calculateur!BN201*VLOOKUP('Données projet'!$B$11,Paramètres!$A$1:$I$89,3,0)*0.475*44/12</f>
        <v>0.31602913491904172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3.0980506207410223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278.5296012747549</v>
      </c>
      <c r="T202" s="59">
        <f t="shared" si="204"/>
        <v>370.55343097937077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13.087174178661643</v>
      </c>
      <c r="AA202" s="21">
        <f>EXP(-LN(2)/25)*AA201+(1-EXP(-LN(2)/25))/(LN(2)/25)*Calculateur!V202*Calculateur!X202*VLOOKUP('Données projet'!$B$9,Paramètres!$A$1:$I$89,3,0)*0.475*44/12</f>
        <v>1.0630351215701459</v>
      </c>
      <c r="AB202" s="21">
        <f>EXP(-LN(2)/2)*AB201+(1-EXP(-LN(2)/2))/(LN(2)/2)*V202*Y202*VLOOKUP('Données projet'!$B$9,Paramètres!$A$1:$I$89,3,0)*0.475*44/12</f>
        <v>7.2339375031633799E-21</v>
      </c>
      <c r="AC202" s="22">
        <f t="shared" si="163"/>
        <v>14.150209300231788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179.44051550872138</v>
      </c>
      <c r="AO202" s="59">
        <f t="shared" si="205"/>
        <v>272.9500808380069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5.3109654470323635</v>
      </c>
      <c r="AV202" s="21">
        <f>EXP(-LN(2)/25)*AV201+(1-EXP(-LN(2)/25))/(LN(2)/25)*Calculateur!AQ202*Calculateur!AS202*VLOOKUP('Données projet'!$B$10,Paramètres!$A$1:$I$89,3,0)*0.475*44/12</f>
        <v>3.0653708983387777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8.3763363453711417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266.99999999999983</v>
      </c>
      <c r="BE202" s="13">
        <f>BD202*VLOOKUP('Données projet'!$B$11,Paramètres!$A$1:$I$89,3,0)*VLOOKUP('Données projet'!$B$11,Paramètres!$A$1:$I$89,5,0)</f>
        <v>212.42519999999985</v>
      </c>
      <c r="BF202" s="13">
        <f t="shared" si="167"/>
        <v>52.465198231787184</v>
      </c>
      <c r="BG202" s="20">
        <f t="shared" si="168"/>
        <v>461.35077692036231</v>
      </c>
      <c r="BH202" s="59">
        <f t="shared" si="194"/>
        <v>754.68411025369562</v>
      </c>
      <c r="BI202" s="59">
        <f ca="1">AVERAGE(OFFSET($BH$3,0,0,'Données projet'!$E$11+1,1))-AVERAGE(OFFSET($H$3,0,0,'Données projet'!$E$11+1,1))</f>
        <v>225.2323446080772</v>
      </c>
      <c r="BJ202" s="59">
        <f t="shared" si="206"/>
        <v>222.29030402759292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2.7274677413505666</v>
      </c>
      <c r="BQ202" s="21">
        <f>EXP(-LN(2)/25)*BQ201+(1-EXP(-LN(2)/25))/(LN(2)/25)*Calculateur!BL202*Calculateur!BN202*VLOOKUP('Données projet'!$B$11,Paramètres!$A$1:$I$89,3,0)*0.475*44/12</f>
        <v>0.3073873016054306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3.0348550429559973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278.5296012747549</v>
      </c>
      <c r="T203" s="59">
        <f t="shared" si="204"/>
        <v>370.55343097937077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12.830542675406141</v>
      </c>
      <c r="AA203" s="21">
        <f>EXP(-LN(2)/25)*AA202+(1-EXP(-LN(2)/25))/(LN(2)/25)*Calculateur!V203*Calculateur!X203*VLOOKUP('Données projet'!$B$9,Paramètres!$A$1:$I$89,3,0)*0.475*44/12</f>
        <v>1.0339663702682229</v>
      </c>
      <c r="AB203" s="21">
        <f>EXP(-LN(2)/2)*AB202+(1-EXP(-LN(2)/2))/(LN(2)/2)*V203*Y203*VLOOKUP('Données projet'!$B$9,Paramètres!$A$1:$I$89,3,0)*0.475*44/12</f>
        <v>5.115166263166508E-21</v>
      </c>
      <c r="AC203" s="22">
        <f t="shared" si="163"/>
        <v>13.864509045674364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179.44051550872138</v>
      </c>
      <c r="AO203" s="59">
        <f t="shared" si="205"/>
        <v>272.9500808380069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5.2068206539851207</v>
      </c>
      <c r="AV203" s="21">
        <f>EXP(-LN(2)/25)*AV202+(1-EXP(-LN(2)/25))/(LN(2)/25)*Calculateur!AQ203*Calculateur!AS203*VLOOKUP('Données projet'!$B$10,Paramètres!$A$1:$I$89,3,0)*0.475*44/12</f>
        <v>2.9815481699228541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8.1883688239079753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266.99999999999983</v>
      </c>
      <c r="BE203" s="13">
        <f>BD203*VLOOKUP('Données projet'!$B$11,Paramètres!$A$1:$I$89,3,0)*VLOOKUP('Données projet'!$B$11,Paramètres!$A$1:$I$89,5,0)</f>
        <v>212.42519999999985</v>
      </c>
      <c r="BF203" s="13">
        <f t="shared" si="167"/>
        <v>52.465198231787184</v>
      </c>
      <c r="BG203" s="20">
        <f t="shared" si="168"/>
        <v>461.35077692036231</v>
      </c>
      <c r="BH203" s="59">
        <f t="shared" si="194"/>
        <v>754.68411025369562</v>
      </c>
      <c r="BI203" s="59">
        <f ca="1">AVERAGE(OFFSET($BH$3,0,0,'Données projet'!$E$11+1,1))-AVERAGE(OFFSET($H$3,0,0,'Données projet'!$E$11+1,1))</f>
        <v>225.2323446080772</v>
      </c>
      <c r="BJ203" s="59">
        <f t="shared" si="206"/>
        <v>222.29030402759292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2.6739837625337382</v>
      </c>
      <c r="BQ203" s="21">
        <f>EXP(-LN(2)/25)*BQ202+(1-EXP(-LN(2)/25))/(LN(2)/25)*Calculateur!BL203*Calculateur!BN203*VLOOKUP('Données projet'!$B$11,Paramètres!$A$1:$I$89,3,0)*0.475*44/12</f>
        <v>0.29898177967823447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2.9729655422119725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1.2997069632623315</v>
      </c>
      <c r="BA205" s="82">
        <f>EXP(LN('Données projet'!B88)/'Données projet'!A88)</f>
        <v>1.2721747796233518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K16" sqref="J16:K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1.5955801104972374</v>
      </c>
      <c r="C6" s="147">
        <f ca="1">IF(OR('Données projet'!B9="",'Données projet'!C9="",'Données projet'!C9=0%),0,Calculateur!S3)</f>
        <v>278.5296012747549</v>
      </c>
      <c r="D6" s="147">
        <f>IF(OR('Données projet'!B9="",'Données projet'!C9="",'Données projet'!C9=0%),0,Calculateur!T3)</f>
        <v>370.55343097937077</v>
      </c>
      <c r="E6" s="147">
        <f ca="1">MIN(C6,D6)</f>
        <v>278.5296012747549</v>
      </c>
      <c r="F6" s="147">
        <f ca="1">E6*B6</f>
        <v>444.41629197872487</v>
      </c>
      <c r="G6" s="147">
        <f ca="1">F6*(100%-'Données projet'!$C$24)*(100%-'Données projet'!$C$25)*(100%-'Données projet'!$C$26)*(100%-'Données projet'!$C$27)</f>
        <v>379.97592964180973</v>
      </c>
      <c r="H6" s="148">
        <f>IF(OR('Données projet'!B9="",'Données projet'!C9="",'Données projet'!C9=0%),0,AVERAGE(Calculateur!$AC$3:$AC$33)*B6)</f>
        <v>19.485858044380873</v>
      </c>
      <c r="I6" s="149">
        <f>H6*(100%-'Données projet'!$C$24)*(100%-'Données projet'!$C$25)*(100%-'Données projet'!$C$26)*(100%-'Données projet'!$C$27)</f>
        <v>16.660408627945646</v>
      </c>
      <c r="J6" s="150">
        <f>IF(OR('Données projet'!B9="",'Données projet'!C9="",'Données projet'!C9=0%),0,SUM(Calculateur!$V$3:$V$33)*VLOOKUP('Données projet'!$B$9,Paramètres!$A$1:$I$89,9,0)*B6)</f>
        <v>121.86181725456859</v>
      </c>
      <c r="K6" s="151">
        <f>J6*(100%-'Données projet'!$C$24)*(100%-'Données projet'!$C$25)*(100%-'Données projet'!$C$26)*(100%-'Données projet'!$C$27)</f>
        <v>104.19185375265614</v>
      </c>
      <c r="L6" s="152">
        <f ca="1">G6+I6+K6</f>
        <v>500.82819202241149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mélèze d'europe</v>
      </c>
      <c r="B7" s="154">
        <f>'Données projet'!D10</f>
        <v>1.9944751381215469</v>
      </c>
      <c r="C7" s="147">
        <f ca="1">IF(OR('Données projet'!B10="",'Données projet'!C10="",'Données projet'!C10=0%),0,Calculateur!AN3)</f>
        <v>179.44051550872138</v>
      </c>
      <c r="D7" s="147">
        <f>IF(OR('Données projet'!B10="",'Données projet'!C10="",'Données projet'!C10=0%),0,Calculateur!AO3)</f>
        <v>272.9500808380069</v>
      </c>
      <c r="E7" s="147">
        <f t="shared" ref="E7:E15" ca="1" si="0">MIN(C7,D7)</f>
        <v>179.44051550872138</v>
      </c>
      <c r="F7" s="147">
        <f t="shared" ref="F7:F15" ca="1" si="1">E7*B7</f>
        <v>357.88964695385863</v>
      </c>
      <c r="G7" s="147">
        <f ca="1">F7*(100%-'Données projet'!$C$24)*(100%-'Données projet'!$C$25)*(100%-'Données projet'!$C$26)*(100%-'Données projet'!$C$27)</f>
        <v>305.99564814554913</v>
      </c>
      <c r="H7" s="155">
        <f>IF(OR('Données projet'!B10="",'Données projet'!C10="",'Données projet'!C10=0%),0,AVERAGE(Calculateur!$AX$3:$AX$33)*B7)</f>
        <v>16.907092297497964</v>
      </c>
      <c r="I7" s="149">
        <f>H7*(100%-'Données projet'!$C$24)*(100%-'Données projet'!$C$25)*(100%-'Données projet'!$C$26)*(100%-'Données projet'!$C$27)</f>
        <v>14.455563914360759</v>
      </c>
      <c r="J7" s="150">
        <f>IF(OR('Données projet'!B10="",'Données projet'!C10="",'Données projet'!C10=0%),0,SUM(Calculateur!$AQ$3:$AQ$33)*VLOOKUP('Données projet'!$B$10,Paramètres!$A$1:$I$89,9,0)*B7)</f>
        <v>109.77591160220994</v>
      </c>
      <c r="K7" s="151">
        <f>J7*(100%-'Données projet'!$C$24)*(100%-'Données projet'!$C$25)*(100%-'Données projet'!$C$26)*(100%-'Données projet'!$C$27)</f>
        <v>93.858404419889496</v>
      </c>
      <c r="L7" s="152">
        <f t="shared" ref="L7:L15" ca="1" si="2">G7+I7+K7</f>
        <v>414.30961647979939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erable sycomore</v>
      </c>
      <c r="B8" s="154">
        <f>'Données projet'!D11</f>
        <v>0.20994475138121546</v>
      </c>
      <c r="C8" s="147">
        <f ca="1">IF(OR('Données projet'!B11="",'Données projet'!C11="",'Données projet'!C11=0%),0,Calculateur!BI3)</f>
        <v>225.2323446080772</v>
      </c>
      <c r="D8" s="147">
        <f>IF(OR('Données projet'!B11="",'Données projet'!C11="",'Données projet'!C11=0%),0,Calculateur!BJ3)</f>
        <v>222.29030402759292</v>
      </c>
      <c r="E8" s="147">
        <f t="shared" ca="1" si="0"/>
        <v>222.29030402759292</v>
      </c>
      <c r="F8" s="147">
        <f t="shared" ca="1" si="1"/>
        <v>46.668682613527793</v>
      </c>
      <c r="G8" s="147">
        <f ca="1">F8*(100%-'Données projet'!$C$24)*(100%-'Données projet'!$C$25)*(100%-'Données projet'!$C$26)*(100%-'Données projet'!$C$27)</f>
        <v>39.901723634566267</v>
      </c>
      <c r="H8" s="155">
        <f>IF(OR('Données projet'!B11="",'Données projet'!C11="",'Données projet'!C11=0%),0,AVERAGE(Calculateur!$BS$3:$BS$33)*B8)</f>
        <v>6.3610151924178487E-2</v>
      </c>
      <c r="I8" s="149">
        <f>H8*(100%-'Données projet'!$C$24)*(100%-'Données projet'!$C$25)*(100%-'Données projet'!$C$26)*(100%-'Données projet'!$C$27)</f>
        <v>5.4386679895172603E-2</v>
      </c>
      <c r="J8" s="150">
        <f>IF(OR('Données projet'!B11="",'Données projet'!C11="",'Données projet'!C11=0%),0,SUM(Calculateur!$BL$3:$BL$33)*VLOOKUP('Données projet'!$B$11,Paramètres!$A$1:$I$89,9,0)*B8)</f>
        <v>5.1961325966850831</v>
      </c>
      <c r="K8" s="151">
        <f>J8*(100%-'Données projet'!$C$24)*(100%-'Données projet'!$C$25)*(100%-'Données projet'!$C$26)*(100%-'Données projet'!$C$27)</f>
        <v>4.4426933701657454</v>
      </c>
      <c r="L8" s="152">
        <f t="shared" ca="1" si="2"/>
        <v>44.398803684627183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848.97462154611139</v>
      </c>
      <c r="G16" s="166">
        <f t="shared" ca="1" si="3"/>
        <v>725.87330142192513</v>
      </c>
      <c r="H16" s="167">
        <f t="shared" si="3"/>
        <v>36.456560493803018</v>
      </c>
      <c r="I16" s="167">
        <f t="shared" si="3"/>
        <v>31.170359222201579</v>
      </c>
      <c r="J16" s="168">
        <f t="shared" si="3"/>
        <v>236.83386145346364</v>
      </c>
      <c r="K16" s="168">
        <f t="shared" si="3"/>
        <v>202.49295154271138</v>
      </c>
      <c r="L16" s="169">
        <f t="shared" ca="1" si="3"/>
        <v>959.53661218683806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9" zoomScale="80" zoomScaleNormal="80" workbookViewId="0">
      <selection activeCell="N19" sqref="N19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-9726.8118146661454</v>
      </c>
      <c r="U10" s="178">
        <f>'Données projet'!D9</f>
        <v>1.5955801104972374</v>
      </c>
      <c r="V10" s="177">
        <f>U10*T10</f>
        <v>-15519.907470030843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-1727.7405673920832</v>
      </c>
      <c r="U11" s="178">
        <f>'Données projet'!D10</f>
        <v>1.9944751381215469</v>
      </c>
      <c r="V11" s="177">
        <f t="shared" ref="V11" si="0">U11*T11</f>
        <v>-3445.9356067875251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sycomore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276.64888937304511</v>
      </c>
      <c r="U12" s="178">
        <f>'Données projet'!D11</f>
        <v>0.20994475138121546</v>
      </c>
      <c r="V12" s="177">
        <f t="shared" ref="V12:V19" si="1">U12*T12</f>
        <v>58.080982299313334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2029.2+3801</f>
        <v>5830.2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50.00000000000005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>
        <f>1330+988</f>
        <v>2318</v>
      </c>
      <c r="F18" s="230"/>
      <c r="G18" s="289"/>
      <c r="J18" s="202"/>
      <c r="K18" s="208"/>
      <c r="L18" s="259" t="s">
        <v>255</v>
      </c>
      <c r="M18" s="261"/>
      <c r="N18" s="192">
        <v>150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7500.0000000000073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>
        <f>1520+1140</f>
        <v>2660</v>
      </c>
      <c r="F20" s="230"/>
      <c r="G20" s="289"/>
      <c r="H20" s="190">
        <v>1</v>
      </c>
      <c r="I20" s="191">
        <f>3.8*1100</f>
        <v>4180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435+390</f>
        <v>825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>
        <v>1900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69.284615384615378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-37107.762094519057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42.661538461538463</v>
      </c>
      <c r="C24" s="193">
        <v>10</v>
      </c>
      <c r="D24" s="182">
        <f t="shared" ref="D24:D42" si="2">B24*C24</f>
        <v>426.61538461538464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3155.2250240210892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65.669230769230765</v>
      </c>
      <c r="C25" s="193">
        <v>10</v>
      </c>
      <c r="D25" s="182">
        <f t="shared" si="2"/>
        <v>656.69230769230762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-40262.98711854015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69.3</v>
      </c>
      <c r="C26" s="193">
        <v>18</v>
      </c>
      <c r="D26" s="182">
        <f t="shared" si="2"/>
        <v>1247.3999999999999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42</v>
      </c>
      <c r="B27" s="181">
        <f>'Données projet'!D40</f>
        <v>73.392307692307682</v>
      </c>
      <c r="C27" s="193">
        <v>25</v>
      </c>
      <c r="D27" s="182">
        <f t="shared" si="2"/>
        <v>1834.8076923076922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81.330769230769235</v>
      </c>
      <c r="C28" s="193">
        <v>25</v>
      </c>
      <c r="D28" s="182">
        <f t="shared" si="2"/>
        <v>2033.2692307692309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54</v>
      </c>
      <c r="B29" s="181">
        <f>'Données projet'!D42</f>
        <v>566.79999999999995</v>
      </c>
      <c r="C29" s="193">
        <v>35</v>
      </c>
      <c r="D29" s="182">
        <f t="shared" si="2"/>
        <v>19838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>
        <v>40</v>
      </c>
      <c r="D30" s="182">
        <f t="shared" si="2"/>
        <v>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>
        <v>45</v>
      </c>
      <c r="D31" s="182">
        <f t="shared" si="2"/>
        <v>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>
        <v>55</v>
      </c>
      <c r="D32" s="182">
        <f t="shared" si="2"/>
        <v>0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>
        <v>55</v>
      </c>
      <c r="D33" s="182">
        <f t="shared" si="2"/>
        <v>0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2593.5</f>
        <v>2593.5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18</v>
      </c>
      <c r="B54" s="181">
        <f>'Données projet'!D62</f>
        <v>20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21</v>
      </c>
      <c r="B55" s="181">
        <f>'Données projet'!D63</f>
        <v>26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24</v>
      </c>
      <c r="B56" s="181">
        <f>'Données projet'!D64</f>
        <v>29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30</v>
      </c>
      <c r="B57" s="181">
        <f>'Données projet'!D65</f>
        <v>53</v>
      </c>
      <c r="C57" s="191">
        <v>10</v>
      </c>
      <c r="D57" s="179">
        <f t="shared" si="4"/>
        <v>530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36</v>
      </c>
      <c r="B58" s="181">
        <f>'Données projet'!D66</f>
        <v>62</v>
      </c>
      <c r="C58" s="191">
        <v>18</v>
      </c>
      <c r="D58" s="179">
        <f t="shared" si="4"/>
        <v>1116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42</v>
      </c>
      <c r="B59" s="181">
        <f>'Données projet'!D67</f>
        <v>67</v>
      </c>
      <c r="C59" s="191">
        <v>25</v>
      </c>
      <c r="D59" s="179">
        <f t="shared" si="4"/>
        <v>1675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48</v>
      </c>
      <c r="B60" s="181">
        <f>'Données projet'!D68</f>
        <v>65</v>
      </c>
      <c r="C60" s="191">
        <v>25</v>
      </c>
      <c r="D60" s="179">
        <f t="shared" si="4"/>
        <v>1625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60</v>
      </c>
      <c r="B61" s="181">
        <f>'Données projet'!D69</f>
        <v>304</v>
      </c>
      <c r="C61" s="191">
        <v>35</v>
      </c>
      <c r="D61" s="179">
        <f t="shared" si="4"/>
        <v>10640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>
        <v>40</v>
      </c>
      <c r="D62" s="179">
        <f t="shared" si="4"/>
        <v>0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>
        <v>45</v>
      </c>
      <c r="D63" s="179">
        <f t="shared" si="4"/>
        <v>0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>
        <v>55</v>
      </c>
      <c r="D64" s="179">
        <f t="shared" si="4"/>
        <v>0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>
        <v>55</v>
      </c>
      <c r="D65" s="179">
        <f t="shared" si="4"/>
        <v>0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erable sycomore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207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15</v>
      </c>
      <c r="B85" s="181">
        <f>'Données projet'!D88</f>
        <v>15</v>
      </c>
      <c r="C85" s="191">
        <v>10</v>
      </c>
      <c r="D85" s="179">
        <f>B85*C85</f>
        <v>150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20</v>
      </c>
      <c r="B86" s="181">
        <f>'Données projet'!D89</f>
        <v>28</v>
      </c>
      <c r="C86" s="191">
        <v>10</v>
      </c>
      <c r="D86" s="179">
        <f t="shared" ref="D86:D104" si="6">B86*C86</f>
        <v>280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25</v>
      </c>
      <c r="B87" s="181">
        <f>'Données projet'!D90</f>
        <v>28</v>
      </c>
      <c r="C87" s="191">
        <v>15</v>
      </c>
      <c r="D87" s="179">
        <f t="shared" si="6"/>
        <v>420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30</v>
      </c>
      <c r="B88" s="181">
        <f>'Données projet'!D91</f>
        <v>28</v>
      </c>
      <c r="C88" s="191">
        <v>15</v>
      </c>
      <c r="D88" s="179">
        <f t="shared" si="6"/>
        <v>420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35</v>
      </c>
      <c r="B89" s="181">
        <f>'Données projet'!D92</f>
        <v>28</v>
      </c>
      <c r="C89" s="191">
        <v>50</v>
      </c>
      <c r="D89" s="179">
        <f t="shared" si="6"/>
        <v>1400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40</v>
      </c>
      <c r="B90" s="181">
        <f>'Données projet'!D93</f>
        <v>28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45</v>
      </c>
      <c r="B91" s="181">
        <f>'Données projet'!D94</f>
        <v>22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50</v>
      </c>
      <c r="B92" s="181">
        <f>'Données projet'!D95</f>
        <v>17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55</v>
      </c>
      <c r="B93" s="181">
        <f>'Données projet'!D96</f>
        <v>13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60</v>
      </c>
      <c r="B94" s="181">
        <f>'Données projet'!D97</f>
        <v>12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65</v>
      </c>
      <c r="B95" s="181">
        <f>'Données projet'!D98</f>
        <v>11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70</v>
      </c>
      <c r="B96" s="181">
        <f>'Données projet'!D99</f>
        <v>10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75</v>
      </c>
      <c r="B97" s="181">
        <f>'Données projet'!D100</f>
        <v>9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80</v>
      </c>
      <c r="B98" s="181">
        <f>'Données projet'!D101</f>
        <v>8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3065A7-073F-4EF4-BF13-F9C7A902BA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66734D-5E9E-4755-BFF0-BEF73FBD28EA}">
  <ds:schemaRefs>
    <ds:schemaRef ds:uri="http://schemas.microsoft.com/office/2006/metadata/properties"/>
    <ds:schemaRef ds:uri="http://schemas.microsoft.com/office/infopath/2007/PartnerControls"/>
    <ds:schemaRef ds:uri="fa473fcf-5fe5-4769-9ae9-3c0fe3bc1313"/>
    <ds:schemaRef ds:uri="aa854ec9-9a17-4ecd-ac24-2f9174284672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92B2FD35-77E0-4B11-9348-99E2BC5A97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EVEN</cp:lastModifiedBy>
  <dcterms:created xsi:type="dcterms:W3CDTF">2021-02-01T08:22:39Z</dcterms:created>
  <dcterms:modified xsi:type="dcterms:W3CDTF">2024-05-16T15:28:18Z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26f538-337a-4593-a7e6-123667b1a538_Enabled">
    <vt:lpwstr>true</vt:lpwstr>
  </property>
  <property fmtid="{D5CDD505-2E9C-101B-9397-08002B2CF9AE}" pid="3" name="MSIP_Label_2d26f538-337a-4593-a7e6-123667b1a538_SetDate">
    <vt:lpwstr>2023-06-01T12:23:15Z</vt:lpwstr>
  </property>
  <property fmtid="{D5CDD505-2E9C-101B-9397-08002B2CF9AE}" pid="4" name="MSIP_Label_2d26f538-337a-4593-a7e6-123667b1a538_Method">
    <vt:lpwstr>Standard</vt:lpwstr>
  </property>
  <property fmtid="{D5CDD505-2E9C-101B-9397-08002B2CF9AE}" pid="5" name="MSIP_Label_2d26f538-337a-4593-a7e6-123667b1a538_Name">
    <vt:lpwstr>C1 Interne</vt:lpwstr>
  </property>
  <property fmtid="{D5CDD505-2E9C-101B-9397-08002B2CF9AE}" pid="6" name="MSIP_Label_2d26f538-337a-4593-a7e6-123667b1a538_SiteId">
    <vt:lpwstr>e242425b-70fc-44dc-9ddf-c21e304e6c80</vt:lpwstr>
  </property>
  <property fmtid="{D5CDD505-2E9C-101B-9397-08002B2CF9AE}" pid="7" name="MSIP_Label_2d26f538-337a-4593-a7e6-123667b1a538_ActionId">
    <vt:lpwstr>9831347c-f157-41a8-bebc-50e634b4ffbe</vt:lpwstr>
  </property>
  <property fmtid="{D5CDD505-2E9C-101B-9397-08002B2CF9AE}" pid="8" name="MSIP_Label_2d26f538-337a-4593-a7e6-123667b1a538_ContentBits">
    <vt:lpwstr>0</vt:lpwstr>
  </property>
  <property fmtid="{D5CDD505-2E9C-101B-9397-08002B2CF9AE}" pid="9" name="ContentTypeId">
    <vt:lpwstr>0x010100B17917BD1DD3FD43A53AD9CE171726C7</vt:lpwstr>
  </property>
  <property fmtid="{D5CDD505-2E9C-101B-9397-08002B2CF9AE}" pid="10" name="MediaServiceImageTags">
    <vt:lpwstr/>
  </property>
</Properties>
</file>