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PEUX-ET-COUFFOULEUX (12) - GARENQ Yvan - SWC\Dossier 05 10 2023\"/>
    </mc:Choice>
  </mc:AlternateContent>
  <xr:revisionPtr revIDLastSave="0" documentId="13_ncr:1_{D90382BB-C584-4C50-A761-5C4320CF56AF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<sst xmlns="http://schemas.openxmlformats.org/spreadsheetml/2006/main" count="1171" uniqueCount="324">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</sst>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2" zoomScale="90" zoomScaleNormal="90" workbookViewId="0">
      <selection activeCell="F75" sqref="F7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4.16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0.5</v>
      </c>
      <c r="D9" s="36">
        <f t="shared" ref="D9:D18" si="0">C9*$C$5</f>
        <v>2.08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0.5</v>
      </c>
      <c r="D10" s="36">
        <f t="shared" si="0"/>
        <v>2.08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4.16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>
        <v>0.3</v>
      </c>
      <c r="F36" s="54">
        <v>0.35</v>
      </c>
      <c r="G36" s="54">
        <v>0.35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>
        <v>0.7</v>
      </c>
      <c r="F37" s="54">
        <v>0.15</v>
      </c>
      <c r="G37" s="54">
        <v>0.15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19</v>
      </c>
      <c r="B62" s="63">
        <v>162</v>
      </c>
      <c r="C62" s="63">
        <v>1</v>
      </c>
      <c r="D62" s="63">
        <v>0</v>
      </c>
      <c r="E62" s="54">
        <v>0.15</v>
      </c>
      <c r="F62" s="54"/>
      <c r="G62" s="54">
        <v>0.85</v>
      </c>
      <c r="H62" s="54"/>
      <c r="I62" s="56">
        <f>IFERROR(B62/A62,"")</f>
        <v>8.526315789473685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335</v>
      </c>
      <c r="C63" s="63">
        <v>2</v>
      </c>
      <c r="D63" s="63">
        <v>54</v>
      </c>
      <c r="E63" s="54">
        <v>0.25</v>
      </c>
      <c r="F63" s="54"/>
      <c r="G63" s="54">
        <v>0.75</v>
      </c>
      <c r="H63" s="54"/>
      <c r="I63" s="52">
        <f>IF(A63&lt;&gt;0,(B63-(B62-D62))/(A63-A62),"")</f>
        <v>28.833333333333332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421</v>
      </c>
      <c r="C64" s="63">
        <v>3</v>
      </c>
      <c r="D64" s="63">
        <v>54</v>
      </c>
      <c r="E64" s="54">
        <v>0.35</v>
      </c>
      <c r="F64" s="54"/>
      <c r="G64" s="54">
        <v>0.65</v>
      </c>
      <c r="H64" s="54"/>
      <c r="I64" s="52">
        <f>IF(A64&lt;&gt;0,(B64-(B63-D63))/(A64-A63),"")</f>
        <v>28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505</v>
      </c>
      <c r="C65" s="63">
        <v>4</v>
      </c>
      <c r="D65" s="63">
        <v>69</v>
      </c>
      <c r="E65" s="54"/>
      <c r="F65" s="54"/>
      <c r="G65" s="54"/>
      <c r="H65" s="54"/>
      <c r="I65" s="52">
        <f>IF(A65&lt;&gt;0,(B65-(B64-D64))/(A65-A64),"")</f>
        <v>27.6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564</v>
      </c>
      <c r="C66" s="63">
        <v>5</v>
      </c>
      <c r="D66" s="63">
        <v>72</v>
      </c>
      <c r="E66" s="54"/>
      <c r="F66" s="54"/>
      <c r="G66" s="54"/>
      <c r="H66" s="54"/>
      <c r="I66" s="52">
        <f t="shared" ref="I66:I81" si="2">IF(A66&lt;&gt;0,(B66-(B65-D65))/(A66-A65),"")</f>
        <v>25.6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606</v>
      </c>
      <c r="C67" s="63">
        <v>6</v>
      </c>
      <c r="D67" s="63">
        <v>66</v>
      </c>
      <c r="E67" s="54"/>
      <c r="F67" s="54"/>
      <c r="G67" s="54"/>
      <c r="H67" s="54"/>
      <c r="I67" s="52">
        <f t="shared" si="2"/>
        <v>22.8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629</v>
      </c>
      <c r="C68" s="63">
        <v>7</v>
      </c>
      <c r="D68" s="63">
        <v>48</v>
      </c>
      <c r="E68" s="54"/>
      <c r="F68" s="54"/>
      <c r="G68" s="54"/>
      <c r="H68" s="54"/>
      <c r="I68" s="52">
        <f t="shared" si="2"/>
        <v>17.8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650</v>
      </c>
      <c r="C69" s="53">
        <v>8</v>
      </c>
      <c r="D69" s="53">
        <v>35</v>
      </c>
      <c r="E69" s="54"/>
      <c r="F69" s="54"/>
      <c r="G69" s="54"/>
      <c r="H69" s="54"/>
      <c r="I69" s="52">
        <f t="shared" si="2"/>
        <v>13.8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666</v>
      </c>
      <c r="C70" s="53">
        <v>9</v>
      </c>
      <c r="D70" s="53">
        <v>666</v>
      </c>
      <c r="E70" s="54"/>
      <c r="F70" s="54"/>
      <c r="G70" s="54"/>
      <c r="H70" s="54"/>
      <c r="I70" s="52">
        <f t="shared" si="2"/>
        <v>10.199999999999999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310.95287409903602</v>
      </c>
      <c r="T3" s="62">
        <f>IF('Données projet'!E9&gt;30,$R$33-$H$33,LOOKUP('Données projet'!$E$9,$A$3:$A$203,R3:R203)-LOOKUP('Données projet'!$E$9,$A$3:$A$203,$H$3:$H$203))</f>
        <v>224.10083380795163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382.55387448074327</v>
      </c>
      <c r="AO3" s="62">
        <f>IF('Données projet'!E10&gt;30,$AM$33-$H$33,LOOKUP('Données projet'!$E$10,$A$3:$A$203,AM3:AM203)-LOOKUP('Données projet'!$E$10,$A$3:$A$203,$H$3:$H$203))</f>
        <v>476.29465646955543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310.95287409903602</v>
      </c>
      <c r="T4" s="62">
        <f>$T$3</f>
        <v>224.10083380795163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8.526315789473685</v>
      </c>
      <c r="AI4" s="14">
        <f>IF('Données projet'!$A$62&gt;35,AI3+AH4-AQ3,IF(A4&lt;'Données projet'!$A$62,$AF$205^A4,IF(A4='Données projet'!$A$62,'Données projet'!$B$62,AI3+AH4-AQ3)))</f>
        <v>1.3070441688874561</v>
      </c>
      <c r="AJ4" s="14">
        <f>AI4*VLOOKUP('Données projet'!$B$10,Paramètres!$A$1:$I$89,3,0)*VLOOKUP('Données projet'!$B$10,Paramètres!$A$1:$I$89,5,0)</f>
        <v>0.73063769040808801</v>
      </c>
      <c r="AK4" s="14">
        <f>EXP(-1.0587+0.8836*LN(AJ4)+0.284)</f>
        <v>0.34923616900555043</v>
      </c>
      <c r="AL4" s="22">
        <f t="shared" ref="AL4:AL67" si="4">(AJ4+AK4)*0.475*44/12</f>
        <v>1.8807803051454206</v>
      </c>
      <c r="AM4" s="62">
        <f t="shared" ref="AM4:AM67" si="5">AL4+(AD4+AE4)*44/12</f>
        <v>295.21411363847875</v>
      </c>
      <c r="AN4" s="62">
        <f ca="1">AVERAGE(OFFSET($AM$3,0,0,'Données projet'!$E$10+1,1))-AVERAGE(OFFSET($H$3,0,0,'Données projet'!$E$10+1,1))</f>
        <v>382.55387448074327</v>
      </c>
      <c r="AO4" s="62">
        <f>$AO$3</f>
        <v>476.29465646955543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310.95287409903602</v>
      </c>
      <c r="T5" s="62">
        <f t="shared" ref="T5:T68" si="34">$T$3</f>
        <v>224.10083380795163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8.526315789473685</v>
      </c>
      <c r="AI5" s="14">
        <f>IF('Données projet'!$A$62&gt;35,AI4+AH5-AQ4,IF(A5&lt;'Données projet'!$A$62,$AF$205^A5,IF(A5='Données projet'!$A$62,'Données projet'!$B$62,AI4+AH5-AQ4)))</f>
        <v>1.708364459422701</v>
      </c>
      <c r="AJ5" s="14">
        <f>AI5*VLOOKUP('Données projet'!$B$10,Paramètres!$A$1:$I$89,3,0)*VLOOKUP('Données projet'!$B$10,Paramètres!$A$1:$I$89,5,0)</f>
        <v>0.95497573281728976</v>
      </c>
      <c r="AK5" s="14">
        <f t="shared" ref="AK5:AK68" si="35">EXP(-1.0587+0.8836*LN(AJ5)+0.284)</f>
        <v>0.44245926414263009</v>
      </c>
      <c r="AL5" s="22">
        <f t="shared" si="4"/>
        <v>2.4338659530385267</v>
      </c>
      <c r="AM5" s="62">
        <f t="shared" si="5"/>
        <v>295.76719928637186</v>
      </c>
      <c r="AN5" s="62">
        <f ca="1">AVERAGE(OFFSET($AM$3,0,0,'Données projet'!$E$10+1,1))-AVERAGE(OFFSET($H$3,0,0,'Données projet'!$E$10+1,1))</f>
        <v>382.55387448074327</v>
      </c>
      <c r="AO5" s="62">
        <f t="shared" ref="AO5:AO68" si="36">$AO$3</f>
        <v>476.29465646955543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310.95287409903602</v>
      </c>
      <c r="T6" s="62">
        <f t="shared" si="34"/>
        <v>224.10083380795163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8.526315789473685</v>
      </c>
      <c r="AI6" s="14">
        <f>IF('Données projet'!$A$62&gt;35,AI5+AH6-AQ5,IF(A6&lt;'Données projet'!$A$62,$AF$205^A6,IF(A6='Données projet'!$A$62,'Données projet'!$B$62,AI5+AH6-AQ5)))</f>
        <v>2.2329078050230127</v>
      </c>
      <c r="AJ6" s="14">
        <f>AI6*VLOOKUP('Données projet'!$B$10,Paramètres!$A$1:$I$89,3,0)*VLOOKUP('Données projet'!$B$10,Paramètres!$A$1:$I$89,5,0)</f>
        <v>1.248195463007864</v>
      </c>
      <c r="AK6" s="14">
        <f t="shared" si="35"/>
        <v>0.56056679634040518</v>
      </c>
      <c r="AL6" s="22">
        <f t="shared" si="4"/>
        <v>3.1502609350315693</v>
      </c>
      <c r="AM6" s="62">
        <f t="shared" si="5"/>
        <v>296.48359426836487</v>
      </c>
      <c r="AN6" s="62">
        <f ca="1">AVERAGE(OFFSET($AM$3,0,0,'Données projet'!$E$10+1,1))-AVERAGE(OFFSET($H$3,0,0,'Données projet'!$E$10+1,1))</f>
        <v>382.55387448074327</v>
      </c>
      <c r="AO6" s="62">
        <f t="shared" si="36"/>
        <v>476.29465646955543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310.95287409903602</v>
      </c>
      <c r="T7" s="62">
        <f t="shared" si="34"/>
        <v>224.10083380795163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8.526315789473685</v>
      </c>
      <c r="AI7" s="14">
        <f>IF('Données projet'!$A$62&gt;35,AI6+AH7-AQ6,IF(A7&lt;'Données projet'!$A$62,$AF$205^A7,IF(A7='Données projet'!$A$62,'Données projet'!$B$62,AI6+AH7-AQ6)))</f>
        <v>2.9185091262186176</v>
      </c>
      <c r="AJ7" s="14">
        <f>AI7*VLOOKUP('Données projet'!$B$10,Paramètres!$A$1:$I$89,3,0)*VLOOKUP('Données projet'!$B$10,Paramètres!$A$1:$I$89,5,0)</f>
        <v>1.6314466015562072</v>
      </c>
      <c r="AK7" s="14">
        <f t="shared" si="35"/>
        <v>0.71020127416305878</v>
      </c>
      <c r="AL7" s="22">
        <f t="shared" si="4"/>
        <v>4.0783700502110554</v>
      </c>
      <c r="AM7" s="62">
        <f t="shared" si="5"/>
        <v>297.41170338354436</v>
      </c>
      <c r="AN7" s="62">
        <f ca="1">AVERAGE(OFFSET($AM$3,0,0,'Données projet'!$E$10+1,1))-AVERAGE(OFFSET($H$3,0,0,'Données projet'!$E$10+1,1))</f>
        <v>382.55387448074327</v>
      </c>
      <c r="AO7" s="62">
        <f t="shared" si="36"/>
        <v>476.29465646955543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310.95287409903602</v>
      </c>
      <c r="T8" s="62">
        <f t="shared" si="34"/>
        <v>224.10083380795163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8.526315789473685</v>
      </c>
      <c r="AI8" s="14">
        <f>IF('Données projet'!$A$62&gt;35,AI7+AH8-AQ7,IF(A8&lt;'Données projet'!$A$62,$AF$205^A8,IF(A8='Données projet'!$A$62,'Données projet'!$B$62,AI7+AH8-AQ7)))</f>
        <v>3.8146203352688688</v>
      </c>
      <c r="AJ8" s="14">
        <f>AI8*VLOOKUP('Données projet'!$B$10,Paramètres!$A$1:$I$89,3,0)*VLOOKUP('Données projet'!$B$10,Paramètres!$A$1:$I$89,5,0)</f>
        <v>2.1323727674152977</v>
      </c>
      <c r="AK8" s="14">
        <f t="shared" si="35"/>
        <v>0.89977831922200224</v>
      </c>
      <c r="AL8" s="22">
        <f t="shared" si="4"/>
        <v>5.2809964758932972</v>
      </c>
      <c r="AM8" s="62">
        <f t="shared" si="5"/>
        <v>298.6143298092266</v>
      </c>
      <c r="AN8" s="62">
        <f ca="1">AVERAGE(OFFSET($AM$3,0,0,'Données projet'!$E$10+1,1))-AVERAGE(OFFSET($H$3,0,0,'Données projet'!$E$10+1,1))</f>
        <v>382.55387448074327</v>
      </c>
      <c r="AO8" s="62">
        <f t="shared" si="36"/>
        <v>476.29465646955543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310.95287409903602</v>
      </c>
      <c r="T9" s="62">
        <f t="shared" si="34"/>
        <v>224.10083380795163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8.526315789473685</v>
      </c>
      <c r="AI9" s="14">
        <f>IF('Données projet'!$A$62&gt;35,AI8+AH9-AQ8,IF(A9&lt;'Données projet'!$A$62,$AF$205^A9,IF(A9='Données projet'!$A$62,'Données projet'!$B$62,AI8+AH9-AQ8)))</f>
        <v>4.9858772657326877</v>
      </c>
      <c r="AJ9" s="14">
        <f>AI9*VLOOKUP('Données projet'!$B$10,Paramètres!$A$1:$I$89,3,0)*VLOOKUP('Données projet'!$B$10,Paramètres!$A$1:$I$89,5,0)</f>
        <v>2.7871053915445723</v>
      </c>
      <c r="AK9" s="14">
        <f t="shared" si="35"/>
        <v>1.1399599707787778</v>
      </c>
      <c r="AL9" s="22">
        <f t="shared" si="4"/>
        <v>6.839638839379834</v>
      </c>
      <c r="AM9" s="62">
        <f t="shared" si="5"/>
        <v>300.17297217271317</v>
      </c>
      <c r="AN9" s="62">
        <f ca="1">AVERAGE(OFFSET($AM$3,0,0,'Données projet'!$E$10+1,1))-AVERAGE(OFFSET($H$3,0,0,'Données projet'!$E$10+1,1))</f>
        <v>382.55387448074327</v>
      </c>
      <c r="AO9" s="62">
        <f t="shared" si="36"/>
        <v>476.29465646955543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310.95287409903602</v>
      </c>
      <c r="T10" s="62">
        <f t="shared" si="34"/>
        <v>224.10083380795163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8.526315789473685</v>
      </c>
      <c r="AI10" s="14">
        <f>IF('Données projet'!$A$62&gt;35,AI9+AH10-AQ9,IF(A10&lt;'Données projet'!$A$62,$AF$205^A10,IF(A10='Données projet'!$A$62,'Données projet'!$B$62,AI9+AH10-AQ9)))</f>
        <v>6.5167618069644444</v>
      </c>
      <c r="AJ10" s="14">
        <f>AI10*VLOOKUP('Données projet'!$B$10,Paramètres!$A$1:$I$89,3,0)*VLOOKUP('Données projet'!$B$10,Paramètres!$A$1:$I$89,5,0)</f>
        <v>3.6428698500931249</v>
      </c>
      <c r="AK10" s="14">
        <f t="shared" si="35"/>
        <v>1.4442543315575544</v>
      </c>
      <c r="AL10" s="22">
        <f t="shared" si="4"/>
        <v>8.8600746163749324</v>
      </c>
      <c r="AM10" s="62">
        <f t="shared" si="5"/>
        <v>302.19340794970827</v>
      </c>
      <c r="AN10" s="62">
        <f ca="1">AVERAGE(OFFSET($AM$3,0,0,'Données projet'!$E$10+1,1))-AVERAGE(OFFSET($H$3,0,0,'Données projet'!$E$10+1,1))</f>
        <v>382.55387448074327</v>
      </c>
      <c r="AO10" s="62">
        <f t="shared" si="36"/>
        <v>476.29465646955543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310.95287409903602</v>
      </c>
      <c r="T11" s="62">
        <f t="shared" si="34"/>
        <v>224.10083380795163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8.526315789473685</v>
      </c>
      <c r="AI11" s="14">
        <f>IF('Données projet'!$A$62&gt;35,AI10+AH11-AQ10,IF(A11&lt;'Données projet'!$A$62,$AF$205^A11,IF(A11='Données projet'!$A$62,'Données projet'!$B$62,AI10+AH11-AQ10)))</f>
        <v>8.5176955198213591</v>
      </c>
      <c r="AJ11" s="14">
        <f>AI11*VLOOKUP('Données projet'!$B$10,Paramètres!$A$1:$I$89,3,0)*VLOOKUP('Données projet'!$B$10,Paramètres!$A$1:$I$89,5,0)</f>
        <v>4.7613917955801393</v>
      </c>
      <c r="AK11" s="14">
        <f t="shared" si="35"/>
        <v>1.8297752795633417</v>
      </c>
      <c r="AL11" s="22">
        <f t="shared" si="4"/>
        <v>11.479615989208229</v>
      </c>
      <c r="AM11" s="62">
        <f t="shared" si="5"/>
        <v>304.81294932254156</v>
      </c>
      <c r="AN11" s="62">
        <f ca="1">AVERAGE(OFFSET($AM$3,0,0,'Données projet'!$E$10+1,1))-AVERAGE(OFFSET($H$3,0,0,'Données projet'!$E$10+1,1))</f>
        <v>382.55387448074327</v>
      </c>
      <c r="AO11" s="62">
        <f t="shared" si="36"/>
        <v>476.29465646955543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310.95287409903602</v>
      </c>
      <c r="T12" s="62">
        <f t="shared" si="34"/>
        <v>224.10083380795163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8.526315789473685</v>
      </c>
      <c r="AI12" s="14">
        <f>IF('Données projet'!$A$62&gt;35,AI11+AH12-AQ11,IF(A12&lt;'Données projet'!$A$62,$AF$205^A12,IF(A12='Données projet'!$A$62,'Données projet'!$B$62,AI11+AH12-AQ11)))</f>
        <v>11.133004261541316</v>
      </c>
      <c r="AJ12" s="14">
        <f>AI12*VLOOKUP('Données projet'!$B$10,Paramètres!$A$1:$I$89,3,0)*VLOOKUP('Données projet'!$B$10,Paramètres!$A$1:$I$89,5,0)</f>
        <v>6.2233493822015964</v>
      </c>
      <c r="AK12" s="14">
        <f t="shared" si="35"/>
        <v>2.3182049730052579</v>
      </c>
      <c r="AL12" s="22">
        <f t="shared" si="4"/>
        <v>14.87654050198527</v>
      </c>
      <c r="AM12" s="62">
        <f t="shared" si="5"/>
        <v>308.2098738353186</v>
      </c>
      <c r="AN12" s="62">
        <f ca="1">AVERAGE(OFFSET($AM$3,0,0,'Données projet'!$E$10+1,1))-AVERAGE(OFFSET($H$3,0,0,'Données projet'!$E$10+1,1))</f>
        <v>382.55387448074327</v>
      </c>
      <c r="AO12" s="62">
        <f t="shared" si="36"/>
        <v>476.29465646955543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310.95287409903602</v>
      </c>
      <c r="T13" s="62">
        <f t="shared" si="34"/>
        <v>224.10083380795163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8.526315789473685</v>
      </c>
      <c r="AI13" s="14">
        <f>IF('Données projet'!$A$62&gt;35,AI12+AH13-AQ12,IF(A13&lt;'Données projet'!$A$62,$AF$205^A13,IF(A13='Données projet'!$A$62,'Données projet'!$B$62,AI12+AH13-AQ12)))</f>
        <v>14.551328302246779</v>
      </c>
      <c r="AJ13" s="14">
        <f>AI13*VLOOKUP('Données projet'!$B$10,Paramètres!$A$1:$I$89,3,0)*VLOOKUP('Données projet'!$B$10,Paramètres!$A$1:$I$89,5,0)</f>
        <v>8.1341925209559491</v>
      </c>
      <c r="AK13" s="14">
        <f t="shared" si="35"/>
        <v>2.9370132807503975</v>
      </c>
      <c r="AL13" s="22">
        <f t="shared" si="4"/>
        <v>19.282350104638549</v>
      </c>
      <c r="AM13" s="62">
        <f t="shared" si="5"/>
        <v>312.61568343797188</v>
      </c>
      <c r="AN13" s="62">
        <f ca="1">AVERAGE(OFFSET($AM$3,0,0,'Données projet'!$E$10+1,1))-AVERAGE(OFFSET($H$3,0,0,'Données projet'!$E$10+1,1))</f>
        <v>382.55387448074327</v>
      </c>
      <c r="AO13" s="62">
        <f t="shared" si="36"/>
        <v>476.29465646955543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310.95287409903602</v>
      </c>
      <c r="T14" s="62">
        <f t="shared" si="34"/>
        <v>224.10083380795163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8.526315789473685</v>
      </c>
      <c r="AI14" s="14">
        <f>IF('Données projet'!$A$62&gt;35,AI13+AH14-AQ13,IF(A14&lt;'Données projet'!$A$62,$AF$205^A14,IF(A14='Données projet'!$A$62,'Données projet'!$B$62,AI13+AH14-AQ13)))</f>
        <v>19.01922880701866</v>
      </c>
      <c r="AJ14" s="14">
        <f>AI14*VLOOKUP('Données projet'!$B$10,Paramètres!$A$1:$I$89,3,0)*VLOOKUP('Données projet'!$B$10,Paramètres!$A$1:$I$89,5,0)</f>
        <v>10.631748903123432</v>
      </c>
      <c r="AK14" s="14">
        <f t="shared" si="35"/>
        <v>3.7210027205323613</v>
      </c>
      <c r="AL14" s="22">
        <f t="shared" si="4"/>
        <v>24.997709077867171</v>
      </c>
      <c r="AM14" s="62">
        <f t="shared" si="5"/>
        <v>318.33104241120049</v>
      </c>
      <c r="AN14" s="62">
        <f ca="1">AVERAGE(OFFSET($AM$3,0,0,'Données projet'!$E$10+1,1))-AVERAGE(OFFSET($H$3,0,0,'Données projet'!$E$10+1,1))</f>
        <v>382.55387448074327</v>
      </c>
      <c r="AO14" s="62">
        <f t="shared" si="36"/>
        <v>476.29465646955543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310.95287409903602</v>
      </c>
      <c r="T15" s="62">
        <f t="shared" si="34"/>
        <v>224.10083380795163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8.526315789473685</v>
      </c>
      <c r="AI15" s="14">
        <f>IF('Données projet'!$A$62&gt;35,AI14+AH15-AQ14,IF(A15&lt;'Données projet'!$A$62,$AF$205^A15,IF(A15='Données projet'!$A$62,'Données projet'!$B$62,AI14+AH15-AQ14)))</f>
        <v>24.85897210895007</v>
      </c>
      <c r="AJ15" s="14">
        <f>AI15*VLOOKUP('Données projet'!$B$10,Paramètres!$A$1:$I$89,3,0)*VLOOKUP('Données projet'!$B$10,Paramètres!$A$1:$I$89,5,0)</f>
        <v>13.896165408903089</v>
      </c>
      <c r="AK15" s="14">
        <f t="shared" si="35"/>
        <v>4.7142657940830492</v>
      </c>
      <c r="AL15" s="22">
        <f t="shared" si="4"/>
        <v>32.413167678534187</v>
      </c>
      <c r="AM15" s="62">
        <f t="shared" si="5"/>
        <v>325.74650101186751</v>
      </c>
      <c r="AN15" s="62">
        <f ca="1">AVERAGE(OFFSET($AM$3,0,0,'Données projet'!$E$10+1,1))-AVERAGE(OFFSET($H$3,0,0,'Données projet'!$E$10+1,1))</f>
        <v>382.55387448074327</v>
      </c>
      <c r="AO15" s="62">
        <f t="shared" si="36"/>
        <v>476.29465646955543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310.95287409903602</v>
      </c>
      <c r="T16" s="62">
        <f t="shared" si="34"/>
        <v>224.10083380795163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8.526315789473685</v>
      </c>
      <c r="AI16" s="14">
        <f>IF('Données projet'!$A$62&gt;35,AI15+AH16-AQ15,IF(A16&lt;'Données projet'!$A$62,$AF$205^A16,IF(A16='Données projet'!$A$62,'Données projet'!$B$62,AI15+AH16-AQ15)))</f>
        <v>32.491774539539094</v>
      </c>
      <c r="AJ16" s="14">
        <f>AI16*VLOOKUP('Données projet'!$B$10,Paramètres!$A$1:$I$89,3,0)*VLOOKUP('Données projet'!$B$10,Paramètres!$A$1:$I$89,5,0)</f>
        <v>18.162901967602355</v>
      </c>
      <c r="AK16" s="14">
        <f t="shared" si="35"/>
        <v>5.9726648020514927</v>
      </c>
      <c r="AL16" s="22">
        <f t="shared" si="4"/>
        <v>42.036112123813787</v>
      </c>
      <c r="AM16" s="62">
        <f t="shared" si="5"/>
        <v>335.36944545714709</v>
      </c>
      <c r="AN16" s="62">
        <f ca="1">AVERAGE(OFFSET($AM$3,0,0,'Données projet'!$E$10+1,1))-AVERAGE(OFFSET($H$3,0,0,'Données projet'!$E$10+1,1))</f>
        <v>382.55387448074327</v>
      </c>
      <c r="AO16" s="62">
        <f t="shared" si="36"/>
        <v>476.29465646955543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310.95287409903602</v>
      </c>
      <c r="T17" s="62">
        <f t="shared" si="34"/>
        <v>224.10083380795163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8.526315789473685</v>
      </c>
      <c r="AI17" s="14">
        <f>IF('Données projet'!$A$62&gt;35,AI16+AH17-AQ16,IF(A17&lt;'Données projet'!$A$62,$AF$205^A17,IF(A17='Données projet'!$A$62,'Données projet'!$B$62,AI16+AH17-AQ16)))</f>
        <v>42.468184448710481</v>
      </c>
      <c r="AJ17" s="14">
        <f>AI17*VLOOKUP('Données projet'!$B$10,Paramètres!$A$1:$I$89,3,0)*VLOOKUP('Données projet'!$B$10,Paramètres!$A$1:$I$89,5,0)</f>
        <v>23.739715106829159</v>
      </c>
      <c r="AK17" s="14">
        <f t="shared" si="35"/>
        <v>7.5669736064602473</v>
      </c>
      <c r="AL17" s="22">
        <f t="shared" si="4"/>
        <v>54.525816175645708</v>
      </c>
      <c r="AM17" s="62">
        <f t="shared" si="5"/>
        <v>347.85914950897904</v>
      </c>
      <c r="AN17" s="62">
        <f ca="1">AVERAGE(OFFSET($AM$3,0,0,'Données projet'!$E$10+1,1))-AVERAGE(OFFSET($H$3,0,0,'Données projet'!$E$10+1,1))</f>
        <v>382.55387448074327</v>
      </c>
      <c r="AO17" s="62">
        <f t="shared" si="36"/>
        <v>476.29465646955543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310.95287409903602</v>
      </c>
      <c r="T18" s="62">
        <f t="shared" si="34"/>
        <v>224.10083380795163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8.526315789473685</v>
      </c>
      <c r="AI18" s="14">
        <f>IF('Données projet'!$A$62&gt;35,AI17+AH18-AQ17,IF(A18&lt;'Données projet'!$A$62,$AF$205^A18,IF(A18='Données projet'!$A$62,'Données projet'!$B$62,AI17+AH18-AQ17)))</f>
        <v>55.507792846923991</v>
      </c>
      <c r="AJ18" s="14">
        <f>AI18*VLOOKUP('Données projet'!$B$10,Paramètres!$A$1:$I$89,3,0)*VLOOKUP('Données projet'!$B$10,Paramètres!$A$1:$I$89,5,0)</f>
        <v>31.028856201430514</v>
      </c>
      <c r="AK18" s="14">
        <f t="shared" si="35"/>
        <v>9.5868580371693835</v>
      </c>
      <c r="AL18" s="22">
        <f t="shared" si="4"/>
        <v>70.739035632228152</v>
      </c>
      <c r="AM18" s="62">
        <f t="shared" si="5"/>
        <v>364.07236896556145</v>
      </c>
      <c r="AN18" s="62">
        <f ca="1">AVERAGE(OFFSET($AM$3,0,0,'Données projet'!$E$10+1,1))-AVERAGE(OFFSET($H$3,0,0,'Données projet'!$E$10+1,1))</f>
        <v>382.55387448074327</v>
      </c>
      <c r="AO18" s="62">
        <f t="shared" si="36"/>
        <v>476.29465646955543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310.95287409903602</v>
      </c>
      <c r="T19" s="62">
        <f t="shared" si="34"/>
        <v>224.10083380795163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8.526315789473685</v>
      </c>
      <c r="AI19" s="14">
        <f>IF('Données projet'!$A$62&gt;35,AI18+AH19-AQ18,IF(A19&lt;'Données projet'!$A$62,$AF$205^A19,IF(A19='Données projet'!$A$62,'Données projet'!$B$62,AI18+AH19-AQ18)))</f>
        <v>72.551136968384853</v>
      </c>
      <c r="AJ19" s="14">
        <f>AI19*VLOOKUP('Données projet'!$B$10,Paramètres!$A$1:$I$89,3,0)*VLOOKUP('Données projet'!$B$10,Paramètres!$A$1:$I$89,5,0)</f>
        <v>40.55608556532713</v>
      </c>
      <c r="AK19" s="14">
        <f t="shared" si="35"/>
        <v>12.145918805157919</v>
      </c>
      <c r="AL19" s="22">
        <f t="shared" si="4"/>
        <v>91.78932427859479</v>
      </c>
      <c r="AM19" s="62">
        <f t="shared" si="5"/>
        <v>385.1226576119281</v>
      </c>
      <c r="AN19" s="62">
        <f ca="1">AVERAGE(OFFSET($AM$3,0,0,'Données projet'!$E$10+1,1))-AVERAGE(OFFSET($H$3,0,0,'Données projet'!$E$10+1,1))</f>
        <v>382.55387448074327</v>
      </c>
      <c r="AO19" s="62">
        <f t="shared" si="36"/>
        <v>476.29465646955543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310.95287409903602</v>
      </c>
      <c r="T20" s="62">
        <f t="shared" si="34"/>
        <v>224.10083380795163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8.526315789473685</v>
      </c>
      <c r="AI20" s="14">
        <f>IF('Données projet'!$A$62&gt;35,AI19+AH20-AQ19,IF(A20&lt;'Données projet'!$A$62,$AF$205^A20,IF(A20='Données projet'!$A$62,'Données projet'!$B$62,AI19+AH20-AQ19)))</f>
        <v>94.827540520682575</v>
      </c>
      <c r="AJ20" s="14">
        <f>AI20*VLOOKUP('Données projet'!$B$10,Paramètres!$A$1:$I$89,3,0)*VLOOKUP('Données projet'!$B$10,Paramètres!$A$1:$I$89,5,0)</f>
        <v>53.008595151061563</v>
      </c>
      <c r="AK20" s="14">
        <f t="shared" si="35"/>
        <v>15.388080542084102</v>
      </c>
      <c r="AL20" s="22">
        <f t="shared" si="4"/>
        <v>119.12421016556203</v>
      </c>
      <c r="AM20" s="62">
        <f t="shared" si="5"/>
        <v>412.45754349889535</v>
      </c>
      <c r="AN20" s="62">
        <f ca="1">AVERAGE(OFFSET($AM$3,0,0,'Données projet'!$E$10+1,1))-AVERAGE(OFFSET($H$3,0,0,'Données projet'!$E$10+1,1))</f>
        <v>382.55387448074327</v>
      </c>
      <c r="AO20" s="62">
        <f t="shared" si="36"/>
        <v>476.29465646955543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310.95287409903602</v>
      </c>
      <c r="T21" s="62">
        <f t="shared" si="34"/>
        <v>224.10083380795163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8.526315789473685</v>
      </c>
      <c r="AI21" s="14">
        <f>IF('Données projet'!$A$62&gt;35,AI20+AH21-AQ20,IF(A21&lt;'Données projet'!$A$62,$AF$205^A21,IF(A21='Données projet'!$A$62,'Données projet'!$B$62,AI20+AH21-AQ20)))</f>
        <v>123.94378388749713</v>
      </c>
      <c r="AJ21" s="14">
        <f>AI21*VLOOKUP('Données projet'!$B$10,Paramètres!$A$1:$I$89,3,0)*VLOOKUP('Données projet'!$B$10,Paramètres!$A$1:$I$89,5,0)</f>
        <v>69.284575193110896</v>
      </c>
      <c r="AK21" s="14">
        <f t="shared" si="35"/>
        <v>19.495686293334202</v>
      </c>
      <c r="AL21" s="22">
        <f t="shared" si="4"/>
        <v>154.62562208889187</v>
      </c>
      <c r="AM21" s="62">
        <f t="shared" si="5"/>
        <v>447.95895542222519</v>
      </c>
      <c r="AN21" s="62">
        <f ca="1">AVERAGE(OFFSET($AM$3,0,0,'Données projet'!$E$10+1,1))-AVERAGE(OFFSET($H$3,0,0,'Données projet'!$E$10+1,1))</f>
        <v>382.55387448074327</v>
      </c>
      <c r="AO21" s="62">
        <f t="shared" si="36"/>
        <v>476.29465646955543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310.95287409903602</v>
      </c>
      <c r="T22" s="62">
        <f t="shared" si="34"/>
        <v>224.10083380795163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>
        <f>VLOOKUP(A22,'Données projet'!$A$61:$I$81,2,0)</f>
        <v>162</v>
      </c>
      <c r="AG22" s="13">
        <f>VLOOKUP(A22,'Données projet'!$A$61:$I$81,9,0)</f>
        <v>8.526315789473685</v>
      </c>
      <c r="AH22" s="13">
        <f t="array" ref="AH22">INDEX(AG:AG,MIN(IF(ISNUMBER(AG22:AG218),ROW(AG22:AG218),"")))</f>
        <v>8.526315789473685</v>
      </c>
      <c r="AI22" s="14">
        <f>IF('Données projet'!$A$62&gt;35,AI21+AH22-AQ21,IF(A22&lt;'Données projet'!$A$62,$AF$205^A22,IF(A22='Données projet'!$A$62,'Données projet'!$B$62,AI21+AH22-AQ21)))</f>
        <v>162</v>
      </c>
      <c r="AJ22" s="14">
        <f>AI22*VLOOKUP('Données projet'!$B$10,Paramètres!$A$1:$I$89,3,0)*VLOOKUP('Données projet'!$B$10,Paramètres!$A$1:$I$89,5,0)</f>
        <v>90.557999999999993</v>
      </c>
      <c r="AK22" s="14">
        <f t="shared" si="35"/>
        <v>24.699752708509138</v>
      </c>
      <c r="AL22" s="22">
        <f t="shared" si="4"/>
        <v>200.74058596732007</v>
      </c>
      <c r="AM22" s="62">
        <f t="shared" si="5"/>
        <v>494.07391930065342</v>
      </c>
      <c r="AN22" s="62">
        <f ca="1">AVERAGE(OFFSET($AM$3,0,0,'Données projet'!$E$10+1,1))-AVERAGE(OFFSET($H$3,0,0,'Données projet'!$E$10+1,1))</f>
        <v>382.55387448074327</v>
      </c>
      <c r="AO22" s="62">
        <f t="shared" si="36"/>
        <v>476.29465646955543</v>
      </c>
      <c r="AP22" s="16">
        <f>IF(ISNA(VLOOKUP(A22,'Données projet'!$A$61:$I$81,3,0)),0,VLOOKUP(A22,'Données projet'!$A$61:$I$81,3,0))</f>
        <v>1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8.2500000000000004E-2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0.85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310.95287409903602</v>
      </c>
      <c r="T23" s="62">
        <f t="shared" si="34"/>
        <v>224.10083380795163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0.16500000000000001</v>
      </c>
      <c r="X23" s="78">
        <f>IF(ISNA(VLOOKUP(A23,'Données projet'!$A$35:$I$55,6,0)),0%,VLOOKUP(A23,'Données projet'!$A$35:$I$55,6,0)*VLOOKUP('Données projet'!$B$9,Paramètres!$A$1:$I$89,7,0))</f>
        <v>0.1925</v>
      </c>
      <c r="Y23" s="17">
        <f>IF(ISNA(VLOOKUP(A23,'Données projet'!$A$35:$I$55,7,0)),0%,VLOOKUP(A23,'Données projet'!$A$35:$I$55,7,0))</f>
        <v>0.35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28.833333333333332</v>
      </c>
      <c r="AI23" s="14">
        <f>IF('Données projet'!$A$62&gt;35,AI22+AH23-AQ22,IF(A23&lt;'Données projet'!$A$62,$AF$205^A23,IF(A23='Données projet'!$A$62,'Données projet'!$B$62,AI22+AH23-AQ22)))</f>
        <v>190.83333333333334</v>
      </c>
      <c r="AJ23" s="14">
        <f>AI23*VLOOKUP('Données projet'!$B$10,Paramètres!$A$1:$I$89,3,0)*VLOOKUP('Données projet'!$B$10,Paramètres!$A$1:$I$89,5,0)</f>
        <v>106.67583333333334</v>
      </c>
      <c r="AK23" s="14">
        <f t="shared" si="35"/>
        <v>28.546391754319739</v>
      </c>
      <c r="AL23" s="22">
        <f t="shared" si="4"/>
        <v>235.51204202766243</v>
      </c>
      <c r="AM23" s="62">
        <f t="shared" si="5"/>
        <v>528.84537536099572</v>
      </c>
      <c r="AN23" s="62">
        <f ca="1">AVERAGE(OFFSET($AM$3,0,0,'Données projet'!$E$10+1,1))-AVERAGE(OFFSET($H$3,0,0,'Données projet'!$E$10+1,1))</f>
        <v>382.55387448074327</v>
      </c>
      <c r="AO23" s="62">
        <f t="shared" si="36"/>
        <v>476.29465646955543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467.42729018925093</v>
      </c>
      <c r="S24" s="62">
        <f ca="1">AVERAGE(OFFSET($R$3,0,0,'Données projet'!$E$9+1,1))-AVERAGE(OFFSET($H$3,0,0,'Données projet'!$E$9+1,1))</f>
        <v>310.95287409903602</v>
      </c>
      <c r="T24" s="62">
        <f t="shared" si="34"/>
        <v>224.10083380795163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28.833333333333332</v>
      </c>
      <c r="AI24" s="14">
        <f>IF('Données projet'!$A$62&gt;35,AI23+AH24-AQ23,IF(A24&lt;'Données projet'!$A$62,$AF$205^A24,IF(A24='Données projet'!$A$62,'Données projet'!$B$62,AI23+AH24-AQ23)))</f>
        <v>219.66666666666669</v>
      </c>
      <c r="AJ24" s="14">
        <f>AI24*VLOOKUP('Données projet'!$B$10,Paramètres!$A$1:$I$89,3,0)*VLOOKUP('Données projet'!$B$10,Paramètres!$A$1:$I$89,5,0)</f>
        <v>122.79366666666668</v>
      </c>
      <c r="AK24" s="14">
        <f t="shared" si="35"/>
        <v>32.32570088253398</v>
      </c>
      <c r="AL24" s="22">
        <f t="shared" si="4"/>
        <v>270.16623181485778</v>
      </c>
      <c r="AM24" s="62">
        <f t="shared" si="5"/>
        <v>563.4995651481911</v>
      </c>
      <c r="AN24" s="62">
        <f ca="1">AVERAGE(OFFSET($AM$3,0,0,'Données projet'!$E$10+1,1))-AVERAGE(OFFSET($H$3,0,0,'Données projet'!$E$10+1,1))</f>
        <v>382.55387448074327</v>
      </c>
      <c r="AO24" s="62">
        <f t="shared" si="36"/>
        <v>476.29465646955543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476.75869306268868</v>
      </c>
      <c r="S25" s="62">
        <f ca="1">AVERAGE(OFFSET($R$3,0,0,'Données projet'!$E$9+1,1))-AVERAGE(OFFSET($H$3,0,0,'Données projet'!$E$9+1,1))</f>
        <v>310.95287409903602</v>
      </c>
      <c r="T25" s="62">
        <f t="shared" si="34"/>
        <v>224.10083380795163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28.833333333333332</v>
      </c>
      <c r="AI25" s="14">
        <f>IF('Données projet'!$A$62&gt;35,AI24+AH25-AQ24,IF(A25&lt;'Données projet'!$A$62,$AF$205^A25,IF(A25='Données projet'!$A$62,'Données projet'!$B$62,AI24+AH25-AQ24)))</f>
        <v>248.50000000000003</v>
      </c>
      <c r="AJ25" s="14">
        <f>AI25*VLOOKUP('Données projet'!$B$10,Paramètres!$A$1:$I$89,3,0)*VLOOKUP('Données projet'!$B$10,Paramètres!$A$1:$I$89,5,0)</f>
        <v>138.91150000000002</v>
      </c>
      <c r="AK25" s="14">
        <f t="shared" si="35"/>
        <v>36.047532265727178</v>
      </c>
      <c r="AL25" s="22">
        <f t="shared" si="4"/>
        <v>304.72031452947482</v>
      </c>
      <c r="AM25" s="62">
        <f t="shared" si="5"/>
        <v>598.05364786280813</v>
      </c>
      <c r="AN25" s="62">
        <f ca="1">AVERAGE(OFFSET($AM$3,0,0,'Données projet'!$E$10+1,1))-AVERAGE(OFFSET($H$3,0,0,'Données projet'!$E$10+1,1))</f>
        <v>382.55387448074327</v>
      </c>
      <c r="AO25" s="62">
        <f t="shared" si="36"/>
        <v>476.29465646955543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486.07899978226311</v>
      </c>
      <c r="S26" s="62">
        <f ca="1">AVERAGE(OFFSET($R$3,0,0,'Données projet'!$E$9+1,1))-AVERAGE(OFFSET($H$3,0,0,'Données projet'!$E$9+1,1))</f>
        <v>310.95287409903602</v>
      </c>
      <c r="T26" s="62">
        <f t="shared" si="34"/>
        <v>224.10083380795163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28.833333333333332</v>
      </c>
      <c r="AI26" s="14">
        <f>IF('Données projet'!$A$62&gt;35,AI25+AH26-AQ25,IF(A26&lt;'Données projet'!$A$62,$AF$205^A26,IF(A26='Données projet'!$A$62,'Données projet'!$B$62,AI25+AH26-AQ25)))</f>
        <v>277.33333333333337</v>
      </c>
      <c r="AJ26" s="14">
        <f>AI26*VLOOKUP('Données projet'!$B$10,Paramètres!$A$1:$I$89,3,0)*VLOOKUP('Données projet'!$B$10,Paramètres!$A$1:$I$89,5,0)</f>
        <v>155.02933333333334</v>
      </c>
      <c r="AK26" s="14">
        <f t="shared" si="35"/>
        <v>39.719316712120367</v>
      </c>
      <c r="AL26" s="22">
        <f t="shared" si="4"/>
        <v>339.1872321624985</v>
      </c>
      <c r="AM26" s="62">
        <f t="shared" si="5"/>
        <v>632.52056549583176</v>
      </c>
      <c r="AN26" s="62">
        <f ca="1">AVERAGE(OFFSET($AM$3,0,0,'Données projet'!$E$10+1,1))-AVERAGE(OFFSET($H$3,0,0,'Données projet'!$E$10+1,1))</f>
        <v>382.55387448074327</v>
      </c>
      <c r="AO26" s="62">
        <f t="shared" si="36"/>
        <v>476.29465646955543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495.38882314153864</v>
      </c>
      <c r="S27" s="62">
        <f ca="1">AVERAGE(OFFSET($R$3,0,0,'Données projet'!$E$9+1,1))-AVERAGE(OFFSET($H$3,0,0,'Données projet'!$E$9+1,1))</f>
        <v>310.95287409903602</v>
      </c>
      <c r="T27" s="62">
        <f t="shared" si="34"/>
        <v>224.10083380795163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28.833333333333332</v>
      </c>
      <c r="AI27" s="14">
        <f>IF('Données projet'!$A$62&gt;35,AI26+AH27-AQ26,IF(A27&lt;'Données projet'!$A$62,$AF$205^A27,IF(A27='Données projet'!$A$62,'Données projet'!$B$62,AI26+AH27-AQ26)))</f>
        <v>306.16666666666669</v>
      </c>
      <c r="AJ27" s="14">
        <f>AI27*VLOOKUP('Données projet'!$B$10,Paramètres!$A$1:$I$89,3,0)*VLOOKUP('Données projet'!$B$10,Paramètres!$A$1:$I$89,5,0)</f>
        <v>171.14716666666669</v>
      </c>
      <c r="AK27" s="14">
        <f t="shared" si="35"/>
        <v>43.346850105371793</v>
      </c>
      <c r="AL27" s="22">
        <f t="shared" si="4"/>
        <v>373.57707921130037</v>
      </c>
      <c r="AM27" s="62">
        <f t="shared" si="5"/>
        <v>666.91041254463369</v>
      </c>
      <c r="AN27" s="62">
        <f ca="1">AVERAGE(OFFSET($AM$3,0,0,'Données projet'!$E$10+1,1))-AVERAGE(OFFSET($H$3,0,0,'Données projet'!$E$10+1,1))</f>
        <v>382.55387448074327</v>
      </c>
      <c r="AO27" s="62">
        <f t="shared" si="36"/>
        <v>476.29465646955543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504.68871478129415</v>
      </c>
      <c r="S28" s="62">
        <f ca="1">AVERAGE(OFFSET($R$3,0,0,'Données projet'!$E$9+1,1))-AVERAGE(OFFSET($H$3,0,0,'Données projet'!$E$9+1,1))</f>
        <v>310.95287409903602</v>
      </c>
      <c r="T28" s="62">
        <f t="shared" si="34"/>
        <v>224.10083380795163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335</v>
      </c>
      <c r="AG28" s="13">
        <f>VLOOKUP(A28,'Données projet'!$A$61:$I$81,9,0)</f>
        <v>28.833333333333332</v>
      </c>
      <c r="AH28" s="13">
        <f t="array" ref="AH28">INDEX(AG:AG,MIN(IF(ISNUMBER(AG28:AG224),ROW(AG28:AG224),"")))</f>
        <v>28.833333333333332</v>
      </c>
      <c r="AI28" s="14">
        <f>IF('Données projet'!$A$62&gt;35,AI27+AH28-AQ27,IF(A28&lt;'Données projet'!$A$62,$AF$205^A28,IF(A28='Données projet'!$A$62,'Données projet'!$B$62,AI27+AH28-AQ27)))</f>
        <v>335</v>
      </c>
      <c r="AJ28" s="14">
        <f>AI28*VLOOKUP('Données projet'!$B$10,Paramètres!$A$1:$I$89,3,0)*VLOOKUP('Données projet'!$B$10,Paramètres!$A$1:$I$89,5,0)</f>
        <v>187.26500000000001</v>
      </c>
      <c r="AK28" s="14">
        <f t="shared" si="35"/>
        <v>46.934773872544483</v>
      </c>
      <c r="AL28" s="22">
        <f t="shared" si="4"/>
        <v>407.89793949468162</v>
      </c>
      <c r="AM28" s="62">
        <f t="shared" si="5"/>
        <v>701.23127282801488</v>
      </c>
      <c r="AN28" s="62">
        <f ca="1">AVERAGE(OFFSET($AM$3,0,0,'Données projet'!$E$10+1,1))-AVERAGE(OFFSET($H$3,0,0,'Données projet'!$E$10+1,1))</f>
        <v>382.55387448074327</v>
      </c>
      <c r="AO28" s="62">
        <f t="shared" si="36"/>
        <v>476.29465646955543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0.13750000000000001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0.75</v>
      </c>
      <c r="AU28" s="23">
        <f>EXP(-LN(2)/35)*AU27+(1-EXP(-LN(2)/35))/(LN(2)/35)*AQ28*AR28*VLOOKUP('Données projet'!$B$10,Paramètres!$A$1:$I$89,3,0)*0.475*44/12</f>
        <v>5.5060052646359701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25.633173099850424</v>
      </c>
      <c r="AX28" s="23">
        <f t="shared" si="6"/>
        <v>31.139178364486394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513.97917377376575</v>
      </c>
      <c r="S29" s="62">
        <f ca="1">AVERAGE(OFFSET($R$3,0,0,'Données projet'!$E$9+1,1))-AVERAGE(OFFSET($H$3,0,0,'Données projet'!$E$9+1,1))</f>
        <v>310.95287409903602</v>
      </c>
      <c r="T29" s="62">
        <f t="shared" si="34"/>
        <v>224.10083380795163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28</v>
      </c>
      <c r="AI29" s="14">
        <f>IF('Données projet'!$A$62&gt;35,AI28+AH29-AQ28,IF(A29&lt;'Données projet'!$A$62,$AF$205^A29,IF(A29='Données projet'!$A$62,'Données projet'!$B$62,AI28+AH29-AQ28)))</f>
        <v>309</v>
      </c>
      <c r="AJ29" s="14">
        <f>AI29*VLOOKUP('Données projet'!$B$10,Paramètres!$A$1:$I$89,3,0)*VLOOKUP('Données projet'!$B$10,Paramètres!$A$1:$I$89,5,0)</f>
        <v>172.73100000000002</v>
      </c>
      <c r="AK29" s="14">
        <f t="shared" si="35"/>
        <v>43.701108252019125</v>
      </c>
      <c r="AL29" s="22">
        <f t="shared" si="4"/>
        <v>376.9525885389333</v>
      </c>
      <c r="AM29" s="62">
        <f t="shared" si="5"/>
        <v>670.28592187226661</v>
      </c>
      <c r="AN29" s="62">
        <f ca="1">AVERAGE(OFFSET($AM$3,0,0,'Données projet'!$E$10+1,1))-AVERAGE(OFFSET($H$3,0,0,'Données projet'!$E$10+1,1))</f>
        <v>382.55387448074327</v>
      </c>
      <c r="AO29" s="62">
        <f t="shared" si="36"/>
        <v>476.29465646955543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5.3980358597280622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18.125390522232831</v>
      </c>
      <c r="AX29" s="23">
        <f t="shared" si="6"/>
        <v>23.523426381960892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523.260653683383</v>
      </c>
      <c r="S30" s="62">
        <f ca="1">AVERAGE(OFFSET($R$3,0,0,'Données projet'!$E$9+1,1))-AVERAGE(OFFSET($H$3,0,0,'Données projet'!$E$9+1,1))</f>
        <v>310.95287409903602</v>
      </c>
      <c r="T30" s="62">
        <f t="shared" si="34"/>
        <v>224.10083380795163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28</v>
      </c>
      <c r="AI30" s="14">
        <f>IF('Données projet'!$A$62&gt;35,AI29+AH30-AQ29,IF(A30&lt;'Données projet'!$A$62,$AF$205^A30,IF(A30='Données projet'!$A$62,'Données projet'!$B$62,AI29+AH30-AQ29)))</f>
        <v>337</v>
      </c>
      <c r="AJ30" s="14">
        <f>AI30*VLOOKUP('Données projet'!$B$10,Paramètres!$A$1:$I$89,3,0)*VLOOKUP('Données projet'!$B$10,Paramètres!$A$1:$I$89,5,0)</f>
        <v>188.38300000000001</v>
      </c>
      <c r="AK30" s="14">
        <f t="shared" si="35"/>
        <v>47.182279474248382</v>
      </c>
      <c r="AL30" s="22">
        <f t="shared" si="4"/>
        <v>410.27619508431599</v>
      </c>
      <c r="AM30" s="62">
        <f t="shared" si="5"/>
        <v>703.60952841764924</v>
      </c>
      <c r="AN30" s="62">
        <f ca="1">AVERAGE(OFFSET($AM$3,0,0,'Données projet'!$E$10+1,1))-AVERAGE(OFFSET($H$3,0,0,'Données projet'!$E$10+1,1))</f>
        <v>382.55387448074327</v>
      </c>
      <c r="AO30" s="62">
        <f t="shared" si="36"/>
        <v>476.29465646955543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5.2921836689955644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12.816586549925214</v>
      </c>
      <c r="AX30" s="23">
        <f t="shared" si="6"/>
        <v>18.108770218920778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532.53356842626727</v>
      </c>
      <c r="S31" s="62">
        <f ca="1">AVERAGE(OFFSET($R$3,0,0,'Données projet'!$E$9+1,1))-AVERAGE(OFFSET($H$3,0,0,'Données projet'!$E$9+1,1))</f>
        <v>310.95287409903602</v>
      </c>
      <c r="T31" s="62">
        <f t="shared" si="34"/>
        <v>224.10083380795163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28</v>
      </c>
      <c r="AI31" s="14">
        <f>IF('Données projet'!$A$62&gt;35,AI30+AH31-AQ30,IF(A31&lt;'Données projet'!$A$62,$AF$205^A31,IF(A31='Données projet'!$A$62,'Données projet'!$B$62,AI30+AH31-AQ30)))</f>
        <v>365</v>
      </c>
      <c r="AJ31" s="14">
        <f>AI31*VLOOKUP('Données projet'!$B$10,Paramètres!$A$1:$I$89,3,0)*VLOOKUP('Données projet'!$B$10,Paramètres!$A$1:$I$89,5,0)</f>
        <v>204.035</v>
      </c>
      <c r="AK31" s="14">
        <f t="shared" si="35"/>
        <v>50.629905099971396</v>
      </c>
      <c r="AL31" s="22">
        <f t="shared" si="4"/>
        <v>443.54137638245015</v>
      </c>
      <c r="AM31" s="62">
        <f t="shared" si="5"/>
        <v>736.87470971578341</v>
      </c>
      <c r="AN31" s="62">
        <f ca="1">AVERAGE(OFFSET($AM$3,0,0,'Données projet'!$E$10+1,1))-AVERAGE(OFFSET($H$3,0,0,'Données projet'!$E$10+1,1))</f>
        <v>382.55387448074327</v>
      </c>
      <c r="AO31" s="62">
        <f t="shared" si="36"/>
        <v>476.29465646955543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5.1884071751598695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9.0626952611164171</v>
      </c>
      <c r="AX31" s="23">
        <f t="shared" si="6"/>
        <v>14.251102436276287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541.79829717248401</v>
      </c>
      <c r="S32" s="62">
        <f ca="1">AVERAGE(OFFSET($R$3,0,0,'Données projet'!$E$9+1,1))-AVERAGE(OFFSET($H$3,0,0,'Données projet'!$E$9+1,1))</f>
        <v>310.95287409903602</v>
      </c>
      <c r="T32" s="62">
        <f t="shared" si="34"/>
        <v>224.10083380795163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28</v>
      </c>
      <c r="AI32" s="14">
        <f>IF('Données projet'!$A$62&gt;35,AI31+AH32-AQ31,IF(A32&lt;'Données projet'!$A$62,$AF$205^A32,IF(A32='Données projet'!$A$62,'Données projet'!$B$62,AI31+AH32-AQ31)))</f>
        <v>393</v>
      </c>
      <c r="AJ32" s="14">
        <f>AI32*VLOOKUP('Données projet'!$B$10,Paramètres!$A$1:$I$89,3,0)*VLOOKUP('Données projet'!$B$10,Paramètres!$A$1:$I$89,5,0)</f>
        <v>219.68700000000001</v>
      </c>
      <c r="AK32" s="14">
        <f t="shared" si="35"/>
        <v>54.046851081096591</v>
      </c>
      <c r="AL32" s="22">
        <f t="shared" si="4"/>
        <v>476.75312396624321</v>
      </c>
      <c r="AM32" s="62">
        <f t="shared" si="5"/>
        <v>770.08645729957652</v>
      </c>
      <c r="AN32" s="62">
        <f ca="1">AVERAGE(OFFSET($AM$3,0,0,'Données projet'!$E$10+1,1))-AVERAGE(OFFSET($H$3,0,0,'Données projet'!$E$10+1,1))</f>
        <v>382.55387448074327</v>
      </c>
      <c r="AO32" s="62">
        <f t="shared" si="36"/>
        <v>476.29465646955543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5.0866656750708819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6.4082932749626078</v>
      </c>
      <c r="AX32" s="23">
        <f t="shared" si="6"/>
        <v>11.494958950033489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310.95287409903602</v>
      </c>
      <c r="T33" s="62">
        <f t="shared" si="34"/>
        <v>224.10083380795163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8.2500000000000004E-2</v>
      </c>
      <c r="Y33" s="17">
        <f>IF(ISNA(VLOOKUP(A33,'Données projet'!$A$35:$I$55,7,0)),0%,VLOOKUP(A33,'Données projet'!$A$35:$I$55,7,0))</f>
        <v>0.15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421</v>
      </c>
      <c r="AG33" s="13">
        <f>VLOOKUP(A33,'Données projet'!$A$61:$I$81,9,0)</f>
        <v>28</v>
      </c>
      <c r="AH33" s="13">
        <f t="array" ref="AH33">INDEX(AG:AG,MIN(IF(ISNUMBER(AG33:AG229),ROW(AG33:AG229),"")))</f>
        <v>28</v>
      </c>
      <c r="AI33" s="14">
        <f>IF('Données projet'!$A$62&gt;35,AI32+AH33-AQ32,IF(A33&lt;'Données projet'!$A$62,$AF$205^A33,IF(A33='Données projet'!$A$62,'Données projet'!$B$62,AI32+AH33-AQ32)))</f>
        <v>421</v>
      </c>
      <c r="AJ33" s="14">
        <f>AI33*VLOOKUP('Données projet'!$B$10,Paramètres!$A$1:$I$89,3,0)*VLOOKUP('Données projet'!$B$10,Paramètres!$A$1:$I$89,5,0)</f>
        <v>235.339</v>
      </c>
      <c r="AK33" s="14">
        <f t="shared" si="35"/>
        <v>57.43555185051494</v>
      </c>
      <c r="AL33" s="22">
        <f t="shared" si="4"/>
        <v>509.91567780631357</v>
      </c>
      <c r="AM33" s="62">
        <f t="shared" si="5"/>
        <v>803.24901113964688</v>
      </c>
      <c r="AN33" s="62">
        <f ca="1">AVERAGE(OFFSET($AM$3,0,0,'Données projet'!$E$10+1,1))-AVERAGE(OFFSET($H$3,0,0,'Données projet'!$E$10+1,1))</f>
        <v>382.55387448074327</v>
      </c>
      <c r="AO33" s="62">
        <f t="shared" si="36"/>
        <v>476.29465646955543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54</v>
      </c>
      <c r="AR33" s="17">
        <f>IF(ISNA(VLOOKUP(A33,'Données projet'!$A$61:$I$81,5,0)),0%,VLOOKUP(A33,'Données projet'!$A$61:$I$81,5,0)*VLOOKUP('Données projet'!$B$10,Paramètres!$A$1:$I$89,7,0))</f>
        <v>0.1925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0.65</v>
      </c>
      <c r="AU33" s="23">
        <f>EXP(-LN(2)/35)*AU32+(1-EXP(-LN(2)/35))/(LN(2)/35)*AQ33*AR33*VLOOKUP('Données projet'!$B$10,Paramètres!$A$1:$I$89,3,0)*0.475*44/12</f>
        <v>12.695326634232808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26.746764317095245</v>
      </c>
      <c r="AX33" s="23">
        <f t="shared" si="6"/>
        <v>39.442090951328055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310.95287409903602</v>
      </c>
      <c r="T34" s="62">
        <f t="shared" si="34"/>
        <v>224.10083380795163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27.6</v>
      </c>
      <c r="AI34" s="14">
        <f>IF('Données projet'!$A$62&gt;35,AI33+AH34-AQ33,IF(A34&lt;'Données projet'!$A$62,$AF$205^A34,IF(A34='Données projet'!$A$62,'Données projet'!$B$62,AI33+AH34-AQ33)))</f>
        <v>394.6</v>
      </c>
      <c r="AJ34" s="14">
        <f>AI34*VLOOKUP('Données projet'!$B$10,Paramètres!$A$1:$I$89,3,0)*VLOOKUP('Données projet'!$B$10,Paramètres!$A$1:$I$89,5,0)</f>
        <v>220.5814</v>
      </c>
      <c r="AK34" s="14">
        <f t="shared" si="35"/>
        <v>54.241230721401301</v>
      </c>
      <c r="AL34" s="22">
        <f t="shared" si="4"/>
        <v>478.64941517310723</v>
      </c>
      <c r="AM34" s="62">
        <f t="shared" si="5"/>
        <v>771.98274850644054</v>
      </c>
      <c r="AN34" s="62">
        <f ca="1">AVERAGE(OFFSET($AM$3,0,0,'Données projet'!$E$10+1,1))-AVERAGE(OFFSET($H$3,0,0,'Données projet'!$E$10+1,1))</f>
        <v>382.55387448074327</v>
      </c>
      <c r="AO34" s="62">
        <f t="shared" si="36"/>
        <v>476.29465646955543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12.446379022320153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18.912818423416425</v>
      </c>
      <c r="AX34" s="23">
        <f t="shared" si="6"/>
        <v>31.359197445736577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310.95287409903602</v>
      </c>
      <c r="T35" s="62">
        <f t="shared" si="34"/>
        <v>224.10083380795163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27.6</v>
      </c>
      <c r="AI35" s="14">
        <f>IF('Données projet'!$A$62&gt;35,AI34+AH35-AQ34,IF(A35&lt;'Données projet'!$A$62,$AF$205^A35,IF(A35='Données projet'!$A$62,'Données projet'!$B$62,AI34+AH35-AQ34)))</f>
        <v>422.20000000000005</v>
      </c>
      <c r="AJ35" s="14">
        <f>AI35*VLOOKUP('Données projet'!$B$10,Paramètres!$A$1:$I$89,3,0)*VLOOKUP('Données projet'!$B$10,Paramètres!$A$1:$I$89,5,0)</f>
        <v>236.00980000000004</v>
      </c>
      <c r="AK35" s="14">
        <f t="shared" si="35"/>
        <v>57.580183613654185</v>
      </c>
      <c r="AL35" s="22">
        <f t="shared" si="4"/>
        <v>511.3358881271144</v>
      </c>
      <c r="AM35" s="62">
        <f t="shared" si="5"/>
        <v>804.66922146044772</v>
      </c>
      <c r="AN35" s="62">
        <f ca="1">AVERAGE(OFFSET($AM$3,0,0,'Données projet'!$E$10+1,1))-AVERAGE(OFFSET($H$3,0,0,'Données projet'!$E$10+1,1))</f>
        <v>382.55387448074327</v>
      </c>
      <c r="AO35" s="62">
        <f t="shared" si="36"/>
        <v>476.29465646955543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12.202313121234056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13.373382158547624</v>
      </c>
      <c r="AX35" s="23">
        <f t="shared" si="6"/>
        <v>25.57569527978168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310.95287409903602</v>
      </c>
      <c r="T36" s="62">
        <f t="shared" si="34"/>
        <v>224.10083380795163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27.6</v>
      </c>
      <c r="AI36" s="14">
        <f>IF('Données projet'!$A$62&gt;35,AI35+AH36-AQ35,IF(A36&lt;'Données projet'!$A$62,$AF$205^A36,IF(A36='Données projet'!$A$62,'Données projet'!$B$62,AI35+AH36-AQ35)))</f>
        <v>449.80000000000007</v>
      </c>
      <c r="AJ36" s="14">
        <f>AI36*VLOOKUP('Données projet'!$B$10,Paramètres!$A$1:$I$89,3,0)*VLOOKUP('Données projet'!$B$10,Paramètres!$A$1:$I$89,5,0)</f>
        <v>251.43820000000002</v>
      </c>
      <c r="AK36" s="14">
        <f t="shared" si="35"/>
        <v>60.893806844597648</v>
      </c>
      <c r="AL36" s="22">
        <f t="shared" si="4"/>
        <v>543.978245254341</v>
      </c>
      <c r="AM36" s="62">
        <f t="shared" si="5"/>
        <v>837.31157858767438</v>
      </c>
      <c r="AN36" s="62">
        <f ca="1">AVERAGE(OFFSET($AM$3,0,0,'Données projet'!$E$10+1,1))-AVERAGE(OFFSET($H$3,0,0,'Données projet'!$E$10+1,1))</f>
        <v>382.55387448074327</v>
      </c>
      <c r="AO36" s="62">
        <f t="shared" si="36"/>
        <v>476.29465646955543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11.963033203602757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9.4564092117082144</v>
      </c>
      <c r="AX36" s="23">
        <f t="shared" si="6"/>
        <v>21.419442415310971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310.95287409903602</v>
      </c>
      <c r="T37" s="62">
        <f t="shared" si="34"/>
        <v>224.10083380795163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27.6</v>
      </c>
      <c r="AI37" s="14">
        <f>IF('Données projet'!$A$62&gt;35,AI36+AH37-AQ36,IF(A37&lt;'Données projet'!$A$62,$AF$205^A37,IF(A37='Données projet'!$A$62,'Données projet'!$B$62,AI36+AH37-AQ36)))</f>
        <v>477.40000000000009</v>
      </c>
      <c r="AJ37" s="14">
        <f>AI37*VLOOKUP('Données projet'!$B$10,Paramètres!$A$1:$I$89,3,0)*VLOOKUP('Données projet'!$B$10,Paramètres!$A$1:$I$89,5,0)</f>
        <v>266.86660000000006</v>
      </c>
      <c r="AK37" s="14">
        <f t="shared" si="35"/>
        <v>64.183831628008477</v>
      </c>
      <c r="AL37" s="22">
        <f t="shared" si="4"/>
        <v>576.57950175211477</v>
      </c>
      <c r="AM37" s="62">
        <f t="shared" si="5"/>
        <v>869.91283508544802</v>
      </c>
      <c r="AN37" s="62">
        <f ca="1">AVERAGE(OFFSET($AM$3,0,0,'Données projet'!$E$10+1,1))-AVERAGE(OFFSET($H$3,0,0,'Données projet'!$E$10+1,1))</f>
        <v>382.55387448074327</v>
      </c>
      <c r="AO37" s="62">
        <f t="shared" si="36"/>
        <v>476.29465646955543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11.728445419209869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6.686691079273813</v>
      </c>
      <c r="AX37" s="23">
        <f t="shared" si="6"/>
        <v>18.415136498483683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310.95287409903602</v>
      </c>
      <c r="T38" s="62">
        <f t="shared" si="34"/>
        <v>224.10083380795163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505</v>
      </c>
      <c r="AG38" s="13">
        <f>VLOOKUP(A38,'Données projet'!$A$61:$I$81,9,0)</f>
        <v>27.6</v>
      </c>
      <c r="AH38" s="13">
        <f t="array" ref="AH38">INDEX(AG:AG,MIN(IF(ISNUMBER(AG38:AG234),ROW(AG38:AG234),"")))</f>
        <v>27.6</v>
      </c>
      <c r="AI38" s="14">
        <f>IF('Données projet'!$A$62&gt;35,AI37+AH38-AQ37,IF(A38&lt;'Données projet'!$A$62,$AF$205^A38,IF(A38='Données projet'!$A$62,'Données projet'!$B$62,AI37+AH38-AQ37)))</f>
        <v>505.00000000000011</v>
      </c>
      <c r="AJ38" s="14">
        <f>AI38*VLOOKUP('Données projet'!$B$10,Paramètres!$A$1:$I$89,3,0)*VLOOKUP('Données projet'!$B$10,Paramètres!$A$1:$I$89,5,0)</f>
        <v>282.29500000000007</v>
      </c>
      <c r="AK38" s="14">
        <f t="shared" si="35"/>
        <v>67.451777696853824</v>
      </c>
      <c r="AL38" s="22">
        <f t="shared" si="4"/>
        <v>609.14230448868716</v>
      </c>
      <c r="AM38" s="62">
        <f t="shared" si="5"/>
        <v>902.47563782202042</v>
      </c>
      <c r="AN38" s="62">
        <f ca="1">AVERAGE(OFFSET($AM$3,0,0,'Données projet'!$E$10+1,1))-AVERAGE(OFFSET($H$3,0,0,'Données projet'!$E$10+1,1))</f>
        <v>382.55387448074327</v>
      </c>
      <c r="AO38" s="62">
        <f t="shared" si="36"/>
        <v>476.29465646955543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69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11.498457758184506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4.7282046058541081</v>
      </c>
      <c r="AX38" s="23">
        <f t="shared" si="6"/>
        <v>16.226662364038614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310.95287409903602</v>
      </c>
      <c r="T39" s="62">
        <f t="shared" si="34"/>
        <v>224.10083380795163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25.6</v>
      </c>
      <c r="AI39" s="14">
        <f>IF('Données projet'!$A$62&gt;35,AI38+AH39-AQ38,IF(A39&lt;'Données projet'!$A$62,$AF$205^A39,IF(A39='Données projet'!$A$62,'Données projet'!$B$62,AI38+AH39-AQ38)))</f>
        <v>461.60000000000014</v>
      </c>
      <c r="AJ39" s="14">
        <f>AI39*VLOOKUP('Données projet'!$B$10,Paramètres!$A$1:$I$89,3,0)*VLOOKUP('Données projet'!$B$10,Paramètres!$A$1:$I$89,5,0)</f>
        <v>258.03440000000006</v>
      </c>
      <c r="AK39" s="14">
        <f t="shared" si="35"/>
        <v>62.303206596431174</v>
      </c>
      <c r="AL39" s="22">
        <f t="shared" si="4"/>
        <v>557.9213314887844</v>
      </c>
      <c r="AM39" s="62">
        <f t="shared" si="5"/>
        <v>851.25466482211777</v>
      </c>
      <c r="AN39" s="62">
        <f ca="1">AVERAGE(OFFSET($AM$3,0,0,'Données projet'!$E$10+1,1))-AVERAGE(OFFSET($H$3,0,0,'Données projet'!$E$10+1,1))</f>
        <v>382.55387448074327</v>
      </c>
      <c r="AO39" s="62">
        <f t="shared" si="36"/>
        <v>476.29465646955543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11.272980014913227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3.3433455396369074</v>
      </c>
      <c r="AX39" s="23">
        <f t="shared" si="6"/>
        <v>14.616325554550134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310.95287409903602</v>
      </c>
      <c r="T40" s="62">
        <f t="shared" si="34"/>
        <v>224.10083380795163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25.6</v>
      </c>
      <c r="AI40" s="14">
        <f>IF('Données projet'!$A$62&gt;35,AI39+AH40-AQ39,IF(A40&lt;'Données projet'!$A$62,$AF$205^A40,IF(A40='Données projet'!$A$62,'Données projet'!$B$62,AI39+AH40-AQ39)))</f>
        <v>487.20000000000016</v>
      </c>
      <c r="AJ40" s="14">
        <f>AI40*VLOOKUP('Données projet'!$B$10,Paramètres!$A$1:$I$89,3,0)*VLOOKUP('Données projet'!$B$10,Paramètres!$A$1:$I$89,5,0)</f>
        <v>272.34480000000008</v>
      </c>
      <c r="AK40" s="14">
        <f t="shared" si="35"/>
        <v>65.346644318451709</v>
      </c>
      <c r="AL40" s="22">
        <f t="shared" si="4"/>
        <v>588.14593218797006</v>
      </c>
      <c r="AM40" s="62">
        <f t="shared" si="5"/>
        <v>881.47926552130343</v>
      </c>
      <c r="AN40" s="62">
        <f ca="1">AVERAGE(OFFSET($AM$3,0,0,'Données projet'!$E$10+1,1))-AVERAGE(OFFSET($H$3,0,0,'Données projet'!$E$10+1,1))</f>
        <v>382.55387448074327</v>
      </c>
      <c r="AO40" s="62">
        <f t="shared" si="36"/>
        <v>476.29465646955543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11.051923752659654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2.3641023029270545</v>
      </c>
      <c r="AX40" s="23">
        <f t="shared" si="6"/>
        <v>13.416026055586709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310.95287409903602</v>
      </c>
      <c r="T41" s="62">
        <f t="shared" si="34"/>
        <v>224.10083380795163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25.6</v>
      </c>
      <c r="AI41" s="14">
        <f>IF('Données projet'!$A$62&gt;35,AI40+AH41-AQ40,IF(A41&lt;'Données projet'!$A$62,$AF$205^A41,IF(A41='Données projet'!$A$62,'Données projet'!$B$62,AI40+AH41-AQ40)))</f>
        <v>512.80000000000018</v>
      </c>
      <c r="AJ41" s="14">
        <f>AI41*VLOOKUP('Données projet'!$B$10,Paramètres!$A$1:$I$89,3,0)*VLOOKUP('Données projet'!$B$10,Paramètres!$A$1:$I$89,5,0)</f>
        <v>286.65520000000009</v>
      </c>
      <c r="AK41" s="14">
        <f t="shared" si="35"/>
        <v>68.37151538584105</v>
      </c>
      <c r="AL41" s="22">
        <f t="shared" si="4"/>
        <v>618.33819596367323</v>
      </c>
      <c r="AM41" s="62">
        <f t="shared" si="5"/>
        <v>911.6715292970066</v>
      </c>
      <c r="AN41" s="62">
        <f ca="1">AVERAGE(OFFSET($AM$3,0,0,'Données projet'!$E$10+1,1))-AVERAGE(OFFSET($H$3,0,0,'Données projet'!$E$10+1,1))</f>
        <v>382.55387448074327</v>
      </c>
      <c r="AO41" s="62">
        <f t="shared" si="36"/>
        <v>476.29465646955543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10.835202268877868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1.6716727698184539</v>
      </c>
      <c r="AX41" s="23">
        <f t="shared" si="6"/>
        <v>12.506875038696322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310.95287409903602</v>
      </c>
      <c r="T42" s="62">
        <f t="shared" si="34"/>
        <v>224.10083380795163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25.6</v>
      </c>
      <c r="AI42" s="14">
        <f>IF('Données projet'!$A$62&gt;35,AI41+AH42-AQ41,IF(A42&lt;'Données projet'!$A$62,$AF$205^A42,IF(A42='Données projet'!$A$62,'Données projet'!$B$62,AI41+AH42-AQ41)))</f>
        <v>538.4000000000002</v>
      </c>
      <c r="AJ42" s="14">
        <f>AI42*VLOOKUP('Données projet'!$B$10,Paramètres!$A$1:$I$89,3,0)*VLOOKUP('Données projet'!$B$10,Paramètres!$A$1:$I$89,5,0)</f>
        <v>300.96560000000011</v>
      </c>
      <c r="AK42" s="14">
        <f t="shared" si="35"/>
        <v>71.378852450242803</v>
      </c>
      <c r="AL42" s="22">
        <f t="shared" si="4"/>
        <v>648.49992135083971</v>
      </c>
      <c r="AM42" s="62">
        <f t="shared" si="5"/>
        <v>941.83325468417297</v>
      </c>
      <c r="AN42" s="62">
        <f ca="1">AVERAGE(OFFSET($AM$3,0,0,'Données projet'!$E$10+1,1))-AVERAGE(OFFSET($H$3,0,0,'Données projet'!$E$10+1,1))</f>
        <v>382.55387448074327</v>
      </c>
      <c r="AO42" s="62">
        <f t="shared" si="36"/>
        <v>476.29465646955543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10.622730561205991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1.1820511514635275</v>
      </c>
      <c r="AX42" s="23">
        <f t="shared" si="6"/>
        <v>11.804781712669518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310.95287409903602</v>
      </c>
      <c r="T43" s="62">
        <f t="shared" si="34"/>
        <v>224.10083380795163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564</v>
      </c>
      <c r="AG43" s="13">
        <f>VLOOKUP(A43,'Données projet'!$A$61:$I$81,9,0)</f>
        <v>25.6</v>
      </c>
      <c r="AH43" s="13">
        <f t="array" ref="AH43">INDEX(AG:AG,MIN(IF(ISNUMBER(AG43:AG239),ROW(AG43:AG239),"")))</f>
        <v>25.6</v>
      </c>
      <c r="AI43" s="14">
        <f>IF('Données projet'!$A$62&gt;35,AI42+AH43-AQ42,IF(A43&lt;'Données projet'!$A$62,$AF$205^A43,IF(A43='Données projet'!$A$62,'Données projet'!$B$62,AI42+AH43-AQ42)))</f>
        <v>564.00000000000023</v>
      </c>
      <c r="AJ43" s="14">
        <f>AI43*VLOOKUP('Données projet'!$B$10,Paramètres!$A$1:$I$89,3,0)*VLOOKUP('Données projet'!$B$10,Paramètres!$A$1:$I$89,5,0)</f>
        <v>315.27600000000012</v>
      </c>
      <c r="AK43" s="14">
        <f t="shared" si="35"/>
        <v>74.36958441265493</v>
      </c>
      <c r="AL43" s="22">
        <f t="shared" si="4"/>
        <v>678.63272618537417</v>
      </c>
      <c r="AM43" s="62">
        <f t="shared" si="5"/>
        <v>971.96605951870743</v>
      </c>
      <c r="AN43" s="62">
        <f ca="1">AVERAGE(OFFSET($AM$3,0,0,'Données projet'!$E$10+1,1))-AVERAGE(OFFSET($H$3,0,0,'Données projet'!$E$10+1,1))</f>
        <v>382.55387448074327</v>
      </c>
      <c r="AO43" s="62">
        <f t="shared" si="36"/>
        <v>476.29465646955543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72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10.414425294126612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0.83583638490922707</v>
      </c>
      <c r="AX43" s="23">
        <f t="shared" si="6"/>
        <v>11.250261679035839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310.95287409903602</v>
      </c>
      <c r="T44" s="62">
        <f t="shared" si="34"/>
        <v>224.10083380795163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22.8</v>
      </c>
      <c r="AI44" s="14">
        <f>IF('Données projet'!$A$62&gt;35,AI43+AH44-AQ43,IF(A44&lt;'Données projet'!$A$62,$AF$205^A44,IF(A44='Données projet'!$A$62,'Données projet'!$B$62,AI43+AH44-AQ43)))</f>
        <v>514.80000000000018</v>
      </c>
      <c r="AJ44" s="14">
        <f>AI44*VLOOKUP('Données projet'!$B$10,Paramètres!$A$1:$I$89,3,0)*VLOOKUP('Données projet'!$B$10,Paramètres!$A$1:$I$89,5,0)</f>
        <v>287.77320000000009</v>
      </c>
      <c r="AK44" s="14">
        <f t="shared" si="35"/>
        <v>68.607082381743922</v>
      </c>
      <c r="AL44" s="22">
        <f t="shared" si="4"/>
        <v>620.69565848153741</v>
      </c>
      <c r="AM44" s="62">
        <f t="shared" si="5"/>
        <v>914.02899181487078</v>
      </c>
      <c r="AN44" s="62">
        <f ca="1">AVERAGE(OFFSET($AM$3,0,0,'Données projet'!$E$10+1,1))-AVERAGE(OFFSET($H$3,0,0,'Données projet'!$E$10+1,1))</f>
        <v>382.55387448074327</v>
      </c>
      <c r="AO44" s="62">
        <f t="shared" si="36"/>
        <v>476.29465646955543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10.210204766280993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0.59102557573176373</v>
      </c>
      <c r="AX44" s="23">
        <f t="shared" si="6"/>
        <v>10.801230342012758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310.95287409903602</v>
      </c>
      <c r="T45" s="62">
        <f t="shared" si="34"/>
        <v>224.10083380795163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22.8</v>
      </c>
      <c r="AI45" s="14">
        <f>IF('Données projet'!$A$62&gt;35,AI44+AH45-AQ44,IF(A45&lt;'Données projet'!$A$62,$AF$205^A45,IF(A45='Données projet'!$A$62,'Données projet'!$B$62,AI44+AH45-AQ44)))</f>
        <v>537.60000000000014</v>
      </c>
      <c r="AJ45" s="14">
        <f>AI45*VLOOKUP('Données projet'!$B$10,Paramètres!$A$1:$I$89,3,0)*VLOOKUP('Données projet'!$B$10,Paramètres!$A$1:$I$89,5,0)</f>
        <v>300.5184000000001</v>
      </c>
      <c r="AK45" s="14">
        <f t="shared" si="35"/>
        <v>71.285129105116411</v>
      </c>
      <c r="AL45" s="22">
        <f t="shared" si="4"/>
        <v>647.55781319141124</v>
      </c>
      <c r="AM45" s="62">
        <f t="shared" si="5"/>
        <v>940.8911465247445</v>
      </c>
      <c r="AN45" s="62">
        <f ca="1">AVERAGE(OFFSET($AM$3,0,0,'Données projet'!$E$10+1,1))-AVERAGE(OFFSET($H$3,0,0,'Données projet'!$E$10+1,1))</f>
        <v>382.55387448074327</v>
      </c>
      <c r="AO45" s="62">
        <f t="shared" si="36"/>
        <v>476.29465646955543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10.009988878424204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0.41791819245461354</v>
      </c>
      <c r="AX45" s="23">
        <f t="shared" si="6"/>
        <v>10.427907070878819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310.95287409903602</v>
      </c>
      <c r="T46" s="62">
        <f t="shared" si="34"/>
        <v>224.10083380795163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22.8</v>
      </c>
      <c r="AI46" s="14">
        <f>IF('Données projet'!$A$62&gt;35,AI45+AH46-AQ45,IF(A46&lt;'Données projet'!$A$62,$AF$205^A46,IF(A46='Données projet'!$A$62,'Données projet'!$B$62,AI45+AH46-AQ45)))</f>
        <v>560.40000000000009</v>
      </c>
      <c r="AJ46" s="14">
        <f>AI46*VLOOKUP('Données projet'!$B$10,Paramètres!$A$1:$I$89,3,0)*VLOOKUP('Données projet'!$B$10,Paramètres!$A$1:$I$89,5,0)</f>
        <v>313.26360000000005</v>
      </c>
      <c r="AK46" s="14">
        <f t="shared" si="35"/>
        <v>73.949983766039026</v>
      </c>
      <c r="AL46" s="22">
        <f t="shared" si="4"/>
        <v>674.39699172585131</v>
      </c>
      <c r="AM46" s="62">
        <f t="shared" si="5"/>
        <v>967.73032505918468</v>
      </c>
      <c r="AN46" s="62">
        <f ca="1">AVERAGE(OFFSET($AM$3,0,0,'Données projet'!$E$10+1,1))-AVERAGE(OFFSET($H$3,0,0,'Données projet'!$E$10+1,1))</f>
        <v>382.55387448074327</v>
      </c>
      <c r="AO46" s="62">
        <f t="shared" si="36"/>
        <v>476.29465646955543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9.8136991020086537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0.29551278786588187</v>
      </c>
      <c r="AX46" s="23">
        <f t="shared" si="6"/>
        <v>10.109211889874535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310.95287409903602</v>
      </c>
      <c r="T47" s="62">
        <f t="shared" si="34"/>
        <v>224.10083380795163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22.8</v>
      </c>
      <c r="AI47" s="14">
        <f>IF('Données projet'!$A$62&gt;35,AI46+AH47-AQ46,IF(A47&lt;'Données projet'!$A$62,$AF$205^A47,IF(A47='Données projet'!$A$62,'Données projet'!$B$62,AI46+AH47-AQ46)))</f>
        <v>583.20000000000005</v>
      </c>
      <c r="AJ47" s="14">
        <f>AI47*VLOOKUP('Données projet'!$B$10,Paramètres!$A$1:$I$89,3,0)*VLOOKUP('Données projet'!$B$10,Paramètres!$A$1:$I$89,5,0)</f>
        <v>326.00880000000001</v>
      </c>
      <c r="AK47" s="14">
        <f t="shared" si="35"/>
        <v>76.602244480772981</v>
      </c>
      <c r="AL47" s="22">
        <f t="shared" si="4"/>
        <v>701.2142358040129</v>
      </c>
      <c r="AM47" s="62">
        <f t="shared" si="5"/>
        <v>994.54756913734627</v>
      </c>
      <c r="AN47" s="62">
        <f ca="1">AVERAGE(OFFSET($AM$3,0,0,'Données projet'!$E$10+1,1))-AVERAGE(OFFSET($H$3,0,0,'Données projet'!$E$10+1,1))</f>
        <v>382.55387448074327</v>
      </c>
      <c r="AO47" s="62">
        <f t="shared" si="36"/>
        <v>476.29465646955543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9.6212584483836707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0.20895909622730677</v>
      </c>
      <c r="AX47" s="23">
        <f t="shared" si="6"/>
        <v>9.8302175446109779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310.95287409903602</v>
      </c>
      <c r="T48" s="62">
        <f t="shared" si="34"/>
        <v>224.10083380795163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606</v>
      </c>
      <c r="AG48" s="13">
        <f>VLOOKUP(A48,'Données projet'!$A$61:$I$81,9,0)</f>
        <v>22.8</v>
      </c>
      <c r="AH48" s="13">
        <f t="array" ref="AH48">INDEX(AG:AG,MIN(IF(ISNUMBER(AG48:AG244),ROW(AG48:AG244),"")))</f>
        <v>22.8</v>
      </c>
      <c r="AI48" s="14">
        <f>IF('Données projet'!$A$62&gt;35,AI47+AH48-AQ47,IF(A48&lt;'Données projet'!$A$62,$AF$205^A48,IF(A48='Données projet'!$A$62,'Données projet'!$B$62,AI47+AH48-AQ47)))</f>
        <v>606</v>
      </c>
      <c r="AJ48" s="14">
        <f>AI48*VLOOKUP('Données projet'!$B$10,Paramètres!$A$1:$I$89,3,0)*VLOOKUP('Données projet'!$B$10,Paramètres!$A$1:$I$89,5,0)</f>
        <v>338.75400000000002</v>
      </c>
      <c r="AK48" s="14">
        <f t="shared" si="35"/>
        <v>79.242459951408904</v>
      </c>
      <c r="AL48" s="22">
        <f t="shared" si="4"/>
        <v>728.01050108203719</v>
      </c>
      <c r="AM48" s="62">
        <f t="shared" si="5"/>
        <v>1021.3438344153706</v>
      </c>
      <c r="AN48" s="62">
        <f ca="1">AVERAGE(OFFSET($AM$3,0,0,'Données projet'!$E$10+1,1))-AVERAGE(OFFSET($H$3,0,0,'Données projet'!$E$10+1,1))</f>
        <v>382.55387448074327</v>
      </c>
      <c r="AO48" s="62">
        <f t="shared" si="36"/>
        <v>476.29465646955543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66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9.432591438599065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0.14775639393294093</v>
      </c>
      <c r="AX48" s="23">
        <f t="shared" si="6"/>
        <v>9.5803478325320057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310.95287409903602</v>
      </c>
      <c r="T49" s="62">
        <f t="shared" si="34"/>
        <v>224.10083380795163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17.8</v>
      </c>
      <c r="AI49" s="14">
        <f>IF('Données projet'!$A$62&gt;35,AI48+AH49-AQ48,IF(A49&lt;'Données projet'!$A$62,$AF$205^A49,IF(A49='Données projet'!$A$62,'Données projet'!$B$62,AI48+AH49-AQ48)))</f>
        <v>557.79999999999995</v>
      </c>
      <c r="AJ49" s="14">
        <f>AI49*VLOOKUP('Données projet'!$B$10,Paramètres!$A$1:$I$89,3,0)*VLOOKUP('Données projet'!$B$10,Paramètres!$A$1:$I$89,5,0)</f>
        <v>311.81020000000001</v>
      </c>
      <c r="AK49" s="14">
        <f t="shared" si="35"/>
        <v>73.646743780370684</v>
      </c>
      <c r="AL49" s="22">
        <f t="shared" si="4"/>
        <v>671.33751041747894</v>
      </c>
      <c r="AM49" s="62">
        <f t="shared" si="5"/>
        <v>964.67084375081231</v>
      </c>
      <c r="AN49" s="62">
        <f ca="1">AVERAGE(OFFSET($AM$3,0,0,'Données projet'!$E$10+1,1))-AVERAGE(OFFSET($H$3,0,0,'Données projet'!$E$10+1,1))</f>
        <v>382.55387448074327</v>
      </c>
      <c r="AO49" s="62">
        <f t="shared" si="36"/>
        <v>476.29465646955543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9.2476240738008233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0.10447954811365338</v>
      </c>
      <c r="AX49" s="23">
        <f t="shared" si="6"/>
        <v>9.3521036219144769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310.95287409903602</v>
      </c>
      <c r="T50" s="62">
        <f t="shared" si="34"/>
        <v>224.10083380795163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17.8</v>
      </c>
      <c r="AI50" s="14">
        <f>IF('Données projet'!$A$62&gt;35,AI49+AH50-AQ49,IF(A50&lt;'Données projet'!$A$62,$AF$205^A50,IF(A50='Données projet'!$A$62,'Données projet'!$B$62,AI49+AH50-AQ49)))</f>
        <v>575.59999999999991</v>
      </c>
      <c r="AJ50" s="14">
        <f>AI50*VLOOKUP('Données projet'!$B$10,Paramètres!$A$1:$I$89,3,0)*VLOOKUP('Données projet'!$B$10,Paramètres!$A$1:$I$89,5,0)</f>
        <v>321.76039999999995</v>
      </c>
      <c r="AK50" s="14">
        <f t="shared" si="35"/>
        <v>75.719522083505169</v>
      </c>
      <c r="AL50" s="22">
        <f t="shared" si="4"/>
        <v>692.27753096210472</v>
      </c>
      <c r="AM50" s="62">
        <f t="shared" si="5"/>
        <v>985.61086429543798</v>
      </c>
      <c r="AN50" s="62">
        <f ca="1">AVERAGE(OFFSET($AM$3,0,0,'Données projet'!$E$10+1,1))-AVERAGE(OFFSET($H$3,0,0,'Données projet'!$E$10+1,1))</f>
        <v>382.55387448074327</v>
      </c>
      <c r="AO50" s="62">
        <f t="shared" si="36"/>
        <v>476.29465646955543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9.0662838062073217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7.3878196966470466E-2</v>
      </c>
      <c r="AX50" s="23">
        <f t="shared" si="6"/>
        <v>9.140162003173792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310.95287409903602</v>
      </c>
      <c r="T51" s="62">
        <f t="shared" si="34"/>
        <v>224.10083380795163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17.8</v>
      </c>
      <c r="AI51" s="14">
        <f>IF('Données projet'!$A$62&gt;35,AI50+AH51-AQ50,IF(A51&lt;'Données projet'!$A$62,$AF$205^A51,IF(A51='Données projet'!$A$62,'Données projet'!$B$62,AI50+AH51-AQ50)))</f>
        <v>593.39999999999986</v>
      </c>
      <c r="AJ51" s="14">
        <f>AI51*VLOOKUP('Données projet'!$B$10,Paramètres!$A$1:$I$89,3,0)*VLOOKUP('Données projet'!$B$10,Paramètres!$A$1:$I$89,5,0)</f>
        <v>331.71059999999994</v>
      </c>
      <c r="AK51" s="14">
        <f t="shared" si="35"/>
        <v>77.784851407016433</v>
      </c>
      <c r="AL51" s="22">
        <f t="shared" si="4"/>
        <v>713.20457786722011</v>
      </c>
      <c r="AM51" s="62">
        <f t="shared" si="5"/>
        <v>1006.5379112005535</v>
      </c>
      <c r="AN51" s="62">
        <f ca="1">AVERAGE(OFFSET($AM$3,0,0,'Données projet'!$E$10+1,1))-AVERAGE(OFFSET($H$3,0,0,'Données projet'!$E$10+1,1))</f>
        <v>382.55387448074327</v>
      </c>
      <c r="AO51" s="62">
        <f t="shared" si="36"/>
        <v>476.29465646955543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8.888499510654686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5.2239774056826692E-2</v>
      </c>
      <c r="AX51" s="23">
        <f t="shared" si="6"/>
        <v>8.9407392847115119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310.95287409903602</v>
      </c>
      <c r="T52" s="62">
        <f t="shared" si="34"/>
        <v>224.10083380795163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17.8</v>
      </c>
      <c r="AI52" s="14">
        <f>IF('Données projet'!$A$62&gt;35,AI51+AH52-AQ51,IF(A52&lt;'Données projet'!$A$62,$AF$205^A52,IF(A52='Données projet'!$A$62,'Données projet'!$B$62,AI51+AH52-AQ51)))</f>
        <v>611.19999999999982</v>
      </c>
      <c r="AJ52" s="14">
        <f>AI52*VLOOKUP('Données projet'!$B$10,Paramètres!$A$1:$I$89,3,0)*VLOOKUP('Données projet'!$B$10,Paramètres!$A$1:$I$89,5,0)</f>
        <v>341.66079999999988</v>
      </c>
      <c r="AK52" s="14">
        <f t="shared" si="35"/>
        <v>79.842980844864144</v>
      </c>
      <c r="AL52" s="22">
        <f t="shared" si="4"/>
        <v>734.11908497147158</v>
      </c>
      <c r="AM52" s="62">
        <f t="shared" si="5"/>
        <v>1027.452418304805</v>
      </c>
      <c r="AN52" s="62">
        <f ca="1">AVERAGE(OFFSET($AM$3,0,0,'Données projet'!$E$10+1,1))-AVERAGE(OFFSET($H$3,0,0,'Données projet'!$E$10+1,1))</f>
        <v>382.55387448074327</v>
      </c>
      <c r="AO52" s="62">
        <f t="shared" si="36"/>
        <v>476.29465646955543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8.7142014567001258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3.6939098483235233E-2</v>
      </c>
      <c r="AX52" s="23">
        <f t="shared" si="6"/>
        <v>8.7511405551833619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310.95287409903602</v>
      </c>
      <c r="T53" s="62">
        <f t="shared" si="34"/>
        <v>224.10083380795163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629</v>
      </c>
      <c r="AG53" s="13">
        <f>VLOOKUP(A53,'Données projet'!$A$61:$I$81,9,0)</f>
        <v>17.8</v>
      </c>
      <c r="AH53" s="13">
        <f t="array" ref="AH53">INDEX(AG:AG,MIN(IF(ISNUMBER(AG53:AG249),ROW(AG53:AG249),"")))</f>
        <v>17.8</v>
      </c>
      <c r="AI53" s="14">
        <f>IF('Données projet'!$A$62&gt;35,AI52+AH53-AQ52,IF(A53&lt;'Données projet'!$A$62,$AF$205^A53,IF(A53='Données projet'!$A$62,'Données projet'!$B$62,AI52+AH53-AQ52)))</f>
        <v>628.99999999999977</v>
      </c>
      <c r="AJ53" s="14">
        <f>AI53*VLOOKUP('Données projet'!$B$10,Paramètres!$A$1:$I$89,3,0)*VLOOKUP('Données projet'!$B$10,Paramètres!$A$1:$I$89,5,0)</f>
        <v>351.61099999999988</v>
      </c>
      <c r="AK53" s="14">
        <f t="shared" si="35"/>
        <v>81.89414415728541</v>
      </c>
      <c r="AL53" s="22">
        <f t="shared" si="4"/>
        <v>755.02145940727178</v>
      </c>
      <c r="AM53" s="62">
        <f t="shared" si="5"/>
        <v>1048.354792740605</v>
      </c>
      <c r="AN53" s="62">
        <f ca="1">AVERAGE(OFFSET($AM$3,0,0,'Données projet'!$E$10+1,1))-AVERAGE(OFFSET($H$3,0,0,'Données projet'!$E$10+1,1))</f>
        <v>382.55387448074327</v>
      </c>
      <c r="AO53" s="62">
        <f t="shared" si="36"/>
        <v>476.29465646955543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48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8.5433212812722985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2.6119887028413346E-2</v>
      </c>
      <c r="AX53" s="23">
        <f t="shared" si="6"/>
        <v>8.5694411683007115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310.95287409903602</v>
      </c>
      <c r="T54" s="62">
        <f t="shared" si="34"/>
        <v>224.10083380795163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13.8</v>
      </c>
      <c r="AI54" s="14">
        <f>IF('Données projet'!$A$62&gt;35,AI53+AH54-AQ53,IF(A54&lt;'Données projet'!$A$62,$AF$205^A54,IF(A54='Données projet'!$A$62,'Données projet'!$B$62,AI53+AH54-AQ53)))</f>
        <v>594.79999999999973</v>
      </c>
      <c r="AJ54" s="14">
        <f>AI54*VLOOKUP('Données projet'!$B$10,Paramètres!$A$1:$I$89,3,0)*VLOOKUP('Données projet'!$B$10,Paramètres!$A$1:$I$89,5,0)</f>
        <v>332.49319999999983</v>
      </c>
      <c r="AK54" s="14">
        <f t="shared" si="35"/>
        <v>77.946984490524827</v>
      </c>
      <c r="AL54" s="22">
        <f t="shared" si="4"/>
        <v>714.84998798766367</v>
      </c>
      <c r="AM54" s="62">
        <f t="shared" si="5"/>
        <v>1008.183321320997</v>
      </c>
      <c r="AN54" s="62">
        <f ca="1">AVERAGE(OFFSET($AM$3,0,0,'Données projet'!$E$10+1,1))-AVERAGE(OFFSET($H$3,0,0,'Données projet'!$E$10+1,1))</f>
        <v>382.55387448074327</v>
      </c>
      <c r="AO54" s="62">
        <f t="shared" si="36"/>
        <v>476.29465646955543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8.3757919618579955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1.8469549241617617E-2</v>
      </c>
      <c r="AX54" s="23">
        <f t="shared" si="6"/>
        <v>8.3942615110996126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310.95287409903602</v>
      </c>
      <c r="T55" s="62">
        <f t="shared" si="34"/>
        <v>224.10083380795163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13.8</v>
      </c>
      <c r="AI55" s="14">
        <f>IF('Données projet'!$A$62&gt;35,AI54+AH55-AQ54,IF(A55&lt;'Données projet'!$A$62,$AF$205^A55,IF(A55='Données projet'!$A$62,'Données projet'!$B$62,AI54+AH55-AQ54)))</f>
        <v>608.59999999999968</v>
      </c>
      <c r="AJ55" s="14">
        <f>AI55*VLOOKUP('Données projet'!$B$10,Paramètres!$A$1:$I$89,3,0)*VLOOKUP('Données projet'!$B$10,Paramètres!$A$1:$I$89,5,0)</f>
        <v>340.20739999999984</v>
      </c>
      <c r="AK55" s="14">
        <f t="shared" si="35"/>
        <v>79.542795053996059</v>
      </c>
      <c r="AL55" s="22">
        <f t="shared" si="4"/>
        <v>731.06492305237623</v>
      </c>
      <c r="AM55" s="62">
        <f t="shared" si="5"/>
        <v>1024.3982563857096</v>
      </c>
      <c r="AN55" s="62">
        <f ca="1">AVERAGE(OFFSET($AM$3,0,0,'Données projet'!$E$10+1,1))-AVERAGE(OFFSET($H$3,0,0,'Données projet'!$E$10+1,1))</f>
        <v>382.55387448074327</v>
      </c>
      <c r="AO55" s="62">
        <f t="shared" si="36"/>
        <v>476.29465646955543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8.2115477902146115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1.3059943514206673E-2</v>
      </c>
      <c r="AX55" s="23">
        <f t="shared" si="6"/>
        <v>8.2246077337288188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310.95287409903602</v>
      </c>
      <c r="T56" s="62">
        <f t="shared" si="34"/>
        <v>224.10083380795163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13.8</v>
      </c>
      <c r="AI56" s="14">
        <f>IF('Données projet'!$A$62&gt;35,AI55+AH56-AQ55,IF(A56&lt;'Données projet'!$A$62,$AF$205^A56,IF(A56='Données projet'!$A$62,'Données projet'!$B$62,AI55+AH56-AQ55)))</f>
        <v>622.39999999999964</v>
      </c>
      <c r="AJ56" s="14">
        <f>AI56*VLOOKUP('Données projet'!$B$10,Paramètres!$A$1:$I$89,3,0)*VLOOKUP('Données projet'!$B$10,Paramètres!$A$1:$I$89,5,0)</f>
        <v>347.92159999999978</v>
      </c>
      <c r="AK56" s="14">
        <f t="shared" si="35"/>
        <v>81.134398856989449</v>
      </c>
      <c r="AL56" s="22">
        <f t="shared" si="4"/>
        <v>747.27253134258956</v>
      </c>
      <c r="AM56" s="62">
        <f t="shared" si="5"/>
        <v>1040.6058646759229</v>
      </c>
      <c r="AN56" s="62">
        <f ca="1">AVERAGE(OFFSET($AM$3,0,0,'Données projet'!$E$10+1,1))-AVERAGE(OFFSET($H$3,0,0,'Données projet'!$E$10+1,1))</f>
        <v>382.55387448074327</v>
      </c>
      <c r="AO56" s="62">
        <f t="shared" si="36"/>
        <v>476.29465646955543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8.0505243465981025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9.2347746208088083E-3</v>
      </c>
      <c r="AX56" s="23">
        <f t="shared" si="6"/>
        <v>8.0597591212189119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310.95287409903602</v>
      </c>
      <c r="T57" s="62">
        <f t="shared" si="34"/>
        <v>224.10083380795163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13.8</v>
      </c>
      <c r="AI57" s="14">
        <f>IF('Données projet'!$A$62&gt;35,AI56+AH57-AQ56,IF(A57&lt;'Données projet'!$A$62,$AF$205^A57,IF(A57='Données projet'!$A$62,'Données projet'!$B$62,AI56+AH57-AQ56)))</f>
        <v>636.19999999999959</v>
      </c>
      <c r="AJ57" s="14">
        <f>AI57*VLOOKUP('Données projet'!$B$10,Paramètres!$A$1:$I$89,3,0)*VLOOKUP('Données projet'!$B$10,Paramètres!$A$1:$I$89,5,0)</f>
        <v>355.63579999999973</v>
      </c>
      <c r="AK57" s="14">
        <f t="shared" si="35"/>
        <v>82.721899912765039</v>
      </c>
      <c r="AL57" s="22">
        <f t="shared" si="4"/>
        <v>763.47299401473185</v>
      </c>
      <c r="AM57" s="62">
        <f t="shared" si="5"/>
        <v>1056.8063273480652</v>
      </c>
      <c r="AN57" s="62">
        <f ca="1">AVERAGE(OFFSET($AM$3,0,0,'Données projet'!$E$10+1,1))-AVERAGE(OFFSET($H$3,0,0,'Données projet'!$E$10+1,1))</f>
        <v>382.55387448074327</v>
      </c>
      <c r="AO57" s="62">
        <f t="shared" si="36"/>
        <v>476.29465646955543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7.8926584744963098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6.5299717571033365E-3</v>
      </c>
      <c r="AX57" s="23">
        <f t="shared" si="6"/>
        <v>7.8991884462534134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310.95287409903602</v>
      </c>
      <c r="T58" s="62">
        <f t="shared" si="34"/>
        <v>224.10083380795163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650</v>
      </c>
      <c r="AG58" s="13">
        <f>VLOOKUP(A58,'Données projet'!$A$61:$I$81,9,0)</f>
        <v>13.8</v>
      </c>
      <c r="AH58" s="13">
        <f t="array" ref="AH58">INDEX(AG:AG,MIN(IF(ISNUMBER(AG58:AG254),ROW(AG58:AG254),"")))</f>
        <v>13.8</v>
      </c>
      <c r="AI58" s="14">
        <f>IF('Données projet'!$A$62&gt;35,AI57+AH58-AQ57,IF(A58&lt;'Données projet'!$A$62,$AF$205^A58,IF(A58='Données projet'!$A$62,'Données projet'!$B$62,AI57+AH58-AQ57)))</f>
        <v>649.99999999999955</v>
      </c>
      <c r="AJ58" s="14">
        <f>AI58*VLOOKUP('Données projet'!$B$10,Paramètres!$A$1:$I$89,3,0)*VLOOKUP('Données projet'!$B$10,Paramètres!$A$1:$I$89,5,0)</f>
        <v>363.34999999999974</v>
      </c>
      <c r="AK58" s="14">
        <f t="shared" si="35"/>
        <v>84.305397464498199</v>
      </c>
      <c r="AL58" s="22">
        <f t="shared" si="4"/>
        <v>779.66648391733395</v>
      </c>
      <c r="AM58" s="62">
        <f t="shared" si="5"/>
        <v>1072.9998172506673</v>
      </c>
      <c r="AN58" s="62">
        <f ca="1">AVERAGE(OFFSET($AM$3,0,0,'Données projet'!$E$10+1,1))-AVERAGE(OFFSET($H$3,0,0,'Données projet'!$E$10+1,1))</f>
        <v>382.55387448074327</v>
      </c>
      <c r="AO58" s="62">
        <f t="shared" si="36"/>
        <v>476.29465646955543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35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7.7378882558577589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4.6173873104044041E-3</v>
      </c>
      <c r="AX58" s="23">
        <f t="shared" si="6"/>
        <v>7.7425056431681636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310.95287409903602</v>
      </c>
      <c r="T59" s="62">
        <f t="shared" si="34"/>
        <v>224.10083380795163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10.199999999999999</v>
      </c>
      <c r="AI59" s="14">
        <f>IF('Données projet'!$A$62&gt;35,AI58+AH59-AQ58,IF(A59&lt;'Données projet'!$A$62,$AF$205^A59,IF(A59='Données projet'!$A$62,'Données projet'!$B$62,AI58+AH59-AQ58)))</f>
        <v>625.19999999999959</v>
      </c>
      <c r="AJ59" s="14">
        <f>AI59*VLOOKUP('Données projet'!$B$10,Paramètres!$A$1:$I$89,3,0)*VLOOKUP('Données projet'!$B$10,Paramètres!$A$1:$I$89,5,0)</f>
        <v>349.48679999999979</v>
      </c>
      <c r="AK59" s="14">
        <f t="shared" si="35"/>
        <v>81.45682900536228</v>
      </c>
      <c r="AL59" s="22">
        <f t="shared" si="4"/>
        <v>750.56015385100557</v>
      </c>
      <c r="AM59" s="62">
        <f t="shared" si="5"/>
        <v>1043.8934871843389</v>
      </c>
      <c r="AN59" s="62">
        <f ca="1">AVERAGE(OFFSET($AM$3,0,0,'Données projet'!$E$10+1,1))-AVERAGE(OFFSET($H$3,0,0,'Données projet'!$E$10+1,1))</f>
        <v>382.55387448074327</v>
      </c>
      <c r="AO59" s="62">
        <f t="shared" si="36"/>
        <v>476.29465646955543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7.5861529868061979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3.2649858785516682E-3</v>
      </c>
      <c r="AX59" s="23">
        <f t="shared" si="6"/>
        <v>7.5894179726847497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310.95287409903602</v>
      </c>
      <c r="T60" s="62">
        <f t="shared" si="34"/>
        <v>224.10083380795163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10.199999999999999</v>
      </c>
      <c r="AI60" s="14">
        <f>IF('Données projet'!$A$62&gt;35,AI59+AH60-AQ59,IF(A60&lt;'Données projet'!$A$62,$AF$205^A60,IF(A60='Données projet'!$A$62,'Données projet'!$B$62,AI59+AH60-AQ59)))</f>
        <v>635.39999999999964</v>
      </c>
      <c r="AJ60" s="14">
        <f>AI60*VLOOKUP('Données projet'!$B$10,Paramètres!$A$1:$I$89,3,0)*VLOOKUP('Données projet'!$B$10,Paramètres!$A$1:$I$89,5,0)</f>
        <v>355.18859999999984</v>
      </c>
      <c r="AK60" s="14">
        <f t="shared" si="35"/>
        <v>82.629981116726043</v>
      </c>
      <c r="AL60" s="22">
        <f t="shared" si="4"/>
        <v>762.53402877829774</v>
      </c>
      <c r="AM60" s="62">
        <f t="shared" si="5"/>
        <v>1055.8673621116311</v>
      </c>
      <c r="AN60" s="62">
        <f ca="1">AVERAGE(OFFSET($AM$3,0,0,'Données projet'!$E$10+1,1))-AVERAGE(OFFSET($H$3,0,0,'Données projet'!$E$10+1,1))</f>
        <v>382.55387448074327</v>
      </c>
      <c r="AO60" s="62">
        <f t="shared" si="36"/>
        <v>476.29465646955543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7.4373931538313629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2.3086936552022021E-3</v>
      </c>
      <c r="AX60" s="23">
        <f t="shared" si="6"/>
        <v>7.4397018474865648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310.95287409903602</v>
      </c>
      <c r="T61" s="62">
        <f t="shared" si="34"/>
        <v>224.10083380795163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10.199999999999999</v>
      </c>
      <c r="AI61" s="14">
        <f>IF('Données projet'!$A$62&gt;35,AI60+AH61-AQ60,IF(A61&lt;'Données projet'!$A$62,$AF$205^A61,IF(A61='Données projet'!$A$62,'Données projet'!$B$62,AI60+AH61-AQ60)))</f>
        <v>645.59999999999968</v>
      </c>
      <c r="AJ61" s="14">
        <f>AI61*VLOOKUP('Données projet'!$B$10,Paramètres!$A$1:$I$89,3,0)*VLOOKUP('Données projet'!$B$10,Paramètres!$A$1:$I$89,5,0)</f>
        <v>360.89039999999977</v>
      </c>
      <c r="AK61" s="14">
        <f t="shared" si="35"/>
        <v>83.800943075865291</v>
      </c>
      <c r="AL61" s="22">
        <f t="shared" si="4"/>
        <v>774.50408919046504</v>
      </c>
      <c r="AM61" s="62">
        <f t="shared" si="5"/>
        <v>1067.8374225237983</v>
      </c>
      <c r="AN61" s="62">
        <f ca="1">AVERAGE(OFFSET($AM$3,0,0,'Données projet'!$E$10+1,1))-AVERAGE(OFFSET($H$3,0,0,'Données projet'!$E$10+1,1))</f>
        <v>382.55387448074327</v>
      </c>
      <c r="AO61" s="62">
        <f t="shared" si="36"/>
        <v>476.29465646955543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7.2915504104466251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1.6324929392758341E-3</v>
      </c>
      <c r="AX61" s="23">
        <f t="shared" si="6"/>
        <v>7.293182903385901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310.95287409903602</v>
      </c>
      <c r="T62" s="62">
        <f t="shared" si="34"/>
        <v>224.10083380795163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10.199999999999999</v>
      </c>
      <c r="AI62" s="14">
        <f>IF('Données projet'!$A$62&gt;35,AI61+AH62-AQ61,IF(A62&lt;'Données projet'!$A$62,$AF$205^A62,IF(A62='Données projet'!$A$62,'Données projet'!$B$62,AI61+AH62-AQ61)))</f>
        <v>655.79999999999973</v>
      </c>
      <c r="AJ62" s="14">
        <f>AI62*VLOOKUP('Données projet'!$B$10,Paramètres!$A$1:$I$89,3,0)*VLOOKUP('Données projet'!$B$10,Paramètres!$A$1:$I$89,5,0)</f>
        <v>366.59219999999982</v>
      </c>
      <c r="AK62" s="14">
        <f t="shared" si="35"/>
        <v>84.969753481055022</v>
      </c>
      <c r="AL62" s="22">
        <f t="shared" si="4"/>
        <v>786.47040231283711</v>
      </c>
      <c r="AM62" s="62">
        <f t="shared" si="5"/>
        <v>1079.8037356461705</v>
      </c>
      <c r="AN62" s="62">
        <f ca="1">AVERAGE(OFFSET($AM$3,0,0,'Données projet'!$E$10+1,1))-AVERAGE(OFFSET($H$3,0,0,'Données projet'!$E$10+1,1))</f>
        <v>382.55387448074327</v>
      </c>
      <c r="AO62" s="62">
        <f t="shared" si="36"/>
        <v>476.29465646955543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7.1485675543043721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1.154346827601101E-3</v>
      </c>
      <c r="AX62" s="23">
        <f t="shared" si="6"/>
        <v>7.149721901131973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310.95287409903602</v>
      </c>
      <c r="T63" s="62">
        <f t="shared" si="34"/>
        <v>224.10083380795163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666</v>
      </c>
      <c r="AG63" s="13">
        <f>VLOOKUP(A63,'Données projet'!$A$61:$I$81,9,0)</f>
        <v>10.199999999999999</v>
      </c>
      <c r="AH63" s="13">
        <f t="array" ref="AH63">INDEX(AG:AG,MIN(IF(ISNUMBER(AG63:AG259),ROW(AG63:AG259),"")))</f>
        <v>10.199999999999999</v>
      </c>
      <c r="AI63" s="14">
        <f>IF('Données projet'!$A$62&gt;35,AI62+AH63-AQ62,IF(A63&lt;'Données projet'!$A$62,$AF$205^A63,IF(A63='Données projet'!$A$62,'Données projet'!$B$62,AI62+AH63-AQ62)))</f>
        <v>665.99999999999977</v>
      </c>
      <c r="AJ63" s="14">
        <f>AI63*VLOOKUP('Données projet'!$B$10,Paramètres!$A$1:$I$89,3,0)*VLOOKUP('Données projet'!$B$10,Paramètres!$A$1:$I$89,5,0)</f>
        <v>372.29399999999987</v>
      </c>
      <c r="AK63" s="14">
        <f t="shared" si="35"/>
        <v>86.136449661008839</v>
      </c>
      <c r="AL63" s="22">
        <f t="shared" si="4"/>
        <v>798.43303315959008</v>
      </c>
      <c r="AM63" s="62">
        <f t="shared" si="5"/>
        <v>1091.7663664929235</v>
      </c>
      <c r="AN63" s="62">
        <f ca="1">AVERAGE(OFFSET($AM$3,0,0,'Données projet'!$E$10+1,1))-AVERAGE(OFFSET($H$3,0,0,'Données projet'!$E$10+1,1))</f>
        <v>382.55387448074327</v>
      </c>
      <c r="AO63" s="62">
        <f t="shared" si="36"/>
        <v>476.29465646955543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666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7.0083885047601377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8.1624646963791706E-4</v>
      </c>
      <c r="AX63" s="23">
        <f t="shared" si="6"/>
        <v>7.0092047512297757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310.95287409903602</v>
      </c>
      <c r="T64" s="62">
        <f t="shared" si="34"/>
        <v>224.10083380795163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-2.2737367544323206E-13</v>
      </c>
      <c r="AJ64" s="14">
        <f>AI64*VLOOKUP('Données projet'!$B$10,Paramètres!$A$1:$I$89,3,0)*VLOOKUP('Données projet'!$B$10,Paramètres!$A$1:$I$89,5,0)</f>
        <v>-1.2710188457276673E-13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382.55387448074327</v>
      </c>
      <c r="AO64" s="62">
        <f t="shared" si="36"/>
        <v>476.29465646955543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6.870958280876688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5.7717341380055052E-4</v>
      </c>
      <c r="AX64" s="23">
        <f t="shared" si="6"/>
        <v>6.8715354542904885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310.95287409903602</v>
      </c>
      <c r="T65" s="62">
        <f t="shared" si="34"/>
        <v>224.10083380795163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-2.2737367544323206E-13</v>
      </c>
      <c r="AJ65" s="14">
        <f>AI65*VLOOKUP('Données projet'!$B$10,Paramètres!$A$1:$I$89,3,0)*VLOOKUP('Données projet'!$B$10,Paramètres!$A$1:$I$89,5,0)</f>
        <v>-1.2710188457276673E-13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382.55387448074327</v>
      </c>
      <c r="AO65" s="62">
        <f t="shared" si="36"/>
        <v>476.29465646955543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6.7362229798594333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4.0812323481895853E-4</v>
      </c>
      <c r="AX65" s="23">
        <f t="shared" si="6"/>
        <v>6.7366311030942523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310.95287409903602</v>
      </c>
      <c r="T66" s="62">
        <f t="shared" si="34"/>
        <v>224.10083380795163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-2.2737367544323206E-13</v>
      </c>
      <c r="AJ66" s="14">
        <f>AI66*VLOOKUP('Données projet'!$B$10,Paramètres!$A$1:$I$89,3,0)*VLOOKUP('Données projet'!$B$10,Paramètres!$A$1:$I$89,5,0)</f>
        <v>-1.2710188457276673E-13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382.55387448074327</v>
      </c>
      <c r="AO66" s="62">
        <f t="shared" si="36"/>
        <v>476.29465646955543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6.6041297559147081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2.8858670690027526E-4</v>
      </c>
      <c r="AX66" s="23">
        <f t="shared" si="6"/>
        <v>6.6044183426216083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310.95287409903602</v>
      </c>
      <c r="T67" s="62">
        <f t="shared" si="34"/>
        <v>224.10083380795163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-2.2737367544323206E-13</v>
      </c>
      <c r="AJ67" s="14">
        <f>AI67*VLOOKUP('Données projet'!$B$10,Paramètres!$A$1:$I$89,3,0)*VLOOKUP('Données projet'!$B$10,Paramètres!$A$1:$I$89,5,0)</f>
        <v>-1.2710188457276673E-13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382.55387448074327</v>
      </c>
      <c r="AO67" s="62">
        <f t="shared" si="36"/>
        <v>476.29465646955543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6.4746267995226274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2.0406161740947927E-4</v>
      </c>
      <c r="AX67" s="23">
        <f t="shared" si="6"/>
        <v>6.4748308611400365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310.95287409903602</v>
      </c>
      <c r="T68" s="62">
        <f t="shared" si="34"/>
        <v>224.10083380795163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-2.2737367544323206E-13</v>
      </c>
      <c r="AJ68" s="14">
        <f>AI68*VLOOKUP('Données projet'!$B$10,Paramètres!$A$1:$I$89,3,0)*VLOOKUP('Données projet'!$B$10,Paramètres!$A$1:$I$89,5,0)</f>
        <v>-1.2710188457276673E-13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382.55387448074327</v>
      </c>
      <c r="AO68" s="62">
        <f t="shared" si="36"/>
        <v>476.29465646955543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6.3476633171163916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1.4429335345013763E-4</v>
      </c>
      <c r="AX68" s="23">
        <f t="shared" ref="AX68:AX131" si="60">SUM(AU68:AW68)</f>
        <v>6.3478076104698422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310.95287409903602</v>
      </c>
      <c r="T69" s="62">
        <f t="shared" ref="T69:T132" si="88">$T$3</f>
        <v>224.10083380795163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-2.2737367544323206E-13</v>
      </c>
      <c r="AJ69" s="14">
        <f>AI69*VLOOKUP('Données projet'!$B$10,Paramètres!$A$1:$I$89,3,0)*VLOOKUP('Données projet'!$B$10,Paramètres!$A$1:$I$89,5,0)</f>
        <v>-1.2710188457276673E-13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382.55387448074327</v>
      </c>
      <c r="AO69" s="62">
        <f t="shared" ref="AO69:AO132" si="90">$AO$3</f>
        <v>476.29465646955543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6.223189511160065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1.0203080870473963E-4</v>
      </c>
      <c r="AX69" s="23">
        <f t="shared" si="60"/>
        <v>6.22329154196877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310.95287409903602</v>
      </c>
      <c r="T70" s="62">
        <f t="shared" si="88"/>
        <v>224.10083380795163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-2.2737367544323206E-13</v>
      </c>
      <c r="AJ70" s="14">
        <f>AI70*VLOOKUP('Données projet'!$B$10,Paramètres!$A$1:$I$89,3,0)*VLOOKUP('Données projet'!$B$10,Paramètres!$A$1:$I$89,5,0)</f>
        <v>-1.2710188457276673E-13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382.55387448074327</v>
      </c>
      <c r="AO70" s="62">
        <f t="shared" si="90"/>
        <v>476.29465646955543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6.1011565606170164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7.2146676725068815E-5</v>
      </c>
      <c r="AX70" s="23">
        <f t="shared" si="60"/>
        <v>6.1012287072937417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310.95287409903602</v>
      </c>
      <c r="T71" s="62">
        <f t="shared" si="88"/>
        <v>224.10083380795163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-2.2737367544323206E-13</v>
      </c>
      <c r="AJ71" s="14">
        <f>AI71*VLOOKUP('Données projet'!$B$10,Paramètres!$A$1:$I$89,3,0)*VLOOKUP('Données projet'!$B$10,Paramètres!$A$1:$I$89,5,0)</f>
        <v>-1.2710188457276673E-13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382.55387448074327</v>
      </c>
      <c r="AO71" s="62">
        <f t="shared" si="90"/>
        <v>476.29465646955543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5.981516601801367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5.1015404352369816E-5</v>
      </c>
      <c r="AX71" s="23">
        <f t="shared" si="60"/>
        <v>5.9815676172057195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310.95287409903602</v>
      </c>
      <c r="T72" s="62">
        <f t="shared" si="88"/>
        <v>224.10083380795163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-2.2737367544323206E-13</v>
      </c>
      <c r="AJ72" s="14">
        <f>AI72*VLOOKUP('Données projet'!$B$10,Paramètres!$A$1:$I$89,3,0)*VLOOKUP('Données projet'!$B$10,Paramètres!$A$1:$I$89,5,0)</f>
        <v>-1.2710188457276673E-13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382.55387448074327</v>
      </c>
      <c r="AO72" s="62">
        <f t="shared" si="90"/>
        <v>476.29465646955543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5.8642227096049231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3.6073338362534407E-5</v>
      </c>
      <c r="AX72" s="23">
        <f t="shared" si="60"/>
        <v>5.8642587829432857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310.95287409903602</v>
      </c>
      <c r="T73" s="62">
        <f t="shared" si="88"/>
        <v>224.10083380795163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-2.2737367544323206E-13</v>
      </c>
      <c r="AJ73" s="14">
        <f>AI73*VLOOKUP('Données projet'!$B$10,Paramètres!$A$1:$I$89,3,0)*VLOOKUP('Données projet'!$B$10,Paramètres!$A$1:$I$89,5,0)</f>
        <v>-1.2710188457276673E-13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382.55387448074327</v>
      </c>
      <c r="AO73" s="62">
        <f t="shared" si="90"/>
        <v>476.29465646955543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5.7492288790922412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2.5507702176184908E-5</v>
      </c>
      <c r="AX73" s="23">
        <f t="shared" si="60"/>
        <v>5.7492543867944175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310.95287409903602</v>
      </c>
      <c r="T74" s="62">
        <f t="shared" si="88"/>
        <v>224.10083380795163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-2.2737367544323206E-13</v>
      </c>
      <c r="AJ74" s="14">
        <f>AI74*VLOOKUP('Données projet'!$B$10,Paramètres!$A$1:$I$89,3,0)*VLOOKUP('Données projet'!$B$10,Paramètres!$A$1:$I$89,5,0)</f>
        <v>-1.2710188457276673E-13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382.55387448074327</v>
      </c>
      <c r="AO74" s="62">
        <f t="shared" si="90"/>
        <v>476.29465646955543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5.6364900074566027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1.8036669181267204E-5</v>
      </c>
      <c r="AX74" s="23">
        <f t="shared" si="60"/>
        <v>5.636508044125784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310.95287409903602</v>
      </c>
      <c r="T75" s="62">
        <f t="shared" si="88"/>
        <v>224.10083380795163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-2.2737367544323206E-13</v>
      </c>
      <c r="AJ75" s="14">
        <f>AI75*VLOOKUP('Données projet'!$B$10,Paramètres!$A$1:$I$89,3,0)*VLOOKUP('Données projet'!$B$10,Paramètres!$A$1:$I$89,5,0)</f>
        <v>-1.2710188457276673E-13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382.55387448074327</v>
      </c>
      <c r="AO75" s="62">
        <f t="shared" si="90"/>
        <v>476.29465646955543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5.5259618763298173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1.2753851088092454E-5</v>
      </c>
      <c r="AX75" s="23">
        <f t="shared" si="60"/>
        <v>5.5259746301809054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310.95287409903602</v>
      </c>
      <c r="T76" s="62">
        <f t="shared" si="88"/>
        <v>224.10083380795163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-2.2737367544323206E-13</v>
      </c>
      <c r="AJ76" s="14">
        <f>AI76*VLOOKUP('Données projet'!$B$10,Paramètres!$A$1:$I$89,3,0)*VLOOKUP('Données projet'!$B$10,Paramètres!$A$1:$I$89,5,0)</f>
        <v>-1.2710188457276673E-13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382.55387448074327</v>
      </c>
      <c r="AO76" s="62">
        <f t="shared" si="90"/>
        <v>476.29465646955543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5.4176011344389243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9.0183345906336018E-6</v>
      </c>
      <c r="AX76" s="23">
        <f t="shared" si="60"/>
        <v>5.4176101527735145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310.95287409903602</v>
      </c>
      <c r="T77" s="62">
        <f t="shared" si="88"/>
        <v>224.10083380795163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-2.2737367544323206E-13</v>
      </c>
      <c r="AJ77" s="14">
        <f>AI77*VLOOKUP('Données projet'!$B$10,Paramètres!$A$1:$I$89,3,0)*VLOOKUP('Données projet'!$B$10,Paramètres!$A$1:$I$89,5,0)</f>
        <v>-1.2710188457276673E-13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382.55387448074327</v>
      </c>
      <c r="AO77" s="62">
        <f t="shared" si="90"/>
        <v>476.29465646955543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5.3113652806029856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6.376925544046227E-6</v>
      </c>
      <c r="AX77" s="23">
        <f t="shared" si="60"/>
        <v>5.3113716575285297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310.95287409903602</v>
      </c>
      <c r="T78" s="62">
        <f t="shared" si="88"/>
        <v>224.10083380795163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-2.2737367544323206E-13</v>
      </c>
      <c r="AJ78" s="14">
        <f>AI78*VLOOKUP('Données projet'!$B$10,Paramètres!$A$1:$I$89,3,0)*VLOOKUP('Données projet'!$B$10,Paramètres!$A$1:$I$89,5,0)</f>
        <v>-1.2710188457276673E-13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382.55387448074327</v>
      </c>
      <c r="AO78" s="62">
        <f t="shared" si="90"/>
        <v>476.29465646955543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5.2072126470632973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4.5091672953168009E-6</v>
      </c>
      <c r="AX78" s="23">
        <f t="shared" si="60"/>
        <v>5.2072171562305929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310.95287409903602</v>
      </c>
      <c r="T79" s="62">
        <f t="shared" si="88"/>
        <v>224.10083380795163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-2.2737367544323206E-13</v>
      </c>
      <c r="AJ79" s="14">
        <f>AI79*VLOOKUP('Données projet'!$B$10,Paramètres!$A$1:$I$89,3,0)*VLOOKUP('Données projet'!$B$10,Paramètres!$A$1:$I$89,5,0)</f>
        <v>-1.2710188457276673E-13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382.55387448074327</v>
      </c>
      <c r="AO79" s="62">
        <f t="shared" si="90"/>
        <v>476.29465646955543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5.1051023831404887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3.1884627720231135E-6</v>
      </c>
      <c r="AX79" s="23">
        <f t="shared" si="60"/>
        <v>5.1051055716032607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310.95287409903602</v>
      </c>
      <c r="T80" s="62">
        <f t="shared" si="88"/>
        <v>224.10083380795163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-2.2737367544323206E-13</v>
      </c>
      <c r="AJ80" s="14">
        <f>AI80*VLOOKUP('Données projet'!$B$10,Paramètres!$A$1:$I$89,3,0)*VLOOKUP('Données projet'!$B$10,Paramètres!$A$1:$I$89,5,0)</f>
        <v>-1.2710188457276673E-13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382.55387448074327</v>
      </c>
      <c r="AO80" s="62">
        <f t="shared" si="90"/>
        <v>476.29465646955543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5.0049944392120951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2.2545836476584005E-6</v>
      </c>
      <c r="AX80" s="23">
        <f t="shared" si="60"/>
        <v>5.0049966937957429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310.95287409903602</v>
      </c>
      <c r="T81" s="62">
        <f t="shared" si="88"/>
        <v>224.10083380795163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-2.2737367544323206E-13</v>
      </c>
      <c r="AJ81" s="14">
        <f>AI81*VLOOKUP('Données projet'!$B$10,Paramètres!$A$1:$I$89,3,0)*VLOOKUP('Données projet'!$B$10,Paramètres!$A$1:$I$89,5,0)</f>
        <v>-1.2710188457276673E-13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382.55387448074327</v>
      </c>
      <c r="AO81" s="62">
        <f t="shared" si="90"/>
        <v>476.29465646955543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4.9068495510043206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1.5942313860115568E-6</v>
      </c>
      <c r="AX81" s="23">
        <f t="shared" si="60"/>
        <v>4.9068511452357066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310.95287409903602</v>
      </c>
      <c r="T82" s="62">
        <f t="shared" si="88"/>
        <v>224.10083380795163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-2.2737367544323206E-13</v>
      </c>
      <c r="AJ82" s="14">
        <f>AI82*VLOOKUP('Données projet'!$B$10,Paramètres!$A$1:$I$89,3,0)*VLOOKUP('Données projet'!$B$10,Paramètres!$A$1:$I$89,5,0)</f>
        <v>-1.2710188457276673E-13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382.55387448074327</v>
      </c>
      <c r="AO82" s="62">
        <f t="shared" si="90"/>
        <v>476.29465646955543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4.8106292241918291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1.1272918238292002E-6</v>
      </c>
      <c r="AX82" s="23">
        <f t="shared" si="60"/>
        <v>4.8106303514836526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310.95287409903602</v>
      </c>
      <c r="T83" s="62">
        <f t="shared" si="88"/>
        <v>224.10083380795163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-2.2737367544323206E-13</v>
      </c>
      <c r="AJ83" s="14">
        <f>AI83*VLOOKUP('Données projet'!$B$10,Paramètres!$A$1:$I$89,3,0)*VLOOKUP('Données projet'!$B$10,Paramètres!$A$1:$I$89,5,0)</f>
        <v>-1.2710188457276673E-13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382.55387448074327</v>
      </c>
      <c r="AO83" s="62">
        <f t="shared" si="90"/>
        <v>476.29465646955543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4.7162957192995263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7.9711569300577838E-7</v>
      </c>
      <c r="AX83" s="23">
        <f t="shared" si="60"/>
        <v>4.7162965164152189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310.95287409903602</v>
      </c>
      <c r="T84" s="62">
        <f t="shared" si="88"/>
        <v>224.10083380795163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-1.2710188457276673E-13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382.55387448074327</v>
      </c>
      <c r="AO84" s="62">
        <f t="shared" si="90"/>
        <v>476.29465646955543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4.6238120369004054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5.6364591191460012E-7</v>
      </c>
      <c r="AX84" s="23">
        <f t="shared" si="60"/>
        <v>4.6238126005463176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310.95287409903602</v>
      </c>
      <c r="T85" s="62">
        <f t="shared" si="88"/>
        <v>224.10083380795163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-1.2710188457276673E-13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382.55387448074327</v>
      </c>
      <c r="AO85" s="62">
        <f t="shared" si="90"/>
        <v>476.29465646955543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4.5331419031036546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3.9855784650288919E-7</v>
      </c>
      <c r="AX85" s="23">
        <f t="shared" si="60"/>
        <v>4.5331423016615009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310.95287409903602</v>
      </c>
      <c r="T86" s="62">
        <f t="shared" si="88"/>
        <v>224.10083380795163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-1.2710188457276673E-13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382.55387448074327</v>
      </c>
      <c r="AO86" s="62">
        <f t="shared" si="90"/>
        <v>476.29465646955543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4.4442497553273377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2.8182295595730006E-7</v>
      </c>
      <c r="AX86" s="23">
        <f t="shared" si="60"/>
        <v>4.4442500371502938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310.95287409903602</v>
      </c>
      <c r="T87" s="62">
        <f t="shared" si="88"/>
        <v>224.10083380795163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-1.2710188457276673E-13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382.55387448074327</v>
      </c>
      <c r="AO87" s="62">
        <f t="shared" si="90"/>
        <v>476.29465646955543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4.3571007283500576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1.9927892325144459E-7</v>
      </c>
      <c r="AX87" s="23">
        <f t="shared" si="60"/>
        <v>4.3571009276289807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310.95287409903602</v>
      </c>
      <c r="T88" s="62">
        <f t="shared" si="88"/>
        <v>224.10083380795163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-1.2710188457276673E-13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382.55387448074327</v>
      </c>
      <c r="AO88" s="62">
        <f t="shared" si="90"/>
        <v>476.29465646955543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4.2716606406361439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1.4091147797865003E-7</v>
      </c>
      <c r="AX88" s="23">
        <f t="shared" si="60"/>
        <v>4.271660781547622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310.95287409903602</v>
      </c>
      <c r="T89" s="62">
        <f t="shared" si="88"/>
        <v>224.10083380795163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-1.2710188457276673E-13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382.55387448074327</v>
      </c>
      <c r="AO89" s="62">
        <f t="shared" si="90"/>
        <v>476.29465646955543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4.1878959809289924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9.9639461625722297E-8</v>
      </c>
      <c r="AX89" s="23">
        <f t="shared" si="60"/>
        <v>4.1878960805684544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310.95287409903602</v>
      </c>
      <c r="T90" s="62">
        <f t="shared" si="88"/>
        <v>224.10083380795163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-1.2710188457276673E-13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382.55387448074327</v>
      </c>
      <c r="AO90" s="62">
        <f t="shared" si="90"/>
        <v>476.29465646955543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4.1057738951073004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7.0455738989325014E-8</v>
      </c>
      <c r="AX90" s="23">
        <f t="shared" si="60"/>
        <v>4.1057739655630394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310.95287409903602</v>
      </c>
      <c r="T91" s="62">
        <f t="shared" si="88"/>
        <v>224.10083380795163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-1.2710188457276673E-13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382.55387448074327</v>
      </c>
      <c r="AO91" s="62">
        <f t="shared" si="90"/>
        <v>476.29465646955543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4.0252621732990459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4.9819730812861149E-8</v>
      </c>
      <c r="AX91" s="23">
        <f t="shared" si="60"/>
        <v>4.0252622231187765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310.95287409903602</v>
      </c>
      <c r="T92" s="62">
        <f t="shared" si="88"/>
        <v>224.10083380795163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-1.2710188457276673E-13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382.55387448074327</v>
      </c>
      <c r="AO92" s="62">
        <f t="shared" si="90"/>
        <v>476.29465646955543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3.9463292372481495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3.5227869494662507E-8</v>
      </c>
      <c r="AX92" s="23">
        <f t="shared" si="60"/>
        <v>3.9463292724760191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310.95287409903602</v>
      </c>
      <c r="T93" s="62">
        <f t="shared" si="88"/>
        <v>224.10083380795163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-1.2710188457276673E-13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382.55387448074327</v>
      </c>
      <c r="AO93" s="62">
        <f t="shared" si="90"/>
        <v>476.29465646955543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3.8689441279288741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2.4909865406430574E-8</v>
      </c>
      <c r="AX93" s="23">
        <f t="shared" si="60"/>
        <v>3.8689441528387394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310.95287409903602</v>
      </c>
      <c r="T94" s="62">
        <f t="shared" si="88"/>
        <v>224.10083380795163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-1.2710188457276673E-13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382.55387448074327</v>
      </c>
      <c r="AO94" s="62">
        <f t="shared" si="90"/>
        <v>476.29465646955543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3.7930764934030936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1.7613934747331254E-8</v>
      </c>
      <c r="AX94" s="23">
        <f t="shared" si="60"/>
        <v>3.7930765110170284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310.95287409903602</v>
      </c>
      <c r="T95" s="62">
        <f t="shared" si="88"/>
        <v>224.10083380795163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-1.2710188457276673E-13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382.55387448074327</v>
      </c>
      <c r="AO95" s="62">
        <f t="shared" si="90"/>
        <v>476.29465646955543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3.7186965769156761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1.2454932703215287E-8</v>
      </c>
      <c r="AX95" s="23">
        <f t="shared" si="60"/>
        <v>3.7186965893706088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310.95287409903602</v>
      </c>
      <c r="T96" s="62">
        <f t="shared" si="88"/>
        <v>224.10083380795163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-1.2710188457276673E-13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382.55387448074327</v>
      </c>
      <c r="AO96" s="62">
        <f t="shared" si="90"/>
        <v>476.29465646955543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3.6457752052233072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8.8069673736656268E-9</v>
      </c>
      <c r="AX96" s="23">
        <f t="shared" si="60"/>
        <v>3.6457752140302744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310.95287409903602</v>
      </c>
      <c r="T97" s="62">
        <f t="shared" si="88"/>
        <v>224.10083380795163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-1.2710188457276673E-13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382.55387448074327</v>
      </c>
      <c r="AO97" s="62">
        <f t="shared" si="90"/>
        <v>476.29465646955543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3.5742837771521807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6.2274663516076436E-9</v>
      </c>
      <c r="AX97" s="23">
        <f t="shared" si="60"/>
        <v>3.5742837833796473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310.95287409903602</v>
      </c>
      <c r="T98" s="62">
        <f t="shared" si="88"/>
        <v>224.10083380795163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-1.2710188457276673E-13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382.55387448074327</v>
      </c>
      <c r="AO98" s="62">
        <f t="shared" si="90"/>
        <v>476.29465646955543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3.5041942523800635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4.4034836868328134E-9</v>
      </c>
      <c r="AX98" s="23">
        <f t="shared" si="60"/>
        <v>3.5041942567835473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310.95287409903602</v>
      </c>
      <c r="T99" s="62">
        <f t="shared" si="88"/>
        <v>224.10083380795163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-1.2710188457276673E-13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382.55387448074327</v>
      </c>
      <c r="AO99" s="62">
        <f t="shared" si="90"/>
        <v>476.29465646955543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3.4354791404383391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3.1137331758038218E-9</v>
      </c>
      <c r="AX99" s="23">
        <f t="shared" si="60"/>
        <v>3.4354791435520724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310.95287409903602</v>
      </c>
      <c r="T100" s="62">
        <f t="shared" si="88"/>
        <v>224.10083380795163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-1.2710188457276673E-13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382.55387448074327</v>
      </c>
      <c r="AO100" s="62">
        <f t="shared" si="90"/>
        <v>476.29465646955543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3.3681114899297118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2.2017418434164067E-9</v>
      </c>
      <c r="AX100" s="23">
        <f t="shared" si="60"/>
        <v>3.3681114921314537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310.95287409903602</v>
      </c>
      <c r="T101" s="62">
        <f t="shared" si="88"/>
        <v>224.10083380795163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-1.2710188457276673E-13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382.55387448074327</v>
      </c>
      <c r="AO101" s="62">
        <f t="shared" si="90"/>
        <v>476.29465646955543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3.3020648779573492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1.5568665879019109E-9</v>
      </c>
      <c r="AX101" s="23">
        <f t="shared" si="60"/>
        <v>3.3020648795142158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310.95287409903602</v>
      </c>
      <c r="T102" s="62">
        <f t="shared" si="88"/>
        <v>224.10083380795163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-1.2710188457276673E-13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382.55387448074327</v>
      </c>
      <c r="AO102" s="62">
        <f t="shared" si="90"/>
        <v>476.29465646955543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3.2373133997613093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1.1008709217082034E-9</v>
      </c>
      <c r="AX102" s="23">
        <f t="shared" si="60"/>
        <v>3.2373134008621802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310.95287409903602</v>
      </c>
      <c r="T103" s="62">
        <f t="shared" si="88"/>
        <v>224.10083380795163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-1.2710188457276673E-13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382.55387448074327</v>
      </c>
      <c r="AO103" s="62">
        <f t="shared" si="90"/>
        <v>476.29465646955543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3.1738316585581918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7.7843329395095545E-10</v>
      </c>
      <c r="AX103" s="23">
        <f t="shared" si="60"/>
        <v>3.1738316593366251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310.95287409903602</v>
      </c>
      <c r="T104" s="62">
        <f t="shared" si="88"/>
        <v>224.10083380795163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-1.2710188457276673E-13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382.55387448074327</v>
      </c>
      <c r="AO104" s="62">
        <f t="shared" si="90"/>
        <v>476.29465646955543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3.1115947555800285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5.5043546085410168E-10</v>
      </c>
      <c r="AX104" s="23">
        <f t="shared" si="60"/>
        <v>3.1115947561304638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310.95287409903602</v>
      </c>
      <c r="T105" s="62">
        <f t="shared" si="88"/>
        <v>224.10083380795163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-1.2710188457276673E-13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382.55387448074327</v>
      </c>
      <c r="AO105" s="62">
        <f t="shared" si="90"/>
        <v>476.29465646955543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3.0505782803085046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3.8921664697547772E-10</v>
      </c>
      <c r="AX105" s="23">
        <f t="shared" si="60"/>
        <v>3.0505782806977213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310.95287409903602</v>
      </c>
      <c r="T106" s="62">
        <f t="shared" si="88"/>
        <v>224.10083380795163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-1.2710188457276673E-13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382.55387448074327</v>
      </c>
      <c r="AO106" s="62">
        <f t="shared" si="90"/>
        <v>476.29465646955543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2.99075830090068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2.7521773042705084E-10</v>
      </c>
      <c r="AX106" s="23">
        <f t="shared" si="60"/>
        <v>2.9907583011758976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310.95287409903602</v>
      </c>
      <c r="T107" s="62">
        <f t="shared" si="88"/>
        <v>224.10083380795163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-1.2710188457276673E-13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382.55387448074327</v>
      </c>
      <c r="AO107" s="62">
        <f t="shared" si="90"/>
        <v>476.29465646955543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2.932111354802458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1.9460832348773886E-10</v>
      </c>
      <c r="AX107" s="23">
        <f t="shared" si="60"/>
        <v>2.9321113549970663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310.95287409903602</v>
      </c>
      <c r="T108" s="62">
        <f t="shared" si="88"/>
        <v>224.10083380795163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-1.2710188457276673E-13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382.55387448074327</v>
      </c>
      <c r="AO108" s="62">
        <f t="shared" si="90"/>
        <v>476.29465646955543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2.8746144395461171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1.3760886521352542E-10</v>
      </c>
      <c r="AX108" s="23">
        <f t="shared" si="60"/>
        <v>2.8746144396837261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310.95287409903602</v>
      </c>
      <c r="T109" s="62">
        <f t="shared" si="88"/>
        <v>224.10083380795163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-1.2710188457276673E-13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382.55387448074327</v>
      </c>
      <c r="AO109" s="62">
        <f t="shared" si="90"/>
        <v>476.29465646955543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2.8182450037282978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9.7304161743869431E-11</v>
      </c>
      <c r="AX109" s="23">
        <f t="shared" si="60"/>
        <v>2.8182450038256017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310.95287409903602</v>
      </c>
      <c r="T110" s="62">
        <f t="shared" si="88"/>
        <v>224.10083380795163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-1.2710188457276673E-13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382.55387448074327</v>
      </c>
      <c r="AO110" s="62">
        <f t="shared" si="90"/>
        <v>476.29465646955543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2.7629809381649051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6.8804432606762709E-11</v>
      </c>
      <c r="AX110" s="23">
        <f t="shared" si="60"/>
        <v>2.7629809382337096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310.95287409903602</v>
      </c>
      <c r="T111" s="62">
        <f t="shared" si="88"/>
        <v>224.10083380795163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-1.2710188457276673E-13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382.55387448074327</v>
      </c>
      <c r="AO111" s="62">
        <f t="shared" si="90"/>
        <v>476.29465646955543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2.7088005672194586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4.8652080871934716E-11</v>
      </c>
      <c r="AX111" s="23">
        <f t="shared" si="60"/>
        <v>2.7088005672681108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310.95287409903602</v>
      </c>
      <c r="T112" s="62">
        <f t="shared" si="88"/>
        <v>224.10083380795163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-1.2710188457276673E-13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382.55387448074327</v>
      </c>
      <c r="AO112" s="62">
        <f t="shared" si="90"/>
        <v>476.29465646955543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2.6556826403014893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3.4402216303381355E-11</v>
      </c>
      <c r="AX112" s="23">
        <f t="shared" si="60"/>
        <v>2.6556826403358915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310.95287409903602</v>
      </c>
      <c r="T113" s="62">
        <f t="shared" si="88"/>
        <v>224.10083380795163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-1.2710188457276673E-13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382.55387448074327</v>
      </c>
      <c r="AO113" s="62">
        <f t="shared" si="90"/>
        <v>476.29465646955543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2.6036063235316451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2.4326040435967358E-11</v>
      </c>
      <c r="AX113" s="23">
        <f t="shared" si="60"/>
        <v>2.603606323555971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310.95287409903602</v>
      </c>
      <c r="T114" s="62">
        <f t="shared" si="88"/>
        <v>224.10083380795163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-1.2710188457276673E-13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382.55387448074327</v>
      </c>
      <c r="AO114" s="62">
        <f t="shared" si="90"/>
        <v>476.29465646955543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2.5525511915702408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1.7201108151690677E-11</v>
      </c>
      <c r="AX114" s="23">
        <f t="shared" si="60"/>
        <v>2.5525511915874417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310.95287409903602</v>
      </c>
      <c r="T115" s="62">
        <f t="shared" si="88"/>
        <v>224.10083380795163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-1.2710188457276673E-13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382.55387448074327</v>
      </c>
      <c r="AO115" s="62">
        <f t="shared" si="90"/>
        <v>476.29465646955543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2.502497219606044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1.2163020217983679E-11</v>
      </c>
      <c r="AX115" s="23">
        <f t="shared" si="60"/>
        <v>2.5024972196182071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310.95287409903602</v>
      </c>
      <c r="T116" s="62">
        <f t="shared" si="88"/>
        <v>224.10083380795163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-1.2710188457276673E-13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382.55387448074327</v>
      </c>
      <c r="AO116" s="62">
        <f t="shared" si="90"/>
        <v>476.29465646955543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2.4534247755021568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8.6005540758453387E-12</v>
      </c>
      <c r="AX116" s="23">
        <f t="shared" si="60"/>
        <v>2.4534247755107574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310.95287409903602</v>
      </c>
      <c r="T117" s="62">
        <f t="shared" si="88"/>
        <v>224.10083380795163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-1.2710188457276673E-13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382.55387448074327</v>
      </c>
      <c r="AO117" s="62">
        <f t="shared" si="90"/>
        <v>476.29465646955543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2.405314612095911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6.0815101089918394E-12</v>
      </c>
      <c r="AX117" s="23">
        <f t="shared" si="60"/>
        <v>2.4053146121019924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310.95287409903602</v>
      </c>
      <c r="T118" s="62">
        <f t="shared" si="88"/>
        <v>224.10083380795163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-1.2710188457276673E-13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382.55387448074327</v>
      </c>
      <c r="AO118" s="62">
        <f t="shared" si="90"/>
        <v>476.29465646955543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2.3581478596497596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4.3002770379226693E-12</v>
      </c>
      <c r="AX118" s="23">
        <f t="shared" si="60"/>
        <v>2.3581478596540597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310.95287409903602</v>
      </c>
      <c r="T119" s="62">
        <f t="shared" si="88"/>
        <v>224.10083380795163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-1.2710188457276673E-13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382.55387448074327</v>
      </c>
      <c r="AO119" s="62">
        <f t="shared" si="90"/>
        <v>476.29465646955543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2.3119060184501992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3.0407550544959197E-12</v>
      </c>
      <c r="AX119" s="23">
        <f t="shared" si="60"/>
        <v>2.3119060184532398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310.95287409903602</v>
      </c>
      <c r="T120" s="62">
        <f t="shared" si="88"/>
        <v>224.10083380795163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-1.2710188457276673E-13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382.55387448074327</v>
      </c>
      <c r="AO120" s="62">
        <f t="shared" si="90"/>
        <v>476.29465646955543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2.2665709515518238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2.1501385189613347E-12</v>
      </c>
      <c r="AX120" s="23">
        <f t="shared" si="60"/>
        <v>2.266570951553974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310.95287409903602</v>
      </c>
      <c r="T121" s="62">
        <f t="shared" si="88"/>
        <v>224.10083380795163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-1.2710188457276673E-13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382.55387448074327</v>
      </c>
      <c r="AO121" s="62">
        <f t="shared" si="90"/>
        <v>476.29465646955543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2.2221248776636653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1.5203775272479599E-12</v>
      </c>
      <c r="AX121" s="23">
        <f t="shared" si="60"/>
        <v>2.2221248776651858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310.95287409903602</v>
      </c>
      <c r="T122" s="62">
        <f t="shared" si="88"/>
        <v>224.10083380795163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-1.2710188457276673E-13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382.55387448074327</v>
      </c>
      <c r="AO122" s="62">
        <f t="shared" si="90"/>
        <v>476.29465646955543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2.1785503641750252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1.0750692594806673E-12</v>
      </c>
      <c r="AX122" s="23">
        <f t="shared" si="60"/>
        <v>2.1785503641761004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310.95287409903602</v>
      </c>
      <c r="T123" s="62">
        <f t="shared" si="88"/>
        <v>224.10083380795163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-1.2710188457276673E-13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382.55387448074327</v>
      </c>
      <c r="AO123" s="62">
        <f t="shared" si="90"/>
        <v>476.29465646955543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2.1358303203180684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7.6018876362397993E-13</v>
      </c>
      <c r="AX123" s="23">
        <f t="shared" si="60"/>
        <v>2.1358303203188287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310.95287409903602</v>
      </c>
      <c r="T124" s="62">
        <f t="shared" si="88"/>
        <v>224.10083380795163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-1.2710188457276673E-13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382.55387448074327</v>
      </c>
      <c r="AO124" s="62">
        <f t="shared" si="90"/>
        <v>476.29465646955543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2.0939479904644926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5.3753462974033367E-13</v>
      </c>
      <c r="AX124" s="23">
        <f t="shared" si="60"/>
        <v>2.09394799046503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310.95287409903602</v>
      </c>
      <c r="T125" s="62">
        <f t="shared" si="88"/>
        <v>224.10083380795163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-1.2710188457276673E-13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382.55387448074327</v>
      </c>
      <c r="AO125" s="62">
        <f t="shared" si="90"/>
        <v>476.29465646955543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2.0528869475536466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3.8009438181198997E-13</v>
      </c>
      <c r="AX125" s="23">
        <f t="shared" si="60"/>
        <v>2.0528869475540268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310.95287409903602</v>
      </c>
      <c r="T126" s="62">
        <f t="shared" si="88"/>
        <v>224.10083380795163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-1.2710188457276673E-13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382.55387448074327</v>
      </c>
      <c r="AO126" s="62">
        <f t="shared" si="90"/>
        <v>476.29465646955543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2.0126310866495194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2.6876731487016683E-13</v>
      </c>
      <c r="AX126" s="23">
        <f t="shared" si="60"/>
        <v>2.0126310866497881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310.95287409903602</v>
      </c>
      <c r="T127" s="62">
        <f t="shared" si="88"/>
        <v>224.10083380795163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-1.2710188457276673E-13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382.55387448074327</v>
      </c>
      <c r="AO127" s="62">
        <f t="shared" si="90"/>
        <v>476.29465646955543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1.9731646186240714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1.9004719090599498E-13</v>
      </c>
      <c r="AX127" s="23">
        <f t="shared" si="60"/>
        <v>1.9731646186242615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310.95287409903602</v>
      </c>
      <c r="T128" s="62">
        <f t="shared" si="88"/>
        <v>224.10083380795163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-1.2710188457276673E-13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382.55387448074327</v>
      </c>
      <c r="AO128" s="62">
        <f t="shared" si="90"/>
        <v>476.29465646955543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1.9344720639644339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1.3438365743508342E-13</v>
      </c>
      <c r="AX128" s="23">
        <f t="shared" si="60"/>
        <v>1.9344720639645683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310.95287409903602</v>
      </c>
      <c r="T129" s="62">
        <f t="shared" si="88"/>
        <v>224.10083380795163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-1.2710188457276673E-13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382.55387448074327</v>
      </c>
      <c r="AO129" s="62">
        <f t="shared" si="90"/>
        <v>476.29465646955543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1.8965382467015439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9.5023595452997491E-14</v>
      </c>
      <c r="AX129" s="23">
        <f t="shared" si="60"/>
        <v>1.896538246701639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310.95287409903602</v>
      </c>
      <c r="T130" s="62">
        <f t="shared" si="88"/>
        <v>224.10083380795163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-1.2710188457276673E-13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382.55387448074327</v>
      </c>
      <c r="AO130" s="62">
        <f t="shared" si="90"/>
        <v>476.29465646955543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1.8593482884578352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6.7191828717541708E-14</v>
      </c>
      <c r="AX130" s="23">
        <f t="shared" si="60"/>
        <v>1.8593482884579025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310.95287409903602</v>
      </c>
      <c r="T131" s="62">
        <f t="shared" si="88"/>
        <v>224.10083380795163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-1.2710188457276673E-13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382.55387448074327</v>
      </c>
      <c r="AO131" s="62">
        <f t="shared" si="90"/>
        <v>476.29465646955543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1.8228876026116509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4.7511797726498746E-14</v>
      </c>
      <c r="AX131" s="23">
        <f t="shared" si="60"/>
        <v>1.8228876026116985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310.95287409903602</v>
      </c>
      <c r="T132" s="62">
        <f t="shared" si="88"/>
        <v>224.10083380795163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-1.2710188457276673E-13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382.55387448074327</v>
      </c>
      <c r="AO132" s="62">
        <f t="shared" si="90"/>
        <v>476.29465646955543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1.7871418885760879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3.3595914358770854E-14</v>
      </c>
      <c r="AX132" s="23">
        <f t="shared" ref="AX132:AX153" si="114">SUM(AU132:AW132)</f>
        <v>1.7871418885761214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310.95287409903602</v>
      </c>
      <c r="T133" s="62">
        <f t="shared" ref="T133:T196" si="142">$T$3</f>
        <v>224.10083380795163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-1.2710188457276673E-13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382.55387448074327</v>
      </c>
      <c r="AO133" s="62">
        <f t="shared" ref="AO133:AO196" si="144">$AO$3</f>
        <v>476.29465646955543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1.7520971261900296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2.3755898863249373E-14</v>
      </c>
      <c r="AX133" s="23">
        <f t="shared" si="114"/>
        <v>1.7520971261900533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310.95287409903602</v>
      </c>
      <c r="T134" s="62">
        <f t="shared" si="142"/>
        <v>224.10083380795163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-1.2710188457276673E-13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382.55387448074327</v>
      </c>
      <c r="AO134" s="62">
        <f t="shared" si="144"/>
        <v>476.29465646955543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1.7177395702191673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1.6797957179385427E-14</v>
      </c>
      <c r="AX134" s="23">
        <f t="shared" si="114"/>
        <v>1.7177395702191842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310.95287409903602</v>
      </c>
      <c r="T135" s="62">
        <f t="shared" si="142"/>
        <v>224.10083380795163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-1.2710188457276673E-13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382.55387448074327</v>
      </c>
      <c r="AO135" s="62">
        <f t="shared" si="144"/>
        <v>476.29465646955543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1.6840557449648539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1.1877949431624686E-14</v>
      </c>
      <c r="AX135" s="23">
        <f t="shared" si="114"/>
        <v>1.6840557449648657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310.95287409903602</v>
      </c>
      <c r="T136" s="62">
        <f t="shared" si="142"/>
        <v>224.10083380795163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-1.2710188457276673E-13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382.55387448074327</v>
      </c>
      <c r="AO136" s="62">
        <f t="shared" si="144"/>
        <v>476.29465646955543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1.6510324389786726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8.3989785896927135E-15</v>
      </c>
      <c r="AX136" s="23">
        <f t="shared" si="114"/>
        <v>1.651032438978681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310.95287409903602</v>
      </c>
      <c r="T137" s="62">
        <f t="shared" si="142"/>
        <v>224.10083380795163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-1.2710188457276673E-13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382.55387448074327</v>
      </c>
      <c r="AO137" s="62">
        <f t="shared" si="144"/>
        <v>476.29465646955543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1.6186566998806526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5.9389747158123432E-15</v>
      </c>
      <c r="AX137" s="23">
        <f t="shared" si="114"/>
        <v>1.6186566998806586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310.95287409903602</v>
      </c>
      <c r="T138" s="62">
        <f t="shared" si="142"/>
        <v>224.10083380795163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-1.2710188457276673E-13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382.55387448074327</v>
      </c>
      <c r="AO138" s="62">
        <f t="shared" si="144"/>
        <v>476.29465646955543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1.5869158292790939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4.1994892948463568E-15</v>
      </c>
      <c r="AX138" s="23">
        <f t="shared" si="114"/>
        <v>1.5869158292790981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310.95287409903602</v>
      </c>
      <c r="T139" s="62">
        <f t="shared" si="142"/>
        <v>224.10083380795163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-1.2710188457276673E-13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382.55387448074327</v>
      </c>
      <c r="AO139" s="62">
        <f t="shared" si="144"/>
        <v>476.29465646955543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1.5557973777900123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2.9694873579061716E-15</v>
      </c>
      <c r="AX139" s="23">
        <f t="shared" si="114"/>
        <v>1.5557973777900151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310.95287409903602</v>
      </c>
      <c r="T140" s="62">
        <f t="shared" si="142"/>
        <v>224.10083380795163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-1.2710188457276673E-13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382.55387448074327</v>
      </c>
      <c r="AO140" s="62">
        <f t="shared" si="144"/>
        <v>476.29465646955543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1.5252891401542503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2.0997446474231784E-15</v>
      </c>
      <c r="AX140" s="23">
        <f t="shared" si="114"/>
        <v>1.5252891401542523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310.95287409903602</v>
      </c>
      <c r="T141" s="62">
        <f t="shared" si="142"/>
        <v>224.10083380795163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-1.2710188457276673E-13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382.55387448074327</v>
      </c>
      <c r="AO141" s="62">
        <f t="shared" si="144"/>
        <v>476.29465646955543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1.495379150450338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1.4847436789530858E-15</v>
      </c>
      <c r="AX141" s="23">
        <f t="shared" si="114"/>
        <v>1.4953791504503395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310.95287409903602</v>
      </c>
      <c r="T142" s="62">
        <f t="shared" si="142"/>
        <v>224.10083380795163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-1.2710188457276673E-13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382.55387448074327</v>
      </c>
      <c r="AO142" s="62">
        <f t="shared" si="144"/>
        <v>476.29465646955543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1.466055677401227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1.0498723237115892E-15</v>
      </c>
      <c r="AX142" s="23">
        <f t="shared" si="114"/>
        <v>1.4660556774012281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310.95287409903602</v>
      </c>
      <c r="T143" s="62">
        <f t="shared" si="142"/>
        <v>224.10083380795163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-1.2710188457276673E-13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382.55387448074327</v>
      </c>
      <c r="AO143" s="62">
        <f t="shared" si="144"/>
        <v>476.29465646955543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1.4373072197730568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7.423718394765429E-16</v>
      </c>
      <c r="AX143" s="23">
        <f t="shared" si="114"/>
        <v>1.4373072197730574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310.95287409903602</v>
      </c>
      <c r="T144" s="62">
        <f t="shared" si="142"/>
        <v>224.10083380795163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-1.2710188457276673E-13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382.55387448074327</v>
      </c>
      <c r="AO144" s="62">
        <f t="shared" si="144"/>
        <v>476.29465646955543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1.4091225018641471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5.249361618557946E-16</v>
      </c>
      <c r="AX144" s="23">
        <f t="shared" si="114"/>
        <v>1.4091225018641476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310.95287409903602</v>
      </c>
      <c r="T145" s="62">
        <f t="shared" si="142"/>
        <v>224.10083380795163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-1.2710188457276673E-13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382.55387448074327</v>
      </c>
      <c r="AO145" s="62">
        <f t="shared" si="144"/>
        <v>476.29465646955543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1.3814904690824508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3.7118591973827145E-16</v>
      </c>
      <c r="AX145" s="23">
        <f t="shared" si="114"/>
        <v>1.3814904690824512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310.95287409903602</v>
      </c>
      <c r="T146" s="62">
        <f t="shared" si="142"/>
        <v>224.10083380795163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-1.2710188457276673E-13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382.55387448074327</v>
      </c>
      <c r="AO146" s="62">
        <f t="shared" si="144"/>
        <v>476.29465646955543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1.3544002836097278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2.624680809278973E-16</v>
      </c>
      <c r="AX146" s="23">
        <f t="shared" si="114"/>
        <v>1.354400283609728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310.95287409903602</v>
      </c>
      <c r="T147" s="62">
        <f t="shared" si="142"/>
        <v>224.10083380795163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-1.2710188457276673E-13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382.55387448074327</v>
      </c>
      <c r="AO147" s="62">
        <f t="shared" si="144"/>
        <v>476.29465646955543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1.3278413201507431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1.8559295986913573E-16</v>
      </c>
      <c r="AX147" s="23">
        <f t="shared" si="114"/>
        <v>1.3278413201507433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310.95287409903602</v>
      </c>
      <c r="T148" s="62">
        <f t="shared" si="142"/>
        <v>224.10083380795163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-1.2710188457276673E-13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382.55387448074327</v>
      </c>
      <c r="AO148" s="62">
        <f t="shared" si="144"/>
        <v>476.29465646955543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1.301803161765821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1.3123404046394865E-16</v>
      </c>
      <c r="AX148" s="23">
        <f t="shared" si="114"/>
        <v>1.3018031617658212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310.95287409903602</v>
      </c>
      <c r="T149" s="62">
        <f t="shared" si="142"/>
        <v>224.10083380795163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-1.2710188457276673E-13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382.55387448074327</v>
      </c>
      <c r="AO149" s="62">
        <f t="shared" si="144"/>
        <v>476.29465646955543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1.2762755957851188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9.2796479934567863E-17</v>
      </c>
      <c r="AX149" s="23">
        <f t="shared" si="114"/>
        <v>1.2762755957851188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310.95287409903602</v>
      </c>
      <c r="T150" s="62">
        <f t="shared" si="142"/>
        <v>224.10083380795163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-1.2710188457276673E-13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382.55387448074327</v>
      </c>
      <c r="AO150" s="62">
        <f t="shared" si="144"/>
        <v>476.29465646955543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1.2512486098030204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6.5617020231974325E-17</v>
      </c>
      <c r="AX150" s="23">
        <f t="shared" si="114"/>
        <v>1.2512486098030204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310.95287409903602</v>
      </c>
      <c r="T151" s="62">
        <f t="shared" si="142"/>
        <v>224.10083380795163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-1.2710188457276673E-13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382.55387448074327</v>
      </c>
      <c r="AO151" s="62">
        <f t="shared" si="144"/>
        <v>476.29465646955543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1.2267123877510768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4.6398239967283931E-17</v>
      </c>
      <c r="AX151" s="23">
        <f t="shared" si="114"/>
        <v>1.2267123877510768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310.95287409903602</v>
      </c>
      <c r="T152" s="62">
        <f t="shared" si="142"/>
        <v>224.10083380795163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-1.2710188457276673E-13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382.55387448074327</v>
      </c>
      <c r="AO152" s="62">
        <f t="shared" si="144"/>
        <v>476.29465646955543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1.2026573060479542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3.2808510115987162E-17</v>
      </c>
      <c r="AX152" s="23">
        <f t="shared" si="114"/>
        <v>1.2026573060479542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310.95287409903602</v>
      </c>
      <c r="T153" s="62">
        <f t="shared" si="142"/>
        <v>224.10083380795163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-1.2710188457276673E-13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382.55387448074327</v>
      </c>
      <c r="AO153" s="62">
        <f t="shared" si="144"/>
        <v>476.29465646955543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1.1790739298248787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2.3199119983641966E-17</v>
      </c>
      <c r="AX153" s="23">
        <f t="shared" si="114"/>
        <v>1.1790739298248787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310.95287409903602</v>
      </c>
      <c r="T154" s="62">
        <f t="shared" si="142"/>
        <v>224.10083380795163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-1.2710188457276673E-13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382.55387448074327</v>
      </c>
      <c r="AO154" s="62">
        <f t="shared" si="144"/>
        <v>476.29465646955543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1.1559530092250985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1.6404255057993581E-17</v>
      </c>
      <c r="AX154" s="23">
        <f t="shared" ref="AX154:AX203" si="166">SUM(AU154:AW154)</f>
        <v>1.1559530092250985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310.95287409903602</v>
      </c>
      <c r="T155" s="62">
        <f t="shared" si="142"/>
        <v>224.10083380795163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-1.2710188457276673E-13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382.55387448074327</v>
      </c>
      <c r="AO155" s="62">
        <f t="shared" si="144"/>
        <v>476.29465646955543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1.1332854757759108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1.1599559991820983E-17</v>
      </c>
      <c r="AX155" s="23">
        <f t="shared" si="166"/>
        <v>1.1332854757759108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310.95287409903602</v>
      </c>
      <c r="T156" s="62">
        <f t="shared" si="142"/>
        <v>224.10083380795163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-1.2710188457276673E-13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382.55387448074327</v>
      </c>
      <c r="AO156" s="62">
        <f t="shared" si="144"/>
        <v>476.29465646955543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1.1110624388318315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8.2021275289967906E-18</v>
      </c>
      <c r="AX156" s="23">
        <f t="shared" si="166"/>
        <v>1.1110624388318315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310.95287409903602</v>
      </c>
      <c r="T157" s="62">
        <f t="shared" si="142"/>
        <v>224.10083380795163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-1.2710188457276673E-13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382.55387448074327</v>
      </c>
      <c r="AO157" s="62">
        <f t="shared" si="144"/>
        <v>476.29465646955543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1.0892751820875115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5.7997799959104914E-18</v>
      </c>
      <c r="AX157" s="23">
        <f t="shared" si="166"/>
        <v>1.0892751820875115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310.95287409903602</v>
      </c>
      <c r="T158" s="62">
        <f t="shared" si="142"/>
        <v>224.10083380795163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-1.2710188457276673E-13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382.55387448074327</v>
      </c>
      <c r="AO158" s="62">
        <f t="shared" si="144"/>
        <v>476.29465646955543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1.0679151601590331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4.1010637644983953E-18</v>
      </c>
      <c r="AX158" s="23">
        <f t="shared" si="166"/>
        <v>1.0679151601590331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310.95287409903602</v>
      </c>
      <c r="T159" s="62">
        <f t="shared" si="142"/>
        <v>224.10083380795163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-1.2710188457276673E-13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382.55387448074327</v>
      </c>
      <c r="AO159" s="62">
        <f t="shared" si="144"/>
        <v>476.29465646955543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1.0469739952322452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2.8998899979552457E-18</v>
      </c>
      <c r="AX159" s="23">
        <f t="shared" si="166"/>
        <v>1.0469739952322452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310.95287409903602</v>
      </c>
      <c r="T160" s="62">
        <f t="shared" si="142"/>
        <v>224.10083380795163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-1.2710188457276673E-13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382.55387448074327</v>
      </c>
      <c r="AO160" s="62">
        <f t="shared" si="144"/>
        <v>476.29465646955543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1.0264434737768224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2.0505318822491976E-18</v>
      </c>
      <c r="AX160" s="23">
        <f t="shared" si="166"/>
        <v>1.0264434737768224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310.95287409903602</v>
      </c>
      <c r="T161" s="62">
        <f t="shared" si="142"/>
        <v>224.10083380795163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-1.2710188457276673E-13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382.55387448074327</v>
      </c>
      <c r="AO161" s="62">
        <f t="shared" si="144"/>
        <v>476.29465646955543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1.0063155433247588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1.4499449989776229E-18</v>
      </c>
      <c r="AX161" s="23">
        <f t="shared" si="166"/>
        <v>1.0063155433247588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310.95287409903602</v>
      </c>
      <c r="T162" s="62">
        <f t="shared" si="142"/>
        <v>224.10083380795163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-1.2710188457276673E-13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382.55387448074327</v>
      </c>
      <c r="AO162" s="62">
        <f t="shared" si="144"/>
        <v>476.29465646955543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0.98658230931203483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1.0252659411245988E-18</v>
      </c>
      <c r="AX162" s="23">
        <f t="shared" si="166"/>
        <v>0.98658230931203483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310.95287409903602</v>
      </c>
      <c r="T163" s="62">
        <f t="shared" si="142"/>
        <v>224.10083380795163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-1.2710188457276673E-13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382.55387448074327</v>
      </c>
      <c r="AO163" s="62">
        <f t="shared" si="144"/>
        <v>476.29465646955543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0.96723603198221608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7.2497249948881143E-19</v>
      </c>
      <c r="AX163" s="23">
        <f t="shared" si="166"/>
        <v>0.96723603198221608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310.95287409903602</v>
      </c>
      <c r="T164" s="62">
        <f t="shared" si="142"/>
        <v>224.10083380795163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-1.2710188457276673E-13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382.55387448074327</v>
      </c>
      <c r="AO164" s="62">
        <f t="shared" si="144"/>
        <v>476.29465646955543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0.94826912335077107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5.1263297056229941E-19</v>
      </c>
      <c r="AX164" s="23">
        <f t="shared" si="166"/>
        <v>0.94826912335077107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310.95287409903602</v>
      </c>
      <c r="T165" s="62">
        <f t="shared" si="142"/>
        <v>224.10083380795163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-1.2710188457276673E-13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382.55387448074327</v>
      </c>
      <c r="AO165" s="62">
        <f t="shared" si="144"/>
        <v>476.29465646955543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0.9296741442289167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3.6248624974440571E-19</v>
      </c>
      <c r="AX165" s="23">
        <f t="shared" si="166"/>
        <v>0.9296741442289167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310.95287409903602</v>
      </c>
      <c r="T166" s="62">
        <f t="shared" si="142"/>
        <v>224.10083380795163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-1.2710188457276673E-13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382.55387448074327</v>
      </c>
      <c r="AO166" s="62">
        <f t="shared" si="144"/>
        <v>476.29465646955543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0.91144380130582459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2.5631648528114971E-19</v>
      </c>
      <c r="AX166" s="23">
        <f t="shared" si="166"/>
        <v>0.91144380130582459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310.95287409903602</v>
      </c>
      <c r="T167" s="62">
        <f t="shared" si="142"/>
        <v>224.10083380795163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-1.2710188457276673E-13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382.55387448074327</v>
      </c>
      <c r="AO167" s="62">
        <f t="shared" si="144"/>
        <v>476.29465646955543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0.89357094428804307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1.8124312487220286E-19</v>
      </c>
      <c r="AX167" s="23">
        <f t="shared" si="166"/>
        <v>0.89357094428804307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310.95287409903602</v>
      </c>
      <c r="T168" s="62">
        <f t="shared" si="142"/>
        <v>224.10083380795163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-1.2710188457276673E-13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382.55387448074327</v>
      </c>
      <c r="AO168" s="62">
        <f t="shared" si="144"/>
        <v>476.29465646955543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0.87604856309501389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1.2815824264057485E-19</v>
      </c>
      <c r="AX168" s="23">
        <f t="shared" si="166"/>
        <v>0.87604856309501389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310.95287409903602</v>
      </c>
      <c r="T169" s="62">
        <f t="shared" si="142"/>
        <v>224.10083380795163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-1.2710188457276673E-13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382.55387448074327</v>
      </c>
      <c r="AO169" s="62">
        <f t="shared" si="144"/>
        <v>476.29465646955543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0.85886978510958278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9.0621562436101428E-20</v>
      </c>
      <c r="AX169" s="23">
        <f t="shared" si="166"/>
        <v>0.85886978510958278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310.95287409903602</v>
      </c>
      <c r="T170" s="62">
        <f t="shared" si="142"/>
        <v>224.10083380795163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-1.2710188457276673E-13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382.55387448074327</v>
      </c>
      <c r="AO170" s="62">
        <f t="shared" si="144"/>
        <v>476.29465646955543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0.84202787248242605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6.4079121320287426E-20</v>
      </c>
      <c r="AX170" s="23">
        <f t="shared" si="166"/>
        <v>0.84202787248242605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310.95287409903602</v>
      </c>
      <c r="T171" s="62">
        <f t="shared" si="142"/>
        <v>224.10083380795163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-1.2710188457276673E-13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382.55387448074327</v>
      </c>
      <c r="AO171" s="62">
        <f t="shared" si="144"/>
        <v>476.29465646955543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0.82551621948933551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4.5310781218050714E-20</v>
      </c>
      <c r="AX171" s="23">
        <f t="shared" si="166"/>
        <v>0.82551621948933551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310.95287409903602</v>
      </c>
      <c r="T172" s="62">
        <f t="shared" si="142"/>
        <v>224.10083380795163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-1.2710188457276673E-13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382.55387448074327</v>
      </c>
      <c r="AO172" s="62">
        <f t="shared" si="144"/>
        <v>476.29465646955543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0.80932834994032554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3.2039560660143713E-20</v>
      </c>
      <c r="AX172" s="23">
        <f t="shared" si="166"/>
        <v>0.80932834994032554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310.95287409903602</v>
      </c>
      <c r="T173" s="62">
        <f t="shared" si="142"/>
        <v>224.10083380795163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-1.2710188457276673E-13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382.55387448074327</v>
      </c>
      <c r="AO173" s="62">
        <f t="shared" si="144"/>
        <v>476.29465646955543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0.79345791463954618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2.2655390609025357E-20</v>
      </c>
      <c r="AX173" s="23">
        <f t="shared" si="166"/>
        <v>0.79345791463954618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310.95287409903602</v>
      </c>
      <c r="T174" s="62">
        <f t="shared" si="142"/>
        <v>224.10083380795163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-1.2710188457276673E-13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382.55387448074327</v>
      </c>
      <c r="AO174" s="62">
        <f t="shared" si="144"/>
        <v>476.29465646955543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0.77789868889500535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1.6019780330071857E-20</v>
      </c>
      <c r="AX174" s="23">
        <f t="shared" si="166"/>
        <v>0.77789868889500535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310.95287409903602</v>
      </c>
      <c r="T175" s="62">
        <f t="shared" si="142"/>
        <v>224.10083380795163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-1.2710188457276673E-13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382.55387448074327</v>
      </c>
      <c r="AO175" s="62">
        <f t="shared" si="144"/>
        <v>476.29465646955543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0.76264457007712438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1.1327695304512679E-20</v>
      </c>
      <c r="AX175" s="23">
        <f t="shared" si="166"/>
        <v>0.76264457007712438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310.95287409903602</v>
      </c>
      <c r="T176" s="62">
        <f t="shared" si="142"/>
        <v>224.10083380795163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-1.2710188457276673E-13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382.55387448074327</v>
      </c>
      <c r="AO176" s="62">
        <f t="shared" si="144"/>
        <v>476.29465646955543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0.74768957522516832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8.0098901650359283E-21</v>
      </c>
      <c r="AX176" s="23">
        <f t="shared" si="166"/>
        <v>0.74768957522516832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310.95287409903602</v>
      </c>
      <c r="T177" s="62">
        <f t="shared" si="142"/>
        <v>224.10083380795163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-1.2710188457276673E-13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382.55387448074327</v>
      </c>
      <c r="AO177" s="62">
        <f t="shared" si="144"/>
        <v>476.29465646955543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0.73302783870061294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5.6638476522563393E-21</v>
      </c>
      <c r="AX177" s="23">
        <f t="shared" si="166"/>
        <v>0.73302783870061294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310.95287409903602</v>
      </c>
      <c r="T178" s="62">
        <f t="shared" si="142"/>
        <v>224.10083380795163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-1.2710188457276673E-13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382.55387448074327</v>
      </c>
      <c r="AO178" s="62">
        <f t="shared" si="144"/>
        <v>476.29465646955543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0.71865360988652782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4.0049450825179641E-21</v>
      </c>
      <c r="AX178" s="23">
        <f t="shared" si="166"/>
        <v>0.71865360988652782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310.95287409903602</v>
      </c>
      <c r="T179" s="62">
        <f t="shared" si="142"/>
        <v>224.10083380795163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-1.2710188457276673E-13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382.55387448074327</v>
      </c>
      <c r="AO179" s="62">
        <f t="shared" si="144"/>
        <v>476.29465646955543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0.704561250932073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2.8319238261281696E-21</v>
      </c>
      <c r="AX179" s="23">
        <f t="shared" si="166"/>
        <v>0.704561250932073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310.95287409903602</v>
      </c>
      <c r="T180" s="62">
        <f t="shared" si="142"/>
        <v>224.10083380795163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-1.2710188457276673E-13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382.55387448074327</v>
      </c>
      <c r="AO180" s="62">
        <f t="shared" si="144"/>
        <v>476.29465646955543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0.69074523454122483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2.0024725412589821E-21</v>
      </c>
      <c r="AX180" s="23">
        <f t="shared" si="166"/>
        <v>0.69074523454122483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310.95287409903602</v>
      </c>
      <c r="T181" s="62">
        <f t="shared" si="142"/>
        <v>224.10083380795163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-1.2710188457276673E-13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382.55387448074327</v>
      </c>
      <c r="AO181" s="62">
        <f t="shared" si="144"/>
        <v>476.29465646955543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0.67720014180486332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1.4159619130640848E-21</v>
      </c>
      <c r="AX181" s="23">
        <f t="shared" si="166"/>
        <v>0.67720014180486332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310.95287409903602</v>
      </c>
      <c r="T182" s="62">
        <f t="shared" si="142"/>
        <v>224.10083380795163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-1.2710188457276673E-13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382.55387448074327</v>
      </c>
      <c r="AO182" s="62">
        <f t="shared" si="144"/>
        <v>476.29465646955543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0.66392066007537098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1.001236270629491E-21</v>
      </c>
      <c r="AX182" s="23">
        <f t="shared" si="166"/>
        <v>0.66392066007537098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310.95287409903602</v>
      </c>
      <c r="T183" s="62">
        <f t="shared" si="142"/>
        <v>224.10083380795163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-1.2710188457276673E-13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382.55387448074327</v>
      </c>
      <c r="AO183" s="62">
        <f t="shared" si="144"/>
        <v>476.29465646955543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0.65090158088290995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7.0798095653204241E-22</v>
      </c>
      <c r="AX183" s="23">
        <f t="shared" si="166"/>
        <v>0.65090158088290995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310.95287409903602</v>
      </c>
      <c r="T184" s="62">
        <f t="shared" si="142"/>
        <v>224.10083380795163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-1.2710188457276673E-13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382.55387448074327</v>
      </c>
      <c r="AO184" s="62">
        <f t="shared" si="144"/>
        <v>476.29465646955543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0.63813779789255887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5.0061813531474552E-22</v>
      </c>
      <c r="AX184" s="23">
        <f t="shared" si="166"/>
        <v>0.63813779789255887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310.95287409903602</v>
      </c>
      <c r="T185" s="62">
        <f t="shared" si="142"/>
        <v>224.10083380795163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-1.2710188457276673E-13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382.55387448074327</v>
      </c>
      <c r="AO185" s="62">
        <f t="shared" si="144"/>
        <v>476.29465646955543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0.62562430490150966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3.539904782660212E-22</v>
      </c>
      <c r="AX185" s="23">
        <f t="shared" si="166"/>
        <v>0.62562430490150966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310.95287409903602</v>
      </c>
      <c r="T186" s="62">
        <f t="shared" si="142"/>
        <v>224.10083380795163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-1.2710188457276673E-13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382.55387448074327</v>
      </c>
      <c r="AO186" s="62">
        <f t="shared" si="144"/>
        <v>476.29465646955543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0.61335619387553786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2.5030906765737276E-22</v>
      </c>
      <c r="AX186" s="23">
        <f t="shared" si="166"/>
        <v>0.61335619387553786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310.95287409903602</v>
      </c>
      <c r="T187" s="62">
        <f t="shared" si="142"/>
        <v>224.10083380795163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-1.2710188457276673E-13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382.55387448074327</v>
      </c>
      <c r="AO187" s="62">
        <f t="shared" si="144"/>
        <v>476.29465646955543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0.60132865302397653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1.769952391330106E-22</v>
      </c>
      <c r="AX187" s="23">
        <f t="shared" si="166"/>
        <v>0.60132865302397653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310.95287409903602</v>
      </c>
      <c r="T188" s="62">
        <f t="shared" si="142"/>
        <v>224.10083380795163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-1.2710188457276673E-13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382.55387448074327</v>
      </c>
      <c r="AO188" s="62">
        <f t="shared" si="144"/>
        <v>476.29465646955543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0.58953696491243879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1.2515453382868638E-22</v>
      </c>
      <c r="AX188" s="23">
        <f t="shared" si="166"/>
        <v>0.58953696491243879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310.95287409903602</v>
      </c>
      <c r="T189" s="62">
        <f t="shared" si="142"/>
        <v>224.10083380795163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-1.2710188457276673E-13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382.55387448074327</v>
      </c>
      <c r="AO189" s="62">
        <f t="shared" si="144"/>
        <v>476.29465646955543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0.57797650461254868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8.8497619566505301E-23</v>
      </c>
      <c r="AX189" s="23">
        <f t="shared" si="166"/>
        <v>0.57797650461254868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310.95287409903602</v>
      </c>
      <c r="T190" s="62">
        <f t="shared" si="142"/>
        <v>224.10083380795163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-1.2710188457276673E-13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382.55387448074327</v>
      </c>
      <c r="AO190" s="62">
        <f t="shared" si="144"/>
        <v>476.29465646955543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0.56664273788795483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6.257726691434319E-23</v>
      </c>
      <c r="AX190" s="23">
        <f t="shared" si="166"/>
        <v>0.56664273788795483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310.95287409903602</v>
      </c>
      <c r="T191" s="62">
        <f t="shared" si="142"/>
        <v>224.10083380795163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-1.2710188457276673E-13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382.55387448074327</v>
      </c>
      <c r="AO191" s="62">
        <f t="shared" si="144"/>
        <v>476.29465646955543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0.55553121941591521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4.4248809783252651E-23</v>
      </c>
      <c r="AX191" s="23">
        <f t="shared" si="166"/>
        <v>0.55553121941591521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310.95287409903602</v>
      </c>
      <c r="T192" s="62">
        <f t="shared" si="142"/>
        <v>224.10083380795163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-1.2710188457276673E-13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382.55387448074327</v>
      </c>
      <c r="AO192" s="62">
        <f t="shared" si="144"/>
        <v>476.29465646955543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0.5446375910437552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3.1288633457171595E-23</v>
      </c>
      <c r="AX192" s="23">
        <f t="shared" si="166"/>
        <v>0.5446375910437552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310.95287409903602</v>
      </c>
      <c r="T193" s="62">
        <f t="shared" si="142"/>
        <v>224.10083380795163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-1.2710188457276673E-13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382.55387448074327</v>
      </c>
      <c r="AO193" s="62">
        <f t="shared" si="144"/>
        <v>476.29465646955543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0.5339575800795161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2.2124404891626325E-23</v>
      </c>
      <c r="AX193" s="23">
        <f t="shared" si="166"/>
        <v>0.5339575800795161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310.95287409903602</v>
      </c>
      <c r="T194" s="62">
        <f t="shared" si="142"/>
        <v>224.10083380795163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-1.2710188457276673E-13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382.55387448074327</v>
      </c>
      <c r="AO194" s="62">
        <f t="shared" si="144"/>
        <v>476.29465646955543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0.52348699761612216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1.5644316728585797E-23</v>
      </c>
      <c r="AX194" s="23">
        <f t="shared" si="166"/>
        <v>0.52348699761612216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310.95287409903602</v>
      </c>
      <c r="T195" s="62">
        <f t="shared" si="142"/>
        <v>224.10083380795163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-1.2710188457276673E-13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382.55387448074327</v>
      </c>
      <c r="AO195" s="62">
        <f t="shared" si="144"/>
        <v>476.29465646955543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0.51322173688841077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1.1062202445813163E-23</v>
      </c>
      <c r="AX195" s="23">
        <f t="shared" si="166"/>
        <v>0.51322173688841077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310.95287409903602</v>
      </c>
      <c r="T196" s="62">
        <f t="shared" si="142"/>
        <v>224.10083380795163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-1.2710188457276673E-13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382.55387448074327</v>
      </c>
      <c r="AO196" s="62">
        <f t="shared" si="144"/>
        <v>476.29465646955543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0.50315777166237896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7.8221583642928987E-24</v>
      </c>
      <c r="AX196" s="23">
        <f t="shared" si="166"/>
        <v>0.50315777166237896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310.95287409903602</v>
      </c>
      <c r="T197" s="62">
        <f t="shared" ref="T197:T203" si="204">$T$3</f>
        <v>224.10083380795163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-1.2710188457276673E-13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382.55387448074327</v>
      </c>
      <c r="AO197" s="62">
        <f t="shared" ref="AO197:AO203" si="205">$AO$3</f>
        <v>476.29465646955543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0.49329115465601697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5.5311012229065813E-24</v>
      </c>
      <c r="AX197" s="23">
        <f t="shared" si="166"/>
        <v>0.49329115465601697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310.95287409903602</v>
      </c>
      <c r="T198" s="62">
        <f t="shared" si="204"/>
        <v>224.10083380795163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-1.2710188457276673E-13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382.55387448074327</v>
      </c>
      <c r="AO198" s="62">
        <f t="shared" si="205"/>
        <v>476.29465646955543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0.4836180159911076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3.9110791821464494E-24</v>
      </c>
      <c r="AX198" s="23">
        <f t="shared" si="166"/>
        <v>0.4836180159911076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310.95287409903602</v>
      </c>
      <c r="T199" s="62">
        <f t="shared" si="204"/>
        <v>224.10083380795163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-1.2710188457276673E-13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382.55387448074327</v>
      </c>
      <c r="AO199" s="62">
        <f t="shared" si="205"/>
        <v>476.29465646955543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0.47413456167538509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2.7655506114532907E-24</v>
      </c>
      <c r="AX199" s="23">
        <f t="shared" si="166"/>
        <v>0.47413456167538509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310.95287409903602</v>
      </c>
      <c r="T200" s="62">
        <f t="shared" si="204"/>
        <v>224.10083380795163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-1.2710188457276673E-13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382.55387448074327</v>
      </c>
      <c r="AO200" s="62">
        <f t="shared" si="205"/>
        <v>476.29465646955543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0.46483707211445791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1.9555395910732247E-24</v>
      </c>
      <c r="AX200" s="23">
        <f t="shared" si="166"/>
        <v>0.46483707211445791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310.95287409903602</v>
      </c>
      <c r="T201" s="62">
        <f t="shared" si="204"/>
        <v>224.10083380795163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-1.2710188457276673E-13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382.55387448074327</v>
      </c>
      <c r="AO201" s="62">
        <f t="shared" si="205"/>
        <v>476.29465646955543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0.45572190065291185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1.3827753057266453E-24</v>
      </c>
      <c r="AX201" s="23">
        <f t="shared" si="166"/>
        <v>0.45572190065291185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310.95287409903602</v>
      </c>
      <c r="T202" s="62">
        <f t="shared" si="204"/>
        <v>224.10083380795163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-1.2710188457276673E-13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382.55387448074327</v>
      </c>
      <c r="AO202" s="62">
        <f t="shared" si="205"/>
        <v>476.29465646955543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0.44678547214402109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9.7776979553661234E-25</v>
      </c>
      <c r="AX202" s="23">
        <f t="shared" si="166"/>
        <v>0.44678547214402109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310.95287409903602</v>
      </c>
      <c r="T203" s="62">
        <f t="shared" si="204"/>
        <v>224.10083380795163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-1.2710188457276673E-13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382.55387448074327</v>
      </c>
      <c r="AO203" s="62">
        <f t="shared" si="205"/>
        <v>476.29465646955543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0.4380242815475065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6.9138765286332266E-25</v>
      </c>
      <c r="AX203" s="23">
        <f t="shared" si="166"/>
        <v>0.4380242815475065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1.3070441688874561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2.08</v>
      </c>
      <c r="C6" s="156">
        <f ca="1">IF(OR('Données projet'!B9="",'Données projet'!C9="",'Données projet'!C9=0%),0,Calculateur!S3)</f>
        <v>310.95287409903602</v>
      </c>
      <c r="D6" s="156">
        <f>IF(OR('Données projet'!B9="",'Données projet'!C9="",'Données projet'!C9=0%),0,Calculateur!T3)</f>
        <v>224.10083380795163</v>
      </c>
      <c r="E6" s="156">
        <f ca="1">MIN(C6,D6)</f>
        <v>224.10083380795163</v>
      </c>
      <c r="F6" s="156">
        <f ca="1">E6*B6</f>
        <v>466.1297343205394</v>
      </c>
      <c r="G6" s="156">
        <f ca="1">F6*(100%-'Données projet'!$C$24)*(100%-'Données projet'!$C$25)*(100%-'Données projet'!$C$26)*(100%-'Données projet'!$C$27)</f>
        <v>377.56508479963691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377.56508479963691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2.08</v>
      </c>
      <c r="C7" s="156">
        <f ca="1">IF(OR('Données projet'!B10="",'Données projet'!C10="",'Données projet'!C10=0%),0,Calculateur!AN3)</f>
        <v>382.55387448074327</v>
      </c>
      <c r="D7" s="156">
        <f>IF(OR('Données projet'!B10="",'Données projet'!C10="",'Données projet'!C10=0%),0,Calculateur!AO3)</f>
        <v>476.29465646955543</v>
      </c>
      <c r="E7" s="156">
        <f t="shared" ref="E7:E15" ca="1" si="0">MIN(C7,D7)</f>
        <v>382.55387448074327</v>
      </c>
      <c r="F7" s="156">
        <f t="shared" ref="F7:F15" ca="1" si="1">E7*B7</f>
        <v>795.712058919946</v>
      </c>
      <c r="G7" s="156">
        <f ca="1">F7*(100%-'Données projet'!$C$24)*(100%-'Données projet'!$C$25)*(100%-'Données projet'!$C$26)*(100%-'Données projet'!$C$27)</f>
        <v>644.52676772515622</v>
      </c>
      <c r="H7" s="164">
        <f>IF(OR('Données projet'!B10="",'Données projet'!C10="",'Données projet'!C10=0%),0,AVERAGE(Calculateur!$AX$3:$AX$33)*B7)</f>
        <v>9.256639251298461</v>
      </c>
      <c r="I7" s="158">
        <f>H7*(100%-'Données projet'!$C$24)*(100%-'Données projet'!$C$25)*(100%-'Données projet'!$C$26)*(100%-'Données projet'!$C$27)</f>
        <v>7.4978777935517531</v>
      </c>
      <c r="J7" s="159">
        <f>IF(OR('Données projet'!B10="",'Données projet'!C10="",'Données projet'!C10=0%),0,SUM(Calculateur!$AQ$3:$AQ$33)*VLOOKUP('Données projet'!$B$10,Paramètres!$A$1:$I$89,9,0)*B7)</f>
        <v>96.595200000000006</v>
      </c>
      <c r="K7" s="160">
        <f>J7*(100%-'Données projet'!$C$24)*(100%-'Données projet'!$C$25)*(100%-'Données projet'!$C$26)*(100%-'Données projet'!$C$27)</f>
        <v>78.242112000000006</v>
      </c>
      <c r="L7" s="161">
        <f t="shared" ref="L7:L15" ca="1" si="2">G7+I7+K7</f>
        <v>730.266757518708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1261.8417932404855</v>
      </c>
      <c r="G16" s="175">
        <f t="shared" ca="1" si="3"/>
        <v>1022.0918525247931</v>
      </c>
      <c r="H16" s="176">
        <f t="shared" si="3"/>
        <v>9.256639251298461</v>
      </c>
      <c r="I16" s="176">
        <f t="shared" si="3"/>
        <v>7.4978777935517531</v>
      </c>
      <c r="J16" s="177">
        <f t="shared" si="3"/>
        <v>96.595200000000006</v>
      </c>
      <c r="K16" s="177">
        <f t="shared" si="3"/>
        <v>78.242112000000006</v>
      </c>
      <c r="L16" s="178">
        <f t="shared" ca="1" si="3"/>
        <v>1107.831842318345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0" zoomScale="90" zoomScaleNormal="9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1685.2755715400876</v>
      </c>
      <c r="U10" s="190">
        <f>'Données projet'!D9</f>
        <v>2.08</v>
      </c>
      <c r="V10" s="189">
        <f>U10*T10</f>
        <v>3505.3731888033826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5642.1499179949624</v>
      </c>
      <c r="U11" s="190">
        <f>'Données projet'!D10</f>
        <v>2.08</v>
      </c>
      <c r="V11" s="189">
        <f t="shared" ref="V11" si="0">U11*T11</f>
        <v>11735.671829429522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80.000000000000156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3600.0000000000068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3661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1136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600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-8983.871636982396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442.68274638587837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15</v>
      </c>
      <c r="D25" s="194">
        <f t="shared" si="2"/>
        <v>1320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-9426.554383368275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32</v>
      </c>
      <c r="D27" s="194">
        <f t="shared" si="2"/>
        <v>3264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45</v>
      </c>
      <c r="D28" s="194">
        <f t="shared" si="2"/>
        <v>5085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58</v>
      </c>
      <c r="D29" s="194">
        <f t="shared" si="2"/>
        <v>7192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62</v>
      </c>
      <c r="D30" s="194">
        <f t="shared" si="2"/>
        <v>8370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70</v>
      </c>
      <c r="D31" s="194">
        <f t="shared" si="2"/>
        <v>50610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19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54</v>
      </c>
      <c r="C55" s="204">
        <v>15</v>
      </c>
      <c r="D55" s="191">
        <f t="shared" ref="D55:D73" si="4">B55*C55</f>
        <v>810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54</v>
      </c>
      <c r="C56" s="204">
        <v>25</v>
      </c>
      <c r="D56" s="191">
        <f t="shared" si="4"/>
        <v>1350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69</v>
      </c>
      <c r="C57" s="204">
        <v>28</v>
      </c>
      <c r="D57" s="191">
        <f t="shared" si="4"/>
        <v>1932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72</v>
      </c>
      <c r="C58" s="204">
        <v>32</v>
      </c>
      <c r="D58" s="191">
        <f t="shared" si="4"/>
        <v>2304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66</v>
      </c>
      <c r="C59" s="204">
        <v>45</v>
      </c>
      <c r="D59" s="191">
        <f t="shared" si="4"/>
        <v>2970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48</v>
      </c>
      <c r="C60" s="204">
        <v>58</v>
      </c>
      <c r="D60" s="191">
        <f t="shared" si="4"/>
        <v>2784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35</v>
      </c>
      <c r="C61" s="204">
        <v>62</v>
      </c>
      <c r="D61" s="191">
        <f t="shared" si="4"/>
        <v>2170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666</v>
      </c>
      <c r="C62" s="204">
        <v>75</v>
      </c>
      <c r="D62" s="191">
        <f t="shared" si="4"/>
        <v>49950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2023-12-11T13:37:08Z</dcterms:modified>
</cp:coreProperties>
</file>